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Changelog" sheetId="2" r:id="rId6"/>
    <sheet state="visible" name="FAQ" sheetId="3" r:id="rId7"/>
    <sheet state="visible" name="Equipment (WIP)" sheetId="4" r:id="rId8"/>
    <sheet state="visible" name="Weapons (old)" sheetId="5" r:id="rId9"/>
    <sheet state="visible" name="Weapons" sheetId="6" r:id="rId10"/>
    <sheet state="visible" name="Abilities" sheetId="7" r:id="rId11"/>
    <sheet state="visible" name="Scaling (pre-EoF)" sheetId="8" r:id="rId12"/>
    <sheet state="visible" name="Fireteam (S28)" sheetId="9" r:id="rId13"/>
    <sheet state="visible" name="Graphing (S28)" sheetId="10" r:id="rId14"/>
    <sheet state="visible" name="Sustained (old)" sheetId="11" r:id="rId15"/>
    <sheet state="visible" name="Swap (old)" sheetId="12" r:id="rId16"/>
    <sheet state="visible" name="Sustained" sheetId="13" r:id="rId17"/>
    <sheet state="visible" name="Swap" sheetId="14" r:id="rId18"/>
    <sheet state="visible" name="Bosses" sheetId="15" r:id="rId19"/>
    <sheet state="visible" name="Pack Hunter" sheetId="16" r:id="rId20"/>
    <sheet state="visible" name="Ergo Sum" sheetId="17" r:id="rId21"/>
    <sheet state="visible" name="Super (WIP)" sheetId="18" r:id="rId22"/>
    <sheet state="visible" name="Bolt Charge" sheetId="19" r:id="rId23"/>
    <sheet state="visible" name="Historical" sheetId="20" r:id="rId24"/>
    <sheet state="visible" name="Testing" sheetId="21" r:id="rId25"/>
  </sheets>
  <definedNames>
    <definedName hidden="1" localSheetId="3" name="_xlnm._FilterDatabase">'Equipment (WIP)'!$A$1:$I$110</definedName>
    <definedName hidden="1" localSheetId="4" name="_xlnm._FilterDatabase">'Weapons (old)'!$A$2:$Y$350</definedName>
    <definedName hidden="1" localSheetId="5" name="_xlnm._FilterDatabase">Weapons!$A$2:$W$351</definedName>
    <definedName hidden="1" localSheetId="6" name="_xlnm._FilterDatabase">Abilities!$A$2:$U$209</definedName>
    <definedName hidden="1" localSheetId="7" name="_xlnm._FilterDatabase">'Scaling (pre-EoF)'!$A$1:$N$58</definedName>
    <definedName hidden="1" localSheetId="8" name="_xlnm._FilterDatabase">'Fireteam (S28)'!$A$2:$T$21</definedName>
    <definedName hidden="1" localSheetId="10" name="_xlnm._FilterDatabase">'Sustained (old)'!$A$1:$V$231</definedName>
    <definedName hidden="1" localSheetId="11" name="_xlnm._FilterDatabase">'Swap (old)'!$A$1:$R$174</definedName>
    <definedName hidden="1" localSheetId="12" name="_xlnm._FilterDatabase">Sustained!$A$1:$V$233</definedName>
    <definedName hidden="1" localSheetId="13" name="_xlnm._FilterDatabase">Swap!$A$1:$R$174</definedName>
    <definedName hidden="1" localSheetId="14" name="_xlnm._FilterDatabase">Bosses!$A$2:$Q$52</definedName>
    <definedName hidden="1" localSheetId="17" name="_xlnm._FilterDatabase">'Super (WIP)'!$A$1:$G$38</definedName>
    <definedName hidden="1" localSheetId="18" name="_xlnm._FilterDatabase">'Bolt Charge'!$A$1:$I$25</definedName>
    <definedName hidden="1" localSheetId="19" name="_xlnm._FilterDatabase">Historical!$A$1:$H$21</definedName>
    <definedName hidden="1" localSheetId="20" name="_xlnm._FilterDatabase">Testing!$S$1:$V$194</definedName>
    <definedName hidden="1" localSheetId="11" name="Z_35F7EC9E_5013_4F85_8863_F5A487ACE091_.wvu.FilterData">'Swap (old)'!$A$1:$R$174</definedName>
    <definedName hidden="1" localSheetId="13" name="Z_35F7EC9E_5013_4F85_8863_F5A487ACE091_.wvu.FilterData">Swap!$A$1:$R$174</definedName>
    <definedName hidden="1" localSheetId="11" name="Z_42FF7369_DFF1_4459_B38A_6794E95557C7_.wvu.FilterData">'Swap (old)'!$A$1:$R$174</definedName>
    <definedName hidden="1" localSheetId="13" name="Z_42FF7369_DFF1_4459_B38A_6794E95557C7_.wvu.FilterData">Swap!$A$1:$R$174</definedName>
    <definedName hidden="1" localSheetId="3" name="Z_764FDE29_FA82_488B_8FF5_DF166BF729B0_.wvu.FilterData">'Equipment (WIP)'!$A$1:$I$110</definedName>
    <definedName hidden="1" localSheetId="3" name="Z_B3061EE6_0C62_4F49_94DC_19CFA14AB2B1_.wvu.FilterData">'Equipment (WIP)'!$A$1:$I$110</definedName>
    <definedName hidden="1" localSheetId="14" name="Z_9A68380F_C1E8_41BB_BAA7_D9E6E59E19C3_.wvu.FilterData">Bosses!$B$2:$Q$52</definedName>
  </definedNames>
  <calcPr/>
  <customWorkbookViews>
    <customWorkbookView activeSheetId="0" maximized="1" windowHeight="0" windowWidth="0" guid="{B3061EE6-0C62-4F49-94DC-19CFA14AB2B1}" name="Weapons"/>
    <customWorkbookView activeSheetId="0" maximized="1" windowHeight="0" windowWidth="0" guid="{764FDE29-FA82-488B-8FF5-DF166BF729B0}" name="Armor"/>
    <customWorkbookView activeSheetId="0" maximized="1" windowHeight="0" windowWidth="0" guid="{9A68380F-C1E8-41BB-BAA7-D9E6E59E19C3}" name="Health (lowest to highest)"/>
    <customWorkbookView activeSheetId="0" maximized="1" windowHeight="0" windowWidth="0" guid="{42FF7369-DFF1-4459-B38A-6794E95557C7}" name="True DPS"/>
    <customWorkbookView activeSheetId="0" maximized="1" windowHeight="0" windowWidth="0" guid="{35F7EC9E-5013-4F85-8863-F5A487ACE091}" name="Swap DPS"/>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1: meta-defining
2: situational
3: extremely niche
4: not meta / worse alternatives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Savathun -&gt; RAD +0: 21494 | 2048
Savathun buffed -&gt; RAD +0: 14.4307883 / 15.0867244</t>
      </text>
    </comment>
    <comment authorId="0" ref="W277">
      <text>
        <t xml:space="preserve">technically 1.752 for just bullet</t>
      </text>
    </comment>
    <comment authorId="0" ref="W114">
      <text>
        <t xml:space="preserve">technically 1.851 for main bullet</t>
      </text>
    </comment>
    <comment authorId="0" ref="W209">
      <text>
        <t xml:space="preserve">technically 3.011 for just bullet</t>
      </text>
    </comment>
    <comment authorId="0" ref="W205">
      <text>
        <t xml:space="preserve">didn't include scorch/ignition damage since body shots cannot trigger Perfect Fifth</t>
      </text>
    </comment>
    <comment authorId="0" ref="E154">
      <text>
        <t xml:space="preserve">laggy healthbar</t>
      </text>
    </comment>
    <comment authorId="0" ref="E313">
      <text>
        <t xml:space="preserve">no wolfpacks</t>
      </text>
    </comment>
    <comment authorId="0" ref="W170">
      <text>
        <t xml:space="preserve">technically ~1.093 if splash damage is accounted for</t>
      </text>
    </comment>
    <comment authorId="0" ref="W137">
      <text>
        <t xml:space="preserve">technically 1.794 for just bullet</t>
      </text>
    </comment>
    <comment authorId="0" ref="D20">
      <text>
        <t xml:space="preserve">top of mag crit</t>
      </text>
    </comment>
    <comment authorId="0" ref="E181">
      <text>
        <t xml:space="preserve">Cluster Bomb: 123 impact, 1934 explosion
e. Cluster Bomb: 123 impact, 2127 explosion
wolfpacks are same damage across all archetypes, 8 released per shot</t>
      </text>
    </comment>
    <comment authorId="0" ref="W36">
      <text>
        <t xml:space="preserve">technically 1.598 for just arrow</t>
      </text>
    </comment>
    <comment authorId="0" ref="F239">
      <text>
        <t xml:space="preserve">Ashes doesn't matter</t>
      </text>
    </comment>
    <comment authorId="0" ref="D301">
      <text>
        <t xml:space="preserve">5439 Enduring
5658 Enduring + Impact
5966 Jagged + Impact</t>
      </text>
    </comment>
    <comment authorId="0" ref="E301">
      <text>
        <t xml:space="preserve">3 wolfpacks on grounded heavy for all frames</t>
      </text>
    </comment>
    <comment authorId="0" ref="W284">
      <text>
        <t xml:space="preserve">doesn't account for lightning since crits are required for lightning</t>
      </text>
    </comment>
    <comment authorId="0" ref="E41">
      <text>
        <t xml:space="preserve">3 seekers per shot</t>
      </text>
    </comment>
    <comment authorId="0" ref="W123">
      <text>
        <t xml:space="preserve">technically 1.559 for just bullet</t>
      </text>
    </comment>
    <comment authorId="0" ref="E328">
      <text>
        <t xml:space="preserve">T4 62 impact: 6332 impact, 8943 wave, 7387 slash
</t>
      </text>
    </comment>
    <comment authorId="0" ref="E39">
      <text>
        <t xml:space="preserve">seeker damage doesn't change with CA stacks
3 seekers on hip-fire, 2 seekers on ADS</t>
      </text>
    </comment>
    <comment authorId="0" ref="F328">
      <text>
        <t xml:space="preserve">stated values are 60 impact</t>
      </text>
    </comment>
    <comment authorId="0" ref="W24">
      <text>
        <t xml:space="preserve">technically 1.107 for just impact component</t>
      </text>
    </comment>
    <comment authorId="0" ref="D293">
      <text>
        <t xml:space="preserve">GM x79</t>
      </text>
    </comment>
    <comment authorId="0" ref="W150">
      <text>
        <t xml:space="preserve">technically 1.254 for just bullet</t>
      </text>
    </comment>
    <comment authorId="0" ref="W276">
      <text>
        <t xml:space="preserve">technically 1.752 for just bullet</t>
      </text>
    </comment>
    <comment authorId="0" ref="W210">
      <text>
        <t xml:space="preserve">technically 3.011 for just bullet</t>
      </text>
    </comment>
    <comment authorId="0" ref="W16">
      <text>
        <t xml:space="preserve">technically 1.698 for raw auto</t>
      </text>
    </comment>
    <comment authorId="0" ref="W208">
      <text>
        <t xml:space="preserve">technically 2.009 for just bullet</t>
      </text>
    </comment>
    <comment authorId="0" ref="W204">
      <text>
        <t xml:space="preserve">didn't include scorch/ignition damage since body shots cannot trigger Perfect Fifth</t>
      </text>
    </comment>
    <comment authorId="0" ref="E314">
      <text>
        <t xml:space="preserve">no wolfpacks</t>
      </text>
    </comment>
    <comment authorId="0" ref="W43">
      <text>
        <t xml:space="preserve">technically ~1.188 if pierce damage is accounted for</t>
      </text>
    </comment>
    <comment authorId="0" ref="W169">
      <text>
        <t xml:space="preserve">technically ~1.113 if splash damage is accounted for</t>
      </text>
    </comment>
    <comment authorId="0" ref="F23">
      <text>
        <t xml:space="preserve">Ashes does essentially nothing to damage per mag from brief testing</t>
      </text>
    </comment>
    <comment authorId="0" ref="D21">
      <text>
        <t xml:space="preserve">top of mag crit</t>
      </text>
    </comment>
    <comment authorId="0" ref="W136">
      <text>
        <t xml:space="preserve">technically 1.794 for just bullet</t>
      </text>
    </comment>
    <comment authorId="0" ref="W231">
      <text>
        <t xml:space="preserve">technically 1.755 for just bullet</t>
      </text>
    </comment>
    <comment authorId="0" ref="W132">
      <text>
        <t xml:space="preserve">technically 2.695 for just bullet</t>
      </text>
    </comment>
    <comment authorId="0" ref="W35">
      <text>
        <t xml:space="preserve">technically 1.598 for just arrow</t>
      </text>
    </comment>
    <comment authorId="0" ref="H339">
      <text>
        <t xml:space="preserve">approximated</t>
      </text>
    </comment>
    <comment authorId="0" ref="W289">
      <text>
        <t xml:space="preserve">doesn't account for shatter ignition damage since crit is required</t>
      </text>
    </comment>
    <comment authorId="0" ref="Y2">
      <text>
        <t xml:space="preserve">~296 health per pixel</t>
      </text>
    </comment>
    <comment authorId="0" ref="E141">
      <text>
        <t xml:space="preserve">each turret shoots 14 barrages</t>
      </text>
    </comment>
    <comment authorId="0" ref="W124">
      <text>
        <t xml:space="preserve">technically 1.559 for just bullet</t>
      </text>
    </comment>
    <comment authorId="0" ref="F331">
      <text>
        <t xml:space="preserve">Ashes is ~1% damage gain over long term</t>
      </text>
    </comment>
    <comment authorId="0" ref="W122">
      <text>
        <t xml:space="preserve">technically 1.559 for just bullet</t>
      </text>
    </comment>
    <comment authorId="0" ref="W248">
      <text>
        <t xml:space="preserve">technically ~1.172 if splash damage is accounted for</t>
      </text>
    </comment>
    <comment authorId="0" ref="F263">
      <text>
        <t xml:space="preserve">seekers cannot crit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Savathun -&gt; RAD +0: 21494 | 2048
Savathun buffed -&gt; RAD +0: 14.4307883 / 15.0867244</t>
      </text>
    </comment>
    <comment authorId="0" ref="U277">
      <text>
        <t xml:space="preserve">technically 1.752 for just bullet</t>
      </text>
    </comment>
    <comment authorId="0" ref="U17">
      <text>
        <t xml:space="preserve">technically 1.698 for raw auto</t>
      </text>
    </comment>
    <comment authorId="0" ref="U209">
      <text>
        <t xml:space="preserve">technically 3.011 for just bullet</t>
      </text>
    </comment>
    <comment authorId="0" ref="U112">
      <text>
        <t xml:space="preserve">technically 1.851 for main bullet</t>
      </text>
    </comment>
    <comment authorId="0" ref="U205">
      <text>
        <t xml:space="preserve">didn't include scorch/ignition damage since body shots cannot trigger Perfect Fifth</t>
      </text>
    </comment>
    <comment authorId="0" ref="E315">
      <text>
        <t xml:space="preserve">no wolfpacks</t>
      </text>
    </comment>
    <comment authorId="0" ref="E154">
      <text>
        <t xml:space="preserve">laggy healthbar</t>
      </text>
    </comment>
    <comment authorId="0" ref="U170">
      <text>
        <t xml:space="preserve">technically ~1.093 if splash damage is accounted for</t>
      </text>
    </comment>
    <comment authorId="0" ref="U137">
      <text>
        <t xml:space="preserve">technically 1.794 for just bullet</t>
      </text>
    </comment>
    <comment authorId="0" ref="E313">
      <text>
        <t xml:space="preserve">no wolfpacks</t>
      </text>
    </comment>
    <comment authorId="0" ref="D20">
      <text>
        <t xml:space="preserve">top of mag crit</t>
      </text>
    </comment>
    <comment authorId="0" ref="E181">
      <text>
        <t xml:space="preserve">Cluster Bomb: 123 impact, 1934 explosion
e. Cluster Bomb: 123 impact, 2127 explosion
wolfpacks are same damage across all archetypes, 8 released per shot</t>
      </text>
    </comment>
    <comment authorId="0" ref="U36">
      <text>
        <t xml:space="preserve">technically 1.598 for just arrow</t>
      </text>
    </comment>
    <comment authorId="0" ref="U290">
      <text>
        <t xml:space="preserve">doesn't account for shatter ignition damage since crit is required</t>
      </text>
    </comment>
    <comment authorId="0" ref="H340">
      <text>
        <t xml:space="preserve">approximated</t>
      </text>
    </comment>
    <comment authorId="0" ref="D301">
      <text>
        <t xml:space="preserve">5439 Enduring
5658 Enduring + Impact
5966 Jagged + Impact</t>
      </text>
    </comment>
    <comment authorId="0" ref="E301">
      <text>
        <t xml:space="preserve">3 wolfpacks on grounded heavy for all frames</t>
      </text>
    </comment>
    <comment authorId="0" ref="U284">
      <text>
        <t xml:space="preserve">doesn't account for lightning since crits are required for lightning</t>
      </text>
    </comment>
    <comment authorId="0" ref="U123">
      <text>
        <t xml:space="preserve">technically 1.559 for just bullet</t>
      </text>
    </comment>
    <comment authorId="0" ref="F332">
      <text>
        <t xml:space="preserve">Ashes is ~1% damage gain over long term</t>
      </text>
    </comment>
    <comment authorId="0" ref="E41">
      <text>
        <t xml:space="preserve">3 seekers per shot</t>
      </text>
    </comment>
    <comment authorId="0" ref="E39">
      <text>
        <t xml:space="preserve">seeker damage doesn't change with CA stacks
3 seekers on hip-fire, 2 seekers on ADS</t>
      </text>
    </comment>
    <comment authorId="0" ref="U150">
      <text>
        <t xml:space="preserve">technically 1.254 for just bullet</t>
      </text>
    </comment>
    <comment authorId="0" ref="U276">
      <text>
        <t xml:space="preserve">technically 1.752 for just bullet</t>
      </text>
    </comment>
    <comment authorId="0" ref="U210">
      <text>
        <t xml:space="preserve">technically 3.011 for just bullet</t>
      </text>
    </comment>
    <comment authorId="0" ref="U208">
      <text>
        <t xml:space="preserve">technically 2.009 for just bullet</t>
      </text>
    </comment>
    <comment authorId="0" ref="U204">
      <text>
        <t xml:space="preserve">didn't include scorch/ignition damage since body shots cannot trigger Perfect Fifth</t>
      </text>
    </comment>
    <comment authorId="0" ref="U43">
      <text>
        <t xml:space="preserve">technically ~1.188 if pierce damage is accounted for</t>
      </text>
    </comment>
    <comment authorId="0" ref="U169">
      <text>
        <t xml:space="preserve">technically ~1.113 if splash damage is accounted for</t>
      </text>
    </comment>
    <comment authorId="0" ref="U136">
      <text>
        <t xml:space="preserve">technically 1.794 for just bullet</t>
      </text>
    </comment>
    <comment authorId="0" ref="U231">
      <text>
        <t xml:space="preserve">technically 1.755 for just bullet</t>
      </text>
    </comment>
    <comment authorId="0" ref="D21">
      <text>
        <t xml:space="preserve">top of mag crit</t>
      </text>
    </comment>
    <comment authorId="0" ref="F23">
      <text>
        <t xml:space="preserve">Ashes does essentially nothing to damage per mag from brief testing</t>
      </text>
    </comment>
    <comment authorId="0" ref="U132">
      <text>
        <t xml:space="preserve">technically 2.695 for just bullet</t>
      </text>
    </comment>
    <comment authorId="0" ref="U35">
      <text>
        <t xml:space="preserve">technically 1.598 for just arrow</t>
      </text>
    </comment>
    <comment authorId="0" ref="W2">
      <text>
        <t xml:space="preserve">~296 health per pixel</t>
      </text>
    </comment>
    <comment authorId="0" ref="F240">
      <text>
        <t xml:space="preserve">Ashes doesn't matter</t>
      </text>
    </comment>
    <comment authorId="0" ref="E141">
      <text>
        <t xml:space="preserve">each turret shoots 14 barrages</t>
      </text>
    </comment>
    <comment authorId="0" ref="U124">
      <text>
        <t xml:space="preserve">technically 1.559 for just bullet</t>
      </text>
    </comment>
    <comment authorId="0" ref="U122">
      <text>
        <t xml:space="preserve">technically 1.559 for just bullet</t>
      </text>
    </comment>
    <comment authorId="0" ref="U25">
      <text>
        <t xml:space="preserve">technically 1.107 for just impact component</t>
      </text>
    </comment>
    <comment authorId="0" ref="E329">
      <text>
        <t xml:space="preserve">T4 62 impact: 6332 impact, 8943 wave, 7387 slash
</t>
      </text>
    </comment>
    <comment authorId="0" ref="U248">
      <text>
        <t xml:space="preserve">technically ~1.172 if splash damage is accounted for</t>
      </text>
    </comment>
    <comment authorId="0" ref="F329">
      <text>
        <t xml:space="preserve">stated values are 60 impact</t>
      </text>
    </comment>
    <comment authorId="0" ref="D294">
      <text>
        <t xml:space="preserve">GM x79</t>
      </text>
    </comment>
    <comment authorId="0" ref="F263">
      <text>
        <t xml:space="preserve">seekers cannot crit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Savathun -&gt; RAD +0: 21494 | 2048
Savathun -&gt; RAD +0 super: 54266 | 17228</t>
      </text>
    </comment>
    <comment authorId="0" ref="H88">
      <text>
        <t xml:space="preserve">first burst has 6 shots for some reason?</t>
      </text>
    </comment>
    <comment authorId="0" ref="U2">
      <text>
        <t xml:space="preserve">~296 health per pixel</t>
      </text>
    </comment>
    <comment authorId="0" ref="E81">
      <text>
        <t xml:space="preserve">only 2089 at range</t>
      </text>
    </comment>
    <comment authorId="0" ref="F96">
      <text>
        <t xml:space="preserve">ignites in 2 hits regardless of Ashes</t>
      </text>
    </comment>
    <comment authorId="0" ref="F60">
      <text>
        <t xml:space="preserve">one freeze every 2 combos if doing full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2">
      <text>
        <t xml:space="preserve">axe numbers (no weaken): 
heavy: 106257
light: 28481</t>
      </text>
    </comment>
    <comment authorId="0" ref="C15">
      <text>
        <t xml:space="preserve">tested on Morgeth (double wipe screen)</t>
      </text>
    </comment>
    <comment authorId="0" ref="C25">
      <text>
        <t xml:space="preserve">tested on Morgeth (double wipe screen)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Common timings for reloads:
Grapple: 0.65s
Demolitionist: 1.183s
Icarus Dash: 0.783s
Marksman's Dodge: 1.116s
Withering Blade: 0.95s</t>
      </text>
    </comment>
    <comment authorId="0" ref="K138">
      <text>
        <t xml:space="preserve">calculated using D2Clarity Target Lock calculator: url.d2clarity.com/PvETargetLock</t>
      </text>
    </comment>
    <comment authorId="0" ref="E1">
      <text>
        <t xml:space="preserve">assumes Backup Mag unless otherwise noted</t>
      </text>
    </comment>
    <comment authorId="0" ref="T176">
      <text>
        <t xml:space="preserve">1668 during Redirection period</t>
      </text>
    </comment>
    <comment authorId="0" ref="H1">
      <text>
        <t xml:space="preserve">shot-to-shot time of fastest "cycle"</t>
      </text>
    </comment>
    <comment authorId="0" ref="I1">
      <text>
        <t xml:space="preserve">total time to dump reserves</t>
      </text>
    </comment>
    <comment authorId="0" ref="T44">
      <text>
        <t xml:space="preserve">4110 during Redirection period</t>
      </text>
    </comment>
    <comment authorId="0" ref="K155">
      <text>
        <t xml:space="preserve">calculated using D2Clarity Target Lock calculator: url.d2clarity.com/PvETargetLock</t>
      </text>
    </comment>
    <comment authorId="0" ref="T162">
      <text>
        <t xml:space="preserve">2209 for first 15 shots</t>
      </text>
    </comment>
    <comment authorId="0" ref="K149">
      <text>
        <t xml:space="preserve">calculated using D2Clarity Target Lock calculator: url.d2clarity.com/PvETargetLock</t>
      </text>
    </comment>
    <comment authorId="0" ref="T88">
      <text>
        <t xml:space="preserve">3887 during Redirection period</t>
      </text>
    </comment>
    <comment authorId="0" ref="K142">
      <text>
        <t xml:space="preserve">calculated using D2Clarity Target Lock calculator: url.d2clarity.com/PvETargetLock</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Assume x3 surge</t>
      </text>
    </comment>
    <comment authorId="0" ref="D1">
      <text>
        <t xml:space="preserve">Amount of damage done in a single swap instance (one x4 Izi, one Lament combo, etc.)</t>
      </text>
    </comment>
    <comment authorId="0" ref="P109">
      <text>
        <t xml:space="preserve">doesn't account for potential lingering Necrotic ticks</t>
      </text>
    </comment>
    <comment authorId="0" ref="F128">
      <text>
        <t xml:space="preserve">Two shots proc three shockwaves, each dealing 41.11% of a precision shot, approximately a 61.7% damage perk for those shots</t>
      </text>
    </comment>
    <comment authorId="0" ref="P72">
      <text>
        <t xml:space="preserve">doesn't account for final slam aftershocks</t>
      </text>
    </comment>
    <comment authorId="0" ref="L1">
      <text>
        <t xml:space="preserve">First frame of weapon ready animation to first firing frame</t>
      </text>
    </comment>
    <comment authorId="0" ref="M1">
      <text>
        <t xml:space="preserve">First frame of weapon firing to last frame of weapon firing</t>
      </text>
    </comment>
    <comment authorId="0" ref="N1">
      <text>
        <t xml:space="preserve">Last frame of weapon firing to last frame of weapon stow animation</t>
      </text>
    </comment>
    <comment authorId="0" ref="O1">
      <text>
        <t xml:space="preserve">Super timing values sourced from: https://docs.google.com/spreadsheets/d/1LiNzejq8VaoV8uEpHxdqCHxzRmzBSfTThzFzPE3cWHI/edit?gid=640230453#gid=640230453</t>
      </text>
    </comment>
    <comment authorId="0" ref="P1">
      <text>
        <t xml:space="preserve">Total duration of damage from ready animation start to final tick, or equal to total if previous calculation is below total</t>
      </text>
    </comment>
    <comment authorId="0" ref="Q1">
      <text>
        <t xml:space="preserve">Only accounts for input timings (assumes damage is instant the second you fire)
Useful for longer phases where the assumption is that you are continuously using these weapons in a less time-sensitive environment</t>
      </text>
    </comment>
    <comment authorId="0" ref="R1">
      <text>
        <t xml:space="preserve">Accounts for travel time and lingering projectiles
Useful for extremely time-sensitive scenarios where your damage being calculated slowly vs. instantly actually affects the kill</t>
      </text>
    </comment>
    <comment authorId="0" ref="P56">
      <text>
        <t xml:space="preserve">doesn't account for delayed explosion from final attack</t>
      </text>
    </comment>
    <comment authorId="0" ref="P113">
      <text>
        <t xml:space="preserve">doesn't account for final slam aftershocks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Common timings for reloads:
Grapple: 0.65s
Demolitionist: 1.183s
Icarus Dash: 0.783s
Marksman's Dodge: 1.116s
Withering Blade: 0.95s</t>
      </text>
    </comment>
    <comment authorId="0" ref="E1">
      <text>
        <t xml:space="preserve">assumes Backup Mag unless otherwise noted</t>
      </text>
    </comment>
    <comment authorId="0" ref="H1">
      <text>
        <t xml:space="preserve">shot-to-shot time of fastest "cycle"</t>
      </text>
    </comment>
    <comment authorId="0" ref="I1">
      <text>
        <t xml:space="preserve">total time to dump reserves</t>
      </text>
    </comment>
    <comment authorId="0" ref="K160">
      <text>
        <t xml:space="preserve">calculated using D2Clarity Target Lock calculator: url.d2clarity.com/PvETargetLock</t>
      </text>
    </comment>
    <comment authorId="0" ref="T103">
      <text>
        <t xml:space="preserve">3887 during Redirection period</t>
      </text>
    </comment>
    <comment authorId="0" ref="T38">
      <text>
        <t xml:space="preserve">4110 during Redirection period</t>
      </text>
    </comment>
    <comment authorId="0" ref="K155">
      <text>
        <t xml:space="preserve">calculated using D2Clarity Target Lock calculator: url.d2clarity.com/PvETargetLock</t>
      </text>
    </comment>
    <comment authorId="0" ref="T161">
      <text>
        <t xml:space="preserve">2209 for first 15 shots</t>
      </text>
    </comment>
    <comment authorId="0" ref="K149">
      <text>
        <t xml:space="preserve">calculated using D2Clarity Target Lock calculator: url.d2clarity.com/PvETargetLock</t>
      </text>
    </comment>
    <comment authorId="0" ref="K147">
      <text>
        <t xml:space="preserve">calculated using D2Clarity Target Lock calculator: url.d2clarity.com/PvETargetLock</t>
      </text>
    </comment>
    <comment authorId="0" ref="T183">
      <text>
        <t xml:space="preserve">1668 during Redirection period</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Assume x3 surge</t>
      </text>
    </comment>
    <comment authorId="0" ref="P80">
      <text>
        <t xml:space="preserve">doesn't account for delayed explosion from final attack</t>
      </text>
    </comment>
    <comment authorId="0" ref="D1">
      <text>
        <t xml:space="preserve">Amount of damage done in a single swap instance (one x4 Izi, one Lament combo, etc.)</t>
      </text>
    </comment>
    <comment authorId="0" ref="P141">
      <text>
        <t xml:space="preserve">doesn't account for final slam aftershocks</t>
      </text>
    </comment>
    <comment authorId="0" ref="P136">
      <text>
        <t xml:space="preserve">doesn't account for potential lingering Necrotic ticks</t>
      </text>
    </comment>
    <comment authorId="0" ref="L1">
      <text>
        <t xml:space="preserve">First frame of weapon ready animation to first firing frame</t>
      </text>
    </comment>
    <comment authorId="0" ref="M1">
      <text>
        <t xml:space="preserve">First frame of weapon firing to last frame of weapon firing</t>
      </text>
    </comment>
    <comment authorId="0" ref="N1">
      <text>
        <t xml:space="preserve">Last frame of weapon firing to last frame of weapon stow animation</t>
      </text>
    </comment>
    <comment authorId="0" ref="P99">
      <text>
        <t xml:space="preserve">doesn't account for final slam aftershocks</t>
      </text>
    </comment>
    <comment authorId="0" ref="O1">
      <text>
        <t xml:space="preserve">Super timing values sourced from: https://docs.google.com/spreadsheets/d/1LiNzejq8VaoV8uEpHxdqCHxzRmzBSfTThzFzPE3cWHI/edit?gid=640230453#gid=640230453</t>
      </text>
    </comment>
    <comment authorId="0" ref="P1">
      <text>
        <t xml:space="preserve">Total duration of damage from ready animation start to final tick, or equal to total if previous calculation is below total</t>
      </text>
    </comment>
    <comment authorId="0" ref="Q1">
      <text>
        <t xml:space="preserve">Only accounts for input timings (assumes damage is instant the second you fire)
Useful for longer phases where the assumption is that you are continuously using these weapons in a less time-sensitive environment</t>
      </text>
    </comment>
    <comment authorId="0" ref="R1">
      <text>
        <t xml:space="preserve">Accounts for travel time and lingering projectiles
Useful for extremely time-sensitive scenarios where your damage being calculated slowly vs. instantly actually affects the kill</t>
      </text>
    </comment>
    <comment authorId="0" ref="F77">
      <text>
        <t xml:space="preserve">Two shots proc three shockwaves, each dealing 41.11% of a precision shot, approximately a 61.7% damage perk for those shots</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M45">
      <text>
        <t xml:space="preserve">per flame</t>
      </text>
    </comment>
    <comment authorId="0" ref="M44">
      <text>
        <t xml:space="preserve">2 totems</t>
      </text>
    </comment>
    <comment authorId="0" ref="M11">
      <text>
        <t xml:space="preserve">Approximate, one boop worth of damage</t>
      </text>
    </comment>
    <comment authorId="0" ref="M10">
      <text>
        <t xml:space="preserve">Approximate, after shot that breaks clone</t>
      </text>
    </comment>
    <comment authorId="0" ref="M42">
      <text>
        <t xml:space="preserve">knight spawn to shrouded</t>
      </text>
    </comment>
    <comment authorId="0" ref="M8">
      <text>
        <t xml:space="preserve">Single tether</t>
      </text>
    </comment>
    <comment authorId="0" ref="M40">
      <text>
        <t xml:space="preserve">increases duration by ~7s if threshold broken</t>
      </text>
    </comment>
    <comment authorId="0" ref="M39">
      <text>
        <t xml:space="preserve">Waking Resonance timer per bell</t>
      </text>
    </comment>
    <comment authorId="0" ref="M5">
      <text>
        <t xml:space="preserve">variable, just an example</t>
      </text>
    </comment>
    <comment authorId="0" ref="M37">
      <text>
        <t xml:space="preserve">variable, just an example</t>
      </text>
    </comment>
    <comment authorId="0" ref="M4">
      <text>
        <t xml:space="preserve">One break</t>
      </text>
    </comment>
    <comment authorId="0" ref="M29">
      <text>
        <t xml:space="preserve">15s first ring spawn
18s second ring spawn
18.217s third ring spawn
28.783s damage end
</t>
      </text>
    </comment>
    <comment authorId="0" ref="M27">
      <text>
        <t xml:space="preserve">28.4s first cycle
28.65s second cycle
33.85s third cycle</t>
      </text>
    </comment>
    <comment authorId="0" ref="M26">
      <text>
        <t xml:space="preserve">approximate
19s ground
10s top
18s ground
14.5s top
16.8s ground</t>
      </text>
    </comment>
    <comment authorId="0" ref="M25">
      <text>
        <t xml:space="preserve">bugged longer phases randomly?</t>
      </text>
    </comment>
    <comment authorId="0" ref="M20">
      <text>
        <t xml:space="preserve">variable, assumes two plate</t>
      </text>
    </comment>
    <comment authorId="0" ref="M19">
      <text>
        <t xml:space="preserve">Approximately 6s per bomb</t>
      </text>
    </comment>
    <comment authorId="0" ref="M17">
      <text>
        <t xml:space="preserve">variable, example of one bubble</t>
      </text>
    </comment>
    <comment authorId="0" ref="M49">
      <text>
        <t xml:space="preserve">maximum time</t>
      </text>
    </comment>
    <comment authorId="0" ref="M16">
      <text>
        <t xml:space="preserve">assumes perfect brand transfers</t>
      </text>
    </comment>
    <comment authorId="0" ref="M15">
      <text>
        <t xml:space="preserve">approximate</t>
      </text>
    </comment>
    <comment authorId="0" ref="F39">
      <text>
        <t xml:space="preserve">Formula: (multi - 1) * 1.5 +1
Credit: MossyMax</t>
      </text>
    </comment>
    <comment authorId="0" ref="M46">
      <text>
        <t xml:space="preserve">4 totems</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Multiply by 1.04687 to get Templar value</t>
      </text>
    </comment>
    <comment authorId="0" ref="M2">
      <text>
        <t xml:space="preserve">Actual health bar damage / base rocket damage given buffs/debuffs/etc., should be about equal to None [5] A/B value for 5 player tests</t>
      </text>
    </comment>
    <comment authorId="0" ref="N2">
      <text>
        <t xml:space="preserve">Actual health bar damage / 5 man Pack Hunter true damage</t>
      </text>
    </comment>
    <comment authorId="0" ref="O2">
      <text>
        <t xml:space="preserve">% difference compared to expected</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3">
      <text>
        <t xml:space="preserve">83662 unpowered
1.717s cycle</t>
      </text>
    </comment>
    <comment authorId="0" ref="R11">
      <text>
        <t xml:space="preserve">61954 unpowered
1.717s cycle</t>
      </text>
    </comment>
    <comment authorId="0" ref="T13">
      <text>
        <t xml:space="preserve">200363 with Enduring Blade</t>
      </text>
    </comment>
    <comment authorId="0" ref="K17">
      <text>
        <t xml:space="preserve">Interpolated data for 8th bolt, extremely inconsistent</t>
      </text>
    </comment>
    <comment authorId="0" ref="K15">
      <text>
        <t xml:space="preserve">Interpolated from highest consistent bolt number, extremely inconsistent</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6">
      <text>
        <t xml:space="preserve">Tricksleeves doesn't boost rate</t>
      </text>
    </comment>
    <comment authorId="0" ref="F24">
      <text>
        <t xml:space="preserve">max</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Tested and bad: trace rifles, Riskrunner, Ticuu's Divination, Hierarchy of Needs, Outbreak Perfected, Microcosm, Tarrabah, Final Warning, Barrow-Dyad, Merciless, Telesto, Ager's Scepter, Choir of One, Queenbreaker, D.A.R.C.I., Leviathan's Breath, Winterbite, Grand Overture, Coldheart, Divinity, Bastion, The Fourth Horseman, Necrotic Grip</t>
      </text>
    </comment>
    <comment authorId="0" ref="D3">
      <text>
        <t xml:space="preserve">Should in theory be ~16, hard cap?</t>
      </text>
    </comment>
    <comment authorId="0" ref="C9">
      <text>
        <t xml:space="preserve">20 stacks in 3.183s with Storm's Keep</t>
      </text>
    </comment>
    <comment authorId="0" ref="C7">
      <text>
        <t xml:space="preserve">40 stacks in 6s with Storm's Keep</t>
      </text>
    </comment>
    <comment authorId="0" ref="C6">
      <text>
        <t xml:space="preserve">40 stacks in 5.95s with Storm's Keep</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Timed from first input</t>
      </text>
    </comment>
  </commentList>
</comments>
</file>

<file path=xl/sharedStrings.xml><?xml version="1.0" encoding="utf-8"?>
<sst xmlns="http://schemas.openxmlformats.org/spreadsheetml/2006/main" count="14194" uniqueCount="3541">
  <si>
    <t>Welcome to my boss DPS spreadsheet! Here you'll find the most accurate boss damage testing that currently exists in Destiny 2. Feel free to make a copy (File &gt; Make a copy) if you want to play around with the data yourself. Here's a brief overview of the tabs:</t>
  </si>
  <si>
    <r>
      <rPr>
        <b/>
        <color rgb="FFD9F0FF"/>
        <sz val="11.0"/>
        <u/>
      </rPr>
      <t xml:space="preserve">WATCH: </t>
    </r>
    <r>
      <rPr>
        <b val="0"/>
        <color rgb="FFD9F0FF"/>
        <sz val="11.0"/>
        <u/>
      </rPr>
      <t>How does this spreadsheet work?</t>
    </r>
  </si>
  <si>
    <t>Current News</t>
  </si>
  <si>
    <t>Changelog</t>
  </si>
  <si>
    <t>History of changes made to the spreadsheet.</t>
  </si>
  <si>
    <r>
      <rPr>
        <rFont val="Arial"/>
        <b/>
        <color rgb="FFFFFFFF"/>
        <sz val="10.0"/>
      </rPr>
      <t>If you have any suggestions or questions, feel free to reach out to me at @</t>
    </r>
    <r>
      <rPr>
        <rFont val="Arial"/>
        <b/>
        <i/>
        <color rgb="FFFFFFFF"/>
        <sz val="10.0"/>
      </rPr>
      <t>theaegisrelic</t>
    </r>
    <r>
      <rPr>
        <rFont val="Arial"/>
        <b/>
        <color rgb="FFFFFFFF"/>
        <sz val="10.0"/>
      </rPr>
      <t xml:space="preserve"> on Discord.</t>
    </r>
  </si>
  <si>
    <t>Working on MoT damage testing and stuff.</t>
  </si>
  <si>
    <t>FAQ</t>
  </si>
  <si>
    <t>Commonly asked questions/myths about boss DPS.</t>
  </si>
  <si>
    <t>Equipment</t>
  </si>
  <si>
    <t>The stuff you need for DPS, whether it be weapons or armor.</t>
  </si>
  <si>
    <t>Weapons</t>
  </si>
  <si>
    <t>True weapon damage values against Templar.</t>
  </si>
  <si>
    <t>Abilities</t>
  </si>
  <si>
    <t>True ability damage values against Templar.</t>
  </si>
  <si>
    <t>Scaling</t>
  </si>
  <si>
    <t>How well certain damage sources stack with multiple users.</t>
  </si>
  <si>
    <t>Ranking</t>
  </si>
  <si>
    <t>DPS strategies involving more than one weapon, ranked by DPS/total.</t>
  </si>
  <si>
    <t>Graphing</t>
  </si>
  <si>
    <t>Full data dump of relevant DPS strategies over time.</t>
  </si>
  <si>
    <t>Sustained</t>
  </si>
  <si>
    <t>Precise DPS of individual damage sources.</t>
  </si>
  <si>
    <t>Swap</t>
  </si>
  <si>
    <t>Measures of DPS in the context of swapping.</t>
  </si>
  <si>
    <t>Bosses</t>
  </si>
  <si>
    <t>Health values and considerations.</t>
  </si>
  <si>
    <t>Pack Hunter</t>
  </si>
  <si>
    <t>Pack Hunter scaling and stacking tests.</t>
  </si>
  <si>
    <t>Ergo Sum</t>
  </si>
  <si>
    <t>Testing every archetype combination of Destiny's first special sword.</t>
  </si>
  <si>
    <t>Super</t>
  </si>
  <si>
    <t>Testing active gain rates of different damage sources for super generation.</t>
  </si>
  <si>
    <t>Bolt Charge</t>
  </si>
  <si>
    <t>Testing Bolt Charge generation rate and DPS from various sources.</t>
  </si>
  <si>
    <t>Historical</t>
  </si>
  <si>
    <t>Comparisons to pre-nerf/patch DPS options.</t>
  </si>
  <si>
    <t>Testing</t>
  </si>
  <si>
    <t>Clipboard dump for temporary experiments.</t>
  </si>
  <si>
    <t>Date</t>
  </si>
  <si>
    <t>Description</t>
  </si>
  <si>
    <t>upcoming</t>
  </si>
  <si>
    <t>Renegades testing.</t>
  </si>
  <si>
    <t>Added Something Something to Sustained tab.</t>
  </si>
  <si>
    <t>Added Hellion to Swap tab.</t>
  </si>
  <si>
    <t>Added New Land Beyond holster swap to Swap tab.</t>
  </si>
  <si>
    <t>Added Shattershafts chunking to Historical tab.</t>
  </si>
  <si>
    <t>Updated chunking values for every relevant Weapons tab entry.</t>
  </si>
  <si>
    <t>Added Contraverse chunking to Sustained tab and Historical tab, added pre-additive Verity grapples to Historical tab.</t>
  </si>
  <si>
    <t>Updated New Land Beyond reserves in Sustained tab.</t>
  </si>
  <si>
    <t>Updated bolt values in Weapons tab.</t>
  </si>
  <si>
    <t>Updated New Malpais value in Weapons and Sustained tab.</t>
  </si>
  <si>
    <t>Added Heirloom and Praxic Blade to Weapons and Sustained tab.</t>
  </si>
  <si>
    <t>Updated Golden Gun Nighthawk and Needlestorm Mataiodoxia values in Abilities and Swap tabs.</t>
  </si>
  <si>
    <t>Added Equilibrium legendary archetypes to Weapons tab and Sustained tab. Added Equilibrium bosses to Bosses tab.</t>
  </si>
  <si>
    <t>Fixed Wolfsbane total in Sustained tab.</t>
  </si>
  <si>
    <t>Added Winter's Wrath cancel cycle to Abilities and Swap tab.</t>
  </si>
  <si>
    <r>
      <rPr>
        <color rgb="FF181A1B"/>
      </rPr>
      <t xml:space="preserve">Added and updated everything from this: </t>
    </r>
    <r>
      <rPr>
        <color rgb="FF56A3F1"/>
        <u/>
      </rPr>
      <t>https://www.bungie.net/7/en/News/Article/destiny_update_9_5_0</t>
    </r>
  </si>
  <si>
    <t>Added and updated Fireteam (S27) and Graphing (S27) tabs.</t>
  </si>
  <si>
    <t>Added some Renegades weapons to Sustained and Swap tabs.</t>
  </si>
  <si>
    <t>Updated Sustained and Swap tabs with new base values.</t>
  </si>
  <si>
    <t>Finalized Weapons and Abilities tabs for The Edge of Fate.</t>
  </si>
  <si>
    <t>Added spread shot Cascade Point entry to Weapons tab, retired Tracker tab.</t>
  </si>
  <si>
    <t>Finished Weapons tab.</t>
  </si>
  <si>
    <t>Changed Arcane Embrace entry to use e. Aggregate Charge instead of e. Precision Instrument in Sustained tab.</t>
  </si>
  <si>
    <t>Fixed dungeon 1 phase DPS values to account for 3 player instead of 6 player fireteam size.</t>
  </si>
  <si>
    <t>Added include/exclude distinction for Tessellation values in Swap tab.</t>
  </si>
  <si>
    <t>Updated Wolfsbane rows and added Outbreak modifier to Sustained tab.</t>
  </si>
  <si>
    <t>Updated Hellion, Arc Soul, and Ionic Sentry values in Sustained tab.</t>
  </si>
  <si>
    <t>Added Wolfsbane to Weapons, Sustained, and Swap tabs.</t>
  </si>
  <si>
    <t>Finished Day 1 DPS tabs, video soon.</t>
  </si>
  <si>
    <t>Added Day 1 (S27) tabs and updated with titan rotations.</t>
  </si>
  <si>
    <t>Updated Sustained and Swap tabs with new Temporal Blast values (and appropriate Armaments comparisons). Removed melee stat stacking with seasonal super entries in Swap tab.</t>
  </si>
  <si>
    <t>Added phase lengths to Desert Perpetual bosses in Bosses tab, also finished clearable DPS column.</t>
  </si>
  <si>
    <t>Added ammoless aerial lightweight swords to Historical tab.</t>
  </si>
  <si>
    <t>Finished legendary archetypes in new Weapons tab, added New Malpais to Sustained tab.</t>
  </si>
  <si>
    <t>Added legendary fusion rifles, grenade launchers, glaives, hand cannons, linear fusion rifles, machine guns, pulse rifles, rocket launchers, scout rifles, and shotguns to new Weapons tab.</t>
  </si>
  <si>
    <t>Added most bow and auto rifle entries to new Weapons tab.</t>
  </si>
  <si>
    <t>Added Trachinus with bugged Assault Mag to Sustained and Swap tabs.</t>
  </si>
  <si>
    <t>Updated Bosses tab.</t>
  </si>
  <si>
    <t>Added Storm's Keep and a few more seasonal weapon options to Sustained tab.</t>
  </si>
  <si>
    <t>Added Networked Targeting x5 to several more competitive sniper options in Sustained tab.</t>
  </si>
  <si>
    <t>Changed Throwing Hammer values to correctly include shotgun damage in Sustained tab, also adjusted Winterbite melee to include Weapons stat bonus.</t>
  </si>
  <si>
    <t>Removed Liar's options for grapple damage in Sustained and Swap tab, started work on new Weapons and Abilities tabs.</t>
  </si>
  <si>
    <t>Finished Tracker tab for TFS &gt; EoF changes.</t>
  </si>
  <si>
    <t>Added a few extra seasonal rows in the Sustained and Swap tab after Temporal Blast testing.</t>
  </si>
  <si>
    <t>Added a few temporary mod-based seasonal options in the Sustained tab.</t>
  </si>
  <si>
    <t>Updated SES Song of Flame and HHSN values in Abilities tab. Added Cascade spread shot and Eriana transfer values to Weapons and Swap tab. Added and updated a variety of grapple melee options to both Sustained and Swap tab, updated Wishful Ignorance values in Swap tab.</t>
  </si>
  <si>
    <t>Updated Kinetic Tremors in FAQ.</t>
  </si>
  <si>
    <t>Finished Sustained and Swap tab.</t>
  </si>
  <si>
    <t>Finished Abilities tab.</t>
  </si>
  <si>
    <t xml:space="preserve">Updated Weapons tab up to snipers with new EoF numbers and added literally every single weapon damage source in the game. </t>
  </si>
  <si>
    <t>Added Realistic and Graphing (Realistic) tabs.</t>
  </si>
  <si>
    <t>Updated Lord of Wolves and Finality's Auger values, added New Land Beyond values.</t>
  </si>
  <si>
    <t>Added Kinetic Tremors + Elemental Honing Praedyth's Revenge to Swap tab, updated swords with Pack Hunter due to Relentless changes.</t>
  </si>
  <si>
    <t>Added S26 rotations, hid Day 1 (S26) tab since most information is better presented in fireteam/graphing tabs.</t>
  </si>
  <si>
    <t>Updated Raneiks health post-patch, FAQ tab, and Equipment tab. Hid Reference tab, since this function is mostly covered by the Endgame Analysis sheet's Archetypes tab.</t>
  </si>
  <si>
    <t>Added Barrow-Dyad values to Sustained tab.</t>
  </si>
  <si>
    <t>Fixed the true DPS value of Nova Bomb - Vortex in the Swap tab.</t>
  </si>
  <si>
    <t>Added Ill Omen to Bolt Charge tab.</t>
  </si>
  <si>
    <t>Finished Bolt Charge tab and added Redirection Posterity to Swap tab.</t>
  </si>
  <si>
    <t>Fixed slightly inaccurate adaptive fusion rifle, precision fusion rifle, rapid-fire machine gun, adaptive machine gun, and rocket sidearm values.</t>
  </si>
  <si>
    <t>Added base Le Monarque damage to Weapons tab.</t>
  </si>
  <si>
    <t>Added Redirection + Bait and Switch Unvoiced to Swap and Sustained tab.</t>
  </si>
  <si>
    <t>Added Sundered Doctrine boss health to Bosses tab.</t>
  </si>
  <si>
    <t>Added Finality's Auger to Weapons and Sustained tab, changed Sustained tab to use Well buff instead of Lumina + support frame, added Elemental Honing x5 Unloved to Swap tab.</t>
  </si>
  <si>
    <t>Updated The Wardcliff Coil, Apex Predator, Deathbringer, Dragon's Breath, Parasite, The Prospector with non-RDM values, removed RDM Cold Comfort and Crux Termination IV from Sustained tab, removed Bipod swapping rows from Sustained tab, updated glaive melee values in Sustained and Abilities tab, added Praedyth's Revenge with Elemental Honing and Networked Targeting x5 to Sustained tab, added Day 1 (S26) tab.</t>
  </si>
  <si>
    <t>Updated damage/health values for S26 scalar, added/updated a lot of stuff.</t>
  </si>
  <si>
    <t>Added Keen Thistle with TT/FTTC to Sustained tab.</t>
  </si>
  <si>
    <t>Added link to Supertrack sheet to Super tab.</t>
  </si>
  <si>
    <t>Updated Celestial Nighthawk Golden Gun values in Abilities and Swap tabs.</t>
  </si>
  <si>
    <t>Added Slayer's Fang to Weapons, Sustained, and Swap tabs.</t>
  </si>
  <si>
    <t>Removed aerial spam Sentinel Shield combo and updated grounded spam damage in both Abilities and Swap tab.</t>
  </si>
  <si>
    <t>Added Rat King to Weapons and Sustained tab, added a lot of tests to Super tab.</t>
  </si>
  <si>
    <t>Made a few adjustments to Legend of Acrius, Grand Overture, and Tractor Trench rapid options in S25 ranking.</t>
  </si>
  <si>
    <t>Finished Ranking tab for S25.</t>
  </si>
  <si>
    <t>Added first entries into Super tab, changed Izanagi's Burden swap DPS timing based on better reload cancel timings.</t>
  </si>
  <si>
    <t>Added fireteam scaling values for wave frame swords in Sustained tab.</t>
  </si>
  <si>
    <t>Added Winter's Wrath chunking to Historical tab.</t>
  </si>
  <si>
    <t>Added Super tab.</t>
  </si>
  <si>
    <t>Added Eriana's Vow 6 shot swap to Swap tab.</t>
  </si>
  <si>
    <t>Updated Winter's Wrath values, added Sentinel Shield with both combos, added Telesto, updated Unplanned Reprieve Ergo Sum values in Sustained tab.</t>
  </si>
  <si>
    <t>Removed Arcane Embrace with Trench Barrel following Update 8.1.5.</t>
  </si>
  <si>
    <t>Added Explosive Light comparisons for adaptive HGLs to Weapons tab.</t>
  </si>
  <si>
    <t>Added first pass of S25 rotation data to Ranking and Graphing tabs, added first pass of data to Scaling tab.</t>
  </si>
  <si>
    <t>Fixed Scintillation in Sustained tab to reflect perk swap patch, updated Reference and Sustained tabs with new reserve values, removed and adjusted some potential rotations in the Ranking tab.</t>
  </si>
  <si>
    <t>Added Scaling tab.</t>
  </si>
  <si>
    <t>Added Tomorrow's Arsenal to Sustained tab.</t>
  </si>
  <si>
    <t>Added Arcane Embrace damage values and fixed heavy burst HC damage values.</t>
  </si>
  <si>
    <t>Added Vesper's Host boss health values.</t>
  </si>
  <si>
    <t>Added Ice Breaker damage values.</t>
  </si>
  <si>
    <t>Updated Ex Diris and One Thousand Voices reserves.</t>
  </si>
  <si>
    <t>Added Alethonym, The Chaperone, and aggressive swords with Pack Hunter, updated Choir of One, adaptive/rapid HGLs, high-impact LMGs, Ex Diris, Prospector, Two-Tailed Fox, every Lucky Pants-related hand cannon, Pyrogale Burning Maul, Celestial Golden Gun, Thundercrash (three variants), SES Nova Bomb, Nova Warp, Ballidorse Winter's Wrath, Stylish Synthoceps grapple melees, and reserve values for some snipers, Leviathan's Breath, rocket sidearms, and traces.</t>
  </si>
  <si>
    <t>Updated values with new S25 RAD scalar.</t>
  </si>
  <si>
    <t>Updated Pack Hunter values with proper explosive/impact distribution numbers and fixed some Surrounded scalars, updated Euphony numbers with proper threadling scaling.</t>
  </si>
  <si>
    <t>Added Choir of One values and updated glaive melee values.</t>
  </si>
  <si>
    <t>Updated some incorrect total damage values from update 8.0.5.</t>
  </si>
  <si>
    <t>Updated all total damage to reflect reserve changes from update 8.0.5 in Sustained and Reference tabs, also removed Envious &gt; Cascade swap Edge Transit entry.</t>
  </si>
  <si>
    <t>Updated SoF w/ SES, Twilight Arsenal, Hammer of Sol, and glaive melee values in Abilities and Swap tabs.</t>
  </si>
  <si>
    <t>Updated Still Hunt values with 8.0.0.8 nerf.</t>
  </si>
  <si>
    <t>Tweaked sword cycle timings, added some Ergo Sum rolls to Sustained tab.</t>
  </si>
  <si>
    <t>Added third batch of Ergo Sum testing.</t>
  </si>
  <si>
    <t>Added Claws + Necrotic Song of Flame to Swap and Abilities tabs, also added Necrotic to Feast of Light x6 entries. Added Revision Zero (both modes) and Edge of Concurrence to Weapons and Sustained tab.</t>
  </si>
  <si>
    <t>Added second batch of Ergo Sum testing, updated Crux Termination IV entry to include Bipod swap reserves.</t>
  </si>
  <si>
    <t>Started first batch of Ergo Sum testing in new tab.</t>
  </si>
  <si>
    <t>Added Explosive Light Apex Predator 2 shots without Pack Hunter to Swap tab upon request.</t>
  </si>
  <si>
    <t>Added Bleak Watcher passive damage, updated unravel damage, added Sol Invictus testing, added a manual reload to Cenotaph Microcosm, added Chill Clip Chaos Reshaped Critical Anomaly to Swap tab, added Precision Instrument Sightline Survey to Weapons and Swap tab.</t>
  </si>
  <si>
    <t>Added Euphony with no Thread of Evolution or Ascent grenade reloads, updated Critical Anomaly Chill Clip value to account for final two shots missing shatter damage.</t>
  </si>
  <si>
    <t>Added Relentless Strikes Pack Hunter interaction to FAQ tab.</t>
  </si>
  <si>
    <t>Finished Swap tab.</t>
  </si>
  <si>
    <t>Added Cold Steel Ill Omen to Sustained tab and updated Summum Bonum with Adept Impact.</t>
  </si>
  <si>
    <t>Updated some Sustained values, including Arc Soul, Hellion, Two-Tailed Fox, jolt, unravel, and Cornered + Surrounded Scintillation. Also updated some confusing headings in the Sustained and Swap tabs, and finished Abilities tab.</t>
  </si>
  <si>
    <t>Finished almost everything in Abilities tab (besides a few grenades), updated a lot of Swap tab values.</t>
  </si>
  <si>
    <t>Finished Reference tab values.</t>
  </si>
  <si>
    <t>Added Final Warning, added Chill Clip aggressive sniper, updated Two-Tailed Fox post-surge change.</t>
  </si>
  <si>
    <t>Finalized all raid and dungeon boss values.</t>
  </si>
  <si>
    <t>Added a couple more raid bosses, updated entire sheet's values to match new universal 25% damage boost.</t>
  </si>
  <si>
    <t>Added a couple raid bosses to Bosses tab with new health values, added Ergo Sum tab.</t>
  </si>
  <si>
    <t>Completely updated Single tab with modern values, completely updated Weapons tab, renamed Single tab to Sustained, updated Equipment tab, created Reference tab, updated all weapon images to cleaner versions.</t>
  </si>
  <si>
    <t>Added The Other Half to Single tab.</t>
  </si>
  <si>
    <t>Added Clown EL Crux with Lunafaction manual reloads to Single tab.</t>
  </si>
  <si>
    <t>Updated Morgeth and Riven crit value to 1.0 (Sleeper-exclusive DR provided wrong results), added Deathbringer scaling to FAQ.</t>
  </si>
  <si>
    <t>Updated Equipment tab.</t>
  </si>
  <si>
    <t>Revamped Ranking tab completely, added Graphing tab.</t>
  </si>
  <si>
    <t>Removed Mechaneer's bug from Swap tab (patched).</t>
  </si>
  <si>
    <t>Updated Wolfpacks tab with third round of testing, archived old data.</t>
  </si>
  <si>
    <t>Updated Single and Swap tabs with some new values (breech GLs, Final Warning with double Tricksleeves, and more), updated missing BRAVE images.</t>
  </si>
  <si>
    <t>Update 7.3.6:  Updated Whisper of the Worm and One Thousand Voices total damage, added Final Warning and The Last Word, updated breech GL damage, updated Forerunner.</t>
  </si>
  <si>
    <t>Brave Arsenal: added Brave versions of several weapons, including The Mountaintop and Edge Transit, as well as a temporary theoretical Izanagi Edge Transit rotation to Ranking tab.</t>
  </si>
  <si>
    <t>Update 7.3.5: adjusted total damage for many weapons, changed values for many weapons, fixed Pyrogale damage, added Arcane Needle, removed Frenzied Blade x2, modified Bait and Switch value, incorporated Envious Assassin nerf, added Prospector to Single tab.</t>
  </si>
  <si>
    <t>Updated FAQ a bit and removed some unnecessary questions.</t>
  </si>
  <si>
    <t>Fixed a small error with Surrounded adaptive rocket launcher total damage in the Single tab.</t>
  </si>
  <si>
    <t>Added Precision Instrument Doomed Petitioner and grapple melee to Single tab.</t>
  </si>
  <si>
    <t>Updated most base melee values, added caster frames to Single and Weapons tab.</t>
  </si>
  <si>
    <t>Added Warlord's Ruin boss health values.</t>
  </si>
  <si>
    <t>Updated The Fourth Horseman cycle values in Single tab.</t>
  </si>
  <si>
    <t>Added rocket-assisted frame sidearm values, updated Incinerator Snap values.</t>
  </si>
  <si>
    <t>Split Values tab into Weapons and Abilities.</t>
  </si>
  <si>
    <t>Added Winterbite to Single and Values tab.</t>
  </si>
  <si>
    <t>Added Slideshot Crux Termination IV and Controlled Burst Scatter Signal to Single tab.</t>
  </si>
  <si>
    <t>Removed Ballidorse Wrathweavers from FAQ, updated Izanagi's Burden, Whisper of the Worm, Cloudstrike, legendary sniper, glaive, and Celestial Nighthawk values, added Dragon's Breath, removed glaive projectile values.</t>
  </si>
  <si>
    <t>Added two quickswap rotations to Ranking tab, changed Apex to Surrounded in Ranking tab.</t>
  </si>
  <si>
    <t>Changed Nox Perennial V reserves to 22 from 28 after supposed hotfix.</t>
  </si>
  <si>
    <t>Added Monte Carlo with Bayonet Locked and Worldline Zero with Temporal Sprint to Values tab, Lumina to Equipment tab, and Nanotech Tracer Rockets to FAQ tab.</t>
  </si>
  <si>
    <t>Updated Equipment tab with pellet shotguns and HGLs.</t>
  </si>
  <si>
    <t>Updated Warden's sniper Gjallarhorn rotation to use correct super.</t>
  </si>
  <si>
    <t>Added Death's Razor to Swap tab.</t>
  </si>
  <si>
    <t>Updated Nox Perennial V with new total reserves number in Single tab.</t>
  </si>
  <si>
    <t>Updated The Eremite Reservoir Burst total damage value to account for final mag losing perk in Single tab.</t>
  </si>
  <si>
    <t>Updated Equipment tab with S22 options.</t>
  </si>
  <si>
    <t>Updated Crota scalar with more precise testing.</t>
  </si>
  <si>
    <t>Updated Royal Executioner mag sequence to account for enhanced Reservoir Burst in Single tab.</t>
  </si>
  <si>
    <t>Removed double pellet Gjally (Weavewalk) rotation from Ranking tab, added Warden's Law to Values and Swap tab.</t>
  </si>
  <si>
    <t>Updated Lament total damage values with 65 instead of 58 reserves in Single tab.</t>
  </si>
  <si>
    <t>Added Black Talon to Values and Single tab, added Heartshadow values to Values and Single tab.</t>
  </si>
  <si>
    <t>Updated aerial light attack value for Goldtusk in Values and Single tab.</t>
  </si>
  <si>
    <t>Updated Foetracer Izi sniper Apex rotation to include 3/4 surge with RNG 11 Clown mag, readjusted incorrect Blade Barrage values in Ranking tab and updated Horseman Wendigo total time, added Goldtusk grounded 3L1H to Single tab.</t>
  </si>
  <si>
    <t>Fixed erroneous Goldtusk aerial heavy value in Single tab.</t>
  </si>
  <si>
    <t>Updated BoW section in FAQ, Ranking, and Swap tabs, added double stacking BoW to Historical tab, removed grenades from Single tab, added Type column to Single tab, added Bequest light attacks only to Single tab.</t>
  </si>
  <si>
    <t>Finished Historical tab.</t>
  </si>
  <si>
    <r>
      <rPr>
        <rFont val="Arial"/>
        <b/>
        <color theme="1"/>
      </rPr>
      <t xml:space="preserve">Completely redid Ranking tab and merged Sequencing tab into it, </t>
    </r>
    <r>
      <rPr>
        <rFont val="Arial"/>
        <b val="0"/>
        <color theme="1"/>
      </rPr>
      <t>updated Malfeasance from 18 to 17 shot burst, added videos to every rotation, added titan BoW rotations to Ranking tab and titan BoW abilities to Swap tab.</t>
    </r>
  </si>
  <si>
    <t>Added Goldtusk to Single tab and Crota's End bosses to Bosses tab.</t>
  </si>
  <si>
    <t>Edited kinetic surge info into Golden Gun FAQ, removed Synthoceps from Equipment tab.</t>
  </si>
  <si>
    <t>Added Pyrogale vs. Cuirass to FAQ tab, added Tessellation to Values, Single, and Swap tabs.</t>
  </si>
  <si>
    <t>Added Bait and Switch Supremacy to Swap tab.</t>
  </si>
  <si>
    <t>Renamed Timing tab to Single, added double stack Banner of War to Values tab.</t>
  </si>
  <si>
    <t>Added Banner of War Bladefury, One-Two Punch Frenzied Blade, and One-Two Punch Grapple Melee to Values tab.</t>
  </si>
  <si>
    <t>Merged Single and Timing tab together, also redid entire Timing tab, updated Malfeasance value from 15 to 18 shot burst.</t>
  </si>
  <si>
    <t>Updated all damage total-type columns to use comma formatting, updated FAQ to match new Pack Hunter testing, added Reconstruction manual reload to FAQ tab.</t>
  </si>
  <si>
    <r>
      <rPr>
        <rFont val="Arial"/>
        <color theme="1"/>
      </rPr>
      <t xml:space="preserve">Updated Izanagi's Burden, Golden Gun, Blade Barrage, threadling Grenade, Two-Tailed Fox, and Needlestorm in Values tab, updated all Sequencing rotations to use ideal timings, updated Wolfpacks tab with 7.2.0.1 change, added buffed Bipod to Wolfpacks tab.
</t>
    </r>
    <r>
      <rPr>
        <rFont val="Arial"/>
        <b/>
        <color theme="1"/>
      </rPr>
      <t>Redid almost every tab with 7.2.0.1 rocket update and new data, also redid Sequencing entirely with swap data.</t>
    </r>
  </si>
  <si>
    <t>Added Burning Maul w/ Pyrogale Gauntlets to Values tab.</t>
  </si>
  <si>
    <t>Edited Arc Soul values in FAQ and Single tab to accurately reflect 60s timing window, added debuff extension to FAQ tab, added Legend of Acrius to Trench Barrel section in FAQ tab, added Broodweaver grenades to FAQ tab.</t>
  </si>
  <si>
    <t>Added Well conversion and No Backup Plans to FAQ tab.</t>
  </si>
  <si>
    <t>Added Trench Barrel to FAQ tab, added FPS-based damage to FAQ tab, finalized Arc Soul team damage results.</t>
  </si>
  <si>
    <t>Added Current News section to Home page, deleted Pack Hunter rockets from Values tab, added Cluster Bomb values to FAQ tab, added Experimental tab to theorycraft team DPS, cleaned up tab descriptions in Home tab, added Duality to FAQ tab.</t>
  </si>
  <si>
    <t>Moved old Wolfpacks tab to hidden, filled out remaining Wolfpack data.</t>
  </si>
  <si>
    <t>Added Ballidorse to Wolfpacks tab, removed A/S column, added % diff column, updated Malfeasance Blade Apex rotation with Cascade Point, added Malfeasance Impetus Apex rotation.</t>
  </si>
  <si>
    <t>Added Seventh Seraph CQC-12 to Equipment tab, added Cascade Point IKELOS_SG_V1.0.3 to Swap tab, added Golden Gun Well vs. Radiant testing to FAQ.</t>
  </si>
  <si>
    <t>Added manually reloaded Cup-Bearer SA/2 to Timing and Single tabs.</t>
  </si>
  <si>
    <t>Updated Wolfpacks tab with second round of testing.</t>
  </si>
  <si>
    <t>Removed graph from Single tab, updated Arc Soul base and Amplified damage, filled in Arc Soul vs. Needlestorm in FAQ.</t>
  </si>
  <si>
    <t>Finished half of new Pack Hunter testing, added Kinetic Tremors to FAQ.</t>
  </si>
  <si>
    <t>Updated ranking graph, added special GLs comp to FAQ, removed some bad prospective test exotics from Values tab.</t>
  </si>
  <si>
    <t>Added empty Wolfpacks (new) tab, added Notes column to Equipment tab.</t>
  </si>
  <si>
    <t>Added Equipment tab, added Cascade HGL, added double slug Parasite, added no Pack Izi slug Apex, updated Two-Tailed Fox values, added Duality values, added Duality slug Apex.</t>
  </si>
  <si>
    <t>Finished Swap tab and added Duration column, finished RDM vs. RoF vs. TDS testing.</t>
  </si>
  <si>
    <t>Reworked Bosses tab and added kill examples.</t>
  </si>
  <si>
    <t>Updated Sequencing to more accurately reflect Threadling Grenade damage timing in the Ranking graph, updated Historical descriptions and added PD Sleeper.</t>
  </si>
  <si>
    <t>Updated FAQ and added finished full boss health values in Bosses tab.</t>
  </si>
  <si>
    <t>Split Components tab into Components and Swap.</t>
  </si>
  <si>
    <t>Video released, Conditional pellet Apex rotation modified to account for Heat Rises (2 dash), added FAQ, Bosses, and Historical tabs.</t>
  </si>
  <si>
    <t>Frequently Asked Questions</t>
  </si>
  <si>
    <t>Adept Impact</t>
  </si>
  <si>
    <t>How much does Adept Impact matter on swords?</t>
  </si>
  <si>
    <t>2.93% on light attack, 1.9% on heavy attack (wave).</t>
  </si>
  <si>
    <t>BnS first shot</t>
  </si>
  <si>
    <t>Does Bait and Switch affect the shot that activates it?</t>
  </si>
  <si>
    <r>
      <rPr>
        <color rgb="FF000000"/>
      </rPr>
      <t xml:space="preserve">It depends. If a Bait and Switch weapon is the one to activate Bait and Switch, people typically think that, because the timer has not started and the damage number appears to be an unbuffed one, it is not active. However, in solo instances, the game actually does do the BnS damage to the enemy, meaning that BnS is effectively a flat 30% perk for all shots if used correctly. </t>
    </r>
    <r>
      <rPr>
        <color rgb="FF000000"/>
        <u/>
      </rPr>
      <t>In the attached video, see that both rocket shots do approximately the same amount to the health bar despite the first shot being the activation condition (the difference between both shots' damage can be attributed to the ~7500 DDT damage error against Templar, 1 pixel's worth)</t>
    </r>
    <r>
      <rPr>
        <color rgb="FF000000"/>
      </rPr>
      <t xml:space="preserve">. </t>
    </r>
    <r>
      <rPr>
        <color rgb="FF000000"/>
      </rPr>
      <t>In team settings, however, BnS does not seem to affect the first shot due to instance activity, which likely resulted in the 27% buff value you see in the Wolfpacks tab rather than a full 30.</t>
    </r>
  </si>
  <si>
    <t>BnS timing</t>
  </si>
  <si>
    <t>How long do you have to activate Bait and Switch?</t>
  </si>
  <si>
    <t>About 7 seconds between each weapon (14s total). No, this does not mean you can shoot weapon 1, wait 1 second, shoot weapon 2, wait 13 seconds, then shoot your Bait weapon. Additionally, you can infinitely store Bait and Switch prep by repeatedly tapping your second weapon without ever going back to your first weapon, provided you initially shot your second weapon within 7 seconds of firing the first. Finally, you can't start shooting weapons to reproc Bait and Switch until its timer is out.</t>
  </si>
  <si>
    <t>Danger Zone blinding</t>
  </si>
  <si>
    <t>Does Danger Zone increase the blast radius of the blinding effect of Disorienting Grenades?</t>
  </si>
  <si>
    <t>No, not even with blast radius that is theoretically &gt;0.</t>
  </si>
  <si>
    <t>Cluster Bomb</t>
  </si>
  <si>
    <t>How much damage does Cluster Bomb add to a rocket?</t>
  </si>
  <si>
    <t>On Templar, each cluster does 334+1669 damage (old scalar). Assuming all 8 clusters hit, that's 16024 extra damage on top of a base value of 72339, which comes out to an increase of ~22.15%. However, none of this damage is affected by Pack Hunter, which yields a final result of ~17.5% overall against a regular Pack Hunter rocket.</t>
  </si>
  <si>
    <t>Debuff extension</t>
  </si>
  <si>
    <t>How does debuff extension work?</t>
  </si>
  <si>
    <t>Timer-based full debuffs (30%) like Tractor and Felwinter's can have their timers refreshed by the application of a timer-based weaken, including Echo of Undermining grenades and Snare Bomb. This interaction does not work with either Tether variant, since the debuff applied by those supers does not seem to apply as a timed status effect, but rather by a consistent connection to the Tether object itself.</t>
  </si>
  <si>
    <t>Double vs. triple swaps</t>
  </si>
  <si>
    <t>How much damage loss is not using a third weapon in an Izi rocket rotation?</t>
  </si>
  <si>
    <t>With how little your third weapon (GL/slug/sniper) makes up these days, in an Izi/slug/Apex Broodweaver rotation, you lose something like 4% of your damage by not using a third weapon, but having a third fill is still important if you're waiting for your rocket to load.</t>
  </si>
  <si>
    <t>Duality</t>
  </si>
  <si>
    <t>Is Duality worth using in the context of slug swapping?</t>
  </si>
  <si>
    <t>Given that the standard double slug rocket rotation doesn't use any exotics, using Duality in place of Sojourner's Tale actually boosts damage by about 18.5% per shot against Frenzy Sojourner's. On top of this, in certain boss phases, you can proc On Black Wings and refresh it during damage through precision hits on the boss.</t>
  </si>
  <si>
    <t>Frame-based damage</t>
  </si>
  <si>
    <t>How much are certain damage sources affected by FPS?</t>
  </si>
  <si>
    <t>Health bar-wise, not at all. This includes Leviathan's Breath, Touch of Thunder storm grenades, Anarchy, and Wolfpack rockets, tested at 30 (capped) to 150 (uncapped). When others have found that the game reports lower wipe screen numbers, this is likely because the game counts damage ticks on a per-frame basis, whereas the instance itself actually calculates damage values at its own rate.</t>
  </si>
  <si>
    <t>Frontloaded health bars</t>
  </si>
  <si>
    <t>Are bosses "frontloaded" in health?</t>
  </si>
  <si>
    <t>No. Based on extensive testing across every raid and dungeon boss in the game, not a single boss has a health bar that is not uniformly distributed.</t>
  </si>
  <si>
    <t>Golden Gun buffing</t>
  </si>
  <si>
    <t>Does Well override Radiant for Golden Gun purposes? What about kinetic surges?</t>
  </si>
  <si>
    <t>Yes. Stay outside a Well if you want to do full Golden Gun damage! As for kinetic surges, they are patched and no longer stack with Golden Gun! Finally, other empowering buffs like Lumina and Banner Shield also override the Radiant buff for Golden Gun :(</t>
  </si>
  <si>
    <t>Kinetic Tremors</t>
  </si>
  <si>
    <t>How much damage does Kinetic Tremors add to different weapons? Does it scale with different multipliers?</t>
  </si>
  <si>
    <t>Here's how Kinetic Tremors scales on different weapon types, converted to a perk equivalent:
rapid sniper: ~57.8% buff, 0.433s proc
rapid scout: ~160.2% buff, 0.932s proc
rapid pulse: ~49.6% buff, 0.981s proc
precision HC: ~82.3% buff, 1.392s proc
adaptive sidearm: ~109.4% buff, 1.2s proc
rapid auto: ~175.6% buff, ~0.83s proc
lightweight SMG: ~163.7% buff, ~0.804s proc
precision bow: ~146.1% buff, ~1.15s proc
And yes, it scales with buffs/debuffs/surges/most perks, but it does not stack with other players — only one KT user per team.</t>
  </si>
  <si>
    <t>Nanotech Tracer Rockets</t>
  </si>
  <si>
    <t>How much does Nanotech Tracer Rockets affect the damage of a weapon?</t>
  </si>
  <si>
    <t>For every 3 Dimensional shots at 26623 damage each, one 5102 damage rocket is shot, resulting in approximately 6.4% more damage. This rocket's damage scales with perks, buffs, and debuffs!</t>
  </si>
  <si>
    <t>Pack Hunter multiplier</t>
  </si>
  <si>
    <t>How much damage does Pack Hunter add to legendary rockets?</t>
  </si>
  <si>
    <t>See the Wolfpacks tab of this spreadsheet. In short, Pack Hunter is approximately an 25-30% buff to base rocket damage. However, not all perks are multiplied and treated the same — see the tab for more info.</t>
  </si>
  <si>
    <t>Shotgun swaps</t>
  </si>
  <si>
    <t>Double slug or double pellet? What about rapid fire shotguns?</t>
  </si>
  <si>
    <t>Depends on the boss! Swap component-wise with no perk, slugs are at 95187 DPS (old scalar), while pellets are at 98213 DPS (lightweight, crit). Once you account for perks available on both archetypes, they're pretty close to equal. And yes, the other pellet frames are worse, with rapids at 93493 DPS and aggressive swapping at 88463 DPS.</t>
  </si>
  <si>
    <t>Thundercrash exotics</t>
  </si>
  <si>
    <t>Cuirass or Star-Eater or Synthos?</t>
  </si>
  <si>
    <t>They're all essentially 50% buffs to Thundercrash now, Cuirass is a tiny bit ahead of the other two but it's completely negligible, so just use whatever suits the situation best.</t>
  </si>
  <si>
    <t>Trench Barrel</t>
  </si>
  <si>
    <t>Is meleeing to proc Trench Barrel damage loss? If not, what is the effective DPS change?</t>
  </si>
  <si>
    <t>Yes, but only on some archetypes. For example, rapid-fire shotguns lose DPS against even 15% damage perks like Vorpal when wasting the time to melee with such a high fire rate weapon. On the other hand, archetypes like aggressives and lightweights benefit highly from meleeing between shots, with aggressives specifically losing almost no DPS at all from stopping to melee.</t>
  </si>
  <si>
    <t>Triple rocket options</t>
  </si>
  <si>
    <t>Are Radiant Dance Machines or Rain of Fire better/faster for rocket spam? What about The Dragon's Shadow and Whisper of Impetus?</t>
  </si>
  <si>
    <t>Time to shoot 3 rockets:
RDM: 1.366 + 1.366 = 2.732s
RoF: 1.183 + 1.183 = 2.366s
TDS: 2.383s (Lunafactions reload)
Reconstruction + Impetus: 1.183 + 1.183 = 2.366s</t>
  </si>
  <si>
    <t>Volatile Retrofit</t>
  </si>
  <si>
    <t>How much damage do Volatile Rounds add to Retrofit Escapade now?</t>
  </si>
  <si>
    <t>~5.2%, which is not worth the damage loss of making yourself invisible beforehand or swapping your exotic.</t>
  </si>
  <si>
    <t>Weavewalk</t>
  </si>
  <si>
    <t>Is Weavewalk worth using with Rain of Fire for reloading rockets?</t>
  </si>
  <si>
    <t>Generally no, the animation is too slow (slower than a dash or Ascent reload, and approaching reloading at ~1.8s).</t>
  </si>
  <si>
    <t>#</t>
  </si>
  <si>
    <t>Pic</t>
  </si>
  <si>
    <t>Role</t>
  </si>
  <si>
    <t>Name</t>
  </si>
  <si>
    <t>Column 1</t>
  </si>
  <si>
    <t>Column 2</t>
  </si>
  <si>
    <t>Perk 1</t>
  </si>
  <si>
    <t>Perk 2</t>
  </si>
  <si>
    <t>Notes</t>
  </si>
  <si>
    <t>Ability</t>
  </si>
  <si>
    <t>Celestial Nighthawk</t>
  </si>
  <si>
    <t>/</t>
  </si>
  <si>
    <t>Solid damage super with great ranged burst</t>
  </si>
  <si>
    <t>Cuirass of the Falling Star</t>
  </si>
  <si>
    <t>Zero effort for best damage super in the game</t>
  </si>
  <si>
    <t>Main</t>
  </si>
  <si>
    <t>Caster Frame
Lightweight Frame
Wave Frame</t>
  </si>
  <si>
    <t>The Perfect Fifth
Unplanned Reprieve
Wolfpack Rounds</t>
  </si>
  <si>
    <t>Best sword damage when Transcendent</t>
  </si>
  <si>
    <t>Buff</t>
  </si>
  <si>
    <t>Gjallarhorn</t>
  </si>
  <si>
    <t>Fixed</t>
  </si>
  <si>
    <t>Exists to augment Hezen users</t>
  </si>
  <si>
    <t>Hezen Vengeance</t>
  </si>
  <si>
    <t>Quick Launch</t>
  </si>
  <si>
    <t>Impact Casing</t>
  </si>
  <si>
    <t>Overflow
Envious Assassin
Cluster Bomb</t>
  </si>
  <si>
    <t>Bait and Switch
Elemental Honing</t>
  </si>
  <si>
    <t>Best general burst damage</t>
  </si>
  <si>
    <t>Sanguine Alchemy</t>
  </si>
  <si>
    <t>Best damage armor exotic, free 10% for doing nothing</t>
  </si>
  <si>
    <t>Solipsism</t>
  </si>
  <si>
    <t>Spirit of Inmost Light
Spirit of Apotheosis</t>
  </si>
  <si>
    <t>Spirit of the Star-Eater
Spirit of Verity</t>
  </si>
  <si>
    <t>Great pairing with Nova, excellent for Transcendence farming</t>
  </si>
  <si>
    <t>Utility</t>
  </si>
  <si>
    <t>Tractor Cannon</t>
  </si>
  <si>
    <t>Easiest long-term 30% debuff source</t>
  </si>
  <si>
    <t>Bequest</t>
  </si>
  <si>
    <t>Jagged Edge</t>
  </si>
  <si>
    <t>Swordmaster's Guard</t>
  </si>
  <si>
    <t>Relentless Strikes</t>
  </si>
  <si>
    <t>Surrounded</t>
  </si>
  <si>
    <t>Very easy Surrounded sword damage</t>
  </si>
  <si>
    <t>Filler</t>
  </si>
  <si>
    <t>Choir of One</t>
  </si>
  <si>
    <t>Fluted Barrel</t>
  </si>
  <si>
    <t>Alloy Magazine
Flared Magwell</t>
  </si>
  <si>
    <t>Short-Action Stock</t>
  </si>
  <si>
    <t>Onslaught</t>
  </si>
  <si>
    <t>Great for object-based damage, like Crypt Security or blights</t>
  </si>
  <si>
    <t>Cynosure</t>
  </si>
  <si>
    <t>Overflow
Envious Assassin
Reconstruction</t>
  </si>
  <si>
    <t>Elemental Honing
High Ground</t>
  </si>
  <si>
    <t>Hezen alternative with Reconstruction</t>
  </si>
  <si>
    <t>Edge of Action</t>
  </si>
  <si>
    <t>Lightweight Emitter</t>
  </si>
  <si>
    <t>Swap Mag</t>
  </si>
  <si>
    <t>Free 5% buff and great refreshable protection for glaive/sword damage</t>
  </si>
  <si>
    <t>Edge Transit</t>
  </si>
  <si>
    <t>Spike Grenades
Sticky Grenades</t>
  </si>
  <si>
    <t>Cascade Point
Envious Assassin</t>
  </si>
  <si>
    <t>Bait and Switch
Explosive Light</t>
  </si>
  <si>
    <t>Highest legendary burst DPS in the game (with stickies)</t>
  </si>
  <si>
    <t>IKELOS_SG_V1.0.3</t>
  </si>
  <si>
    <t>Barrel Shroud</t>
  </si>
  <si>
    <t>Tactical Mag</t>
  </si>
  <si>
    <t>Grave Robber</t>
  </si>
  <si>
    <t>One-Two Punch
Surrounded
Cascade Point</t>
  </si>
  <si>
    <t>Solid One-Two Punch option for energy slot</t>
  </si>
  <si>
    <t>Ill Omen</t>
  </si>
  <si>
    <t>Relentless Strikes
Attrition Orbs</t>
  </si>
  <si>
    <t>Whirlwind Blade
Surrounded</t>
  </si>
  <si>
    <t>Most convenient sword damage option, archetype good with Storm's Keep</t>
  </si>
  <si>
    <t>Izanagi's Burden</t>
  </si>
  <si>
    <t>Solid burst damage, decent for Cascade/Envious setups</t>
  </si>
  <si>
    <t>Knucklehead Radar</t>
  </si>
  <si>
    <t>Decent for final stands, might be bugged right now</t>
  </si>
  <si>
    <t>Liturgy</t>
  </si>
  <si>
    <t>Spike Grenades</t>
  </si>
  <si>
    <t>Envious Arsenal</t>
  </si>
  <si>
    <t>Chill Clip</t>
  </si>
  <si>
    <t>Excellent applicator of Chill Clip for Courage, great for Envious rotations</t>
  </si>
  <si>
    <t>Lord of Wolves</t>
  </si>
  <si>
    <t>Excellent melee range special weapon total damage with consistent crit access</t>
  </si>
  <si>
    <t>Lost Signal</t>
  </si>
  <si>
    <t>High-Velocity Rounds</t>
  </si>
  <si>
    <t>Auto-Loading Holster</t>
  </si>
  <si>
    <t>Vorpal Weapon
High Ground</t>
  </si>
  <si>
    <t>Good for farming dark Transcendence energy</t>
  </si>
  <si>
    <t>Lumina</t>
  </si>
  <si>
    <t>35% damage buff guarantee for you and at least one teammate</t>
  </si>
  <si>
    <t>Reload</t>
  </si>
  <si>
    <t>Lunafaction Boots</t>
  </si>
  <si>
    <t>Easy to provide reload boost and exotic is swappable</t>
  </si>
  <si>
    <t>No Hesitation</t>
  </si>
  <si>
    <t>Flared Magwell</t>
  </si>
  <si>
    <t>Physic</t>
  </si>
  <si>
    <t>Attrition Orbs</t>
  </si>
  <si>
    <t>10% universally stackable buff, easy to apply, "splashes" teammates unlike Lumina</t>
  </si>
  <si>
    <t>Perfect Paradox</t>
  </si>
  <si>
    <t>Pugilist
Field Prep</t>
  </si>
  <si>
    <t>One-Two Punch
Trench Barrel</t>
  </si>
  <si>
    <t>Best kinetic One-Two Punch and generic melee shotgun</t>
  </si>
  <si>
    <t>Praedyth's Revenge</t>
  </si>
  <si>
    <t>Fourth Time's the Charm
Kinetic Tremors
Envious Arsenal</t>
  </si>
  <si>
    <t>Elemental Honing
Bait and Switch</t>
  </si>
  <si>
    <t>Best legendary sniper in the game bar none, pairs great with Tractor/Gjallarhorn</t>
  </si>
  <si>
    <t>Psychopomp</t>
  </si>
  <si>
    <t>Elemental Honing
Frenzy</t>
  </si>
  <si>
    <t>Best energy slot DPS perks for an area denial</t>
  </si>
  <si>
    <t>Still Hunt</t>
  </si>
  <si>
    <t>Still solid burst damage post-nerf, synergizes well with rotations and long phases</t>
  </si>
  <si>
    <t>Stoicism</t>
  </si>
  <si>
    <t>Spirit of the Eternal Warrior
Spirit of Inmost Light</t>
  </si>
  <si>
    <t>Spirit of the Star-Eater
Spirit of Synthoceps</t>
  </si>
  <si>
    <t>Equal damage to Cuirass but with a 30s x4 arc surge bonus</t>
  </si>
  <si>
    <t>Synthoceps</t>
  </si>
  <si>
    <t>Still relevant for BoW grapple melee boosts or for glaive damage</t>
  </si>
  <si>
    <t>The Queenbreaker</t>
  </si>
  <si>
    <t>Great damage profile and ease of use even without Particle</t>
  </si>
  <si>
    <t>Thunderlord</t>
  </si>
  <si>
    <t>Very convenient damage option that has been buffed into relevance</t>
  </si>
  <si>
    <t>Unvoiced</t>
  </si>
  <si>
    <t>Assault Mag</t>
  </si>
  <si>
    <t>Redirection</t>
  </si>
  <si>
    <t>Best legendary special burst thanks to Redirection QoL buff</t>
  </si>
  <si>
    <t>VS Chill Inhibitor</t>
  </si>
  <si>
    <t>Envious Arsenal
Cascade Point</t>
  </si>
  <si>
    <t>Bait and Switch
Surrounded
Explosive Light</t>
  </si>
  <si>
    <t>Worse off thanks to HGL nerf and Hezen launch, but still decent for solo burst</t>
  </si>
  <si>
    <t>Abyssal Edge</t>
  </si>
  <si>
    <t>Elemental Honing
Surrounded</t>
  </si>
  <si>
    <t>Best wave without Whirlwind, Honing arguably more consistent than Whirlwind in some cases</t>
  </si>
  <si>
    <t>Adamantite</t>
  </si>
  <si>
    <t>Reciprocity
Slice</t>
  </si>
  <si>
    <t>Alternative to No Hesitation in case kinetic slot needed, but no Physic hurts</t>
  </si>
  <si>
    <t>Anarchy</t>
  </si>
  <si>
    <t>Mediocre total damage compared to dump time, but pairs well with Praedyth's</t>
  </si>
  <si>
    <t>Apex Predator</t>
  </si>
  <si>
    <t>Reconstruction
Slideways</t>
  </si>
  <si>
    <t>Bait and Switch
Surrounded</t>
  </si>
  <si>
    <t>Surrounded still BiS in some cases, still performs decently despite Hezen overshadowing</t>
  </si>
  <si>
    <t>Barrow-Dyad</t>
  </si>
  <si>
    <t>Alloy Magazine</t>
  </si>
  <si>
    <t>Taken Ambition</t>
  </si>
  <si>
    <t>Target Lock</t>
  </si>
  <si>
    <t>Similar to max stack Outbreak with no windup if Peacekeepers used</t>
  </si>
  <si>
    <t>Bastion</t>
  </si>
  <si>
    <t>Surprisingly decent total damage and DPS, just melee-restricted and a little awkward</t>
  </si>
  <si>
    <t>Bitter/Sweet</t>
  </si>
  <si>
    <t>Bait and Switch
Cascade Point</t>
  </si>
  <si>
    <t>Classic perk combo, most standard HGL for damage</t>
  </si>
  <si>
    <t>Briarbinds</t>
  </si>
  <si>
    <t>Best ability-based debuff extension in the game</t>
  </si>
  <si>
    <t>Cloudstrike</t>
  </si>
  <si>
    <t>Very respectable total damage and DPS for a fairly easy-to-use special</t>
  </si>
  <si>
    <t>D.A.R.C.I.</t>
  </si>
  <si>
    <t>Decent damage on its own, empowers Praedyth's to become quite competitive</t>
  </si>
  <si>
    <t>Dimensional Hypotrochoid</t>
  </si>
  <si>
    <t>Envious Assassin</t>
  </si>
  <si>
    <t>One for All</t>
  </si>
  <si>
    <t>Best legendary Raneiks damage option</t>
  </si>
  <si>
    <t>Divinity</t>
  </si>
  <si>
    <t>Still useful in high-pressure environments for weapons like Thunderlord and Queenbreaker</t>
  </si>
  <si>
    <t>Eriana's Vow</t>
  </si>
  <si>
    <t>Excellent special damage with Unloved swapping</t>
  </si>
  <si>
    <t>Euphony</t>
  </si>
  <si>
    <t>Only kinetic slot weapon realistically competitive with Praedyth's for total damage</t>
  </si>
  <si>
    <t>Felwinter's Helm</t>
  </si>
  <si>
    <t>One of the only sources of extendable 30% debuff</t>
  </si>
  <si>
    <t>Geodetic HSm</t>
  </si>
  <si>
    <t>Whirlwind Blade</t>
  </si>
  <si>
    <t>Best adaptive Whirlwind sword</t>
  </si>
  <si>
    <t>Hazardous Propulsion</t>
  </si>
  <si>
    <t>35% buff is a little overrated, but the free volley damage isn't bad</t>
  </si>
  <si>
    <t>Hullabaloo</t>
  </si>
  <si>
    <t>Envious Assassin
Envious Arsenal</t>
  </si>
  <si>
    <t>One for All
Cascade Point</t>
  </si>
  <si>
    <t>Dimensional alternative for Raneiks</t>
  </si>
  <si>
    <t>Ice Breaker</t>
  </si>
  <si>
    <t>High and consistent swap burst option for Envious rotations</t>
  </si>
  <si>
    <t>Imperial Decree</t>
  </si>
  <si>
    <t>Trench Barrel
Surrounded</t>
  </si>
  <si>
    <t>Great for low health burst damage, best general Trench option</t>
  </si>
  <si>
    <t>Keen Thistle</t>
  </si>
  <si>
    <t>Extended Mag</t>
  </si>
  <si>
    <t>Envious Assassin
Triple Tap</t>
  </si>
  <si>
    <t>Bait and Switch
Fourth Time's the Charm</t>
  </si>
  <si>
    <t>Decent swap option, has very high total damage roll</t>
  </si>
  <si>
    <t>Merciless</t>
  </si>
  <si>
    <t>Decent burst damage when Impetus is available, but generally not BiS</t>
  </si>
  <si>
    <t>Outbreak Perfected</t>
  </si>
  <si>
    <t>Appended Mag</t>
  </si>
  <si>
    <t>Rewind Rounds</t>
  </si>
  <si>
    <t>Best fireteam-wide sustained primary damage</t>
  </si>
  <si>
    <t>Burst</t>
  </si>
  <si>
    <t>Parasite</t>
  </si>
  <si>
    <t>Good synergy with holsters, but generally not BiS in current sandbox</t>
  </si>
  <si>
    <t>Rain of Fire</t>
  </si>
  <si>
    <t>Overshadowed by Sanguine + Envious, but still important to use in some cases</t>
  </si>
  <si>
    <t>Scatter Signal</t>
  </si>
  <si>
    <t>Accelerated Coils</t>
  </si>
  <si>
    <t>Overflow</t>
  </si>
  <si>
    <t>Controlled Burst</t>
  </si>
  <si>
    <t>Excellent lazy dark Transcendence generator for Tractor/Gjallarhorn users</t>
  </si>
  <si>
    <t>Summum Bonum</t>
  </si>
  <si>
    <t>Relentless Strikes
Attrition Orbs
Deconstruct</t>
  </si>
  <si>
    <t>Chaos Reshaped
Whirlwind Blade</t>
  </si>
  <si>
    <t>Best wave sword damage, but still a little worse overall than casters for general use</t>
  </si>
  <si>
    <t>Temptation's Hook</t>
  </si>
  <si>
    <t>Ill Omen alternative with worse stats</t>
  </si>
  <si>
    <t>The Fourth Horseman</t>
  </si>
  <si>
    <t>Still usable post-nerf, but relatively niche</t>
  </si>
  <si>
    <t>The Mountaintop</t>
  </si>
  <si>
    <t>Hard Launch
Quick Launch</t>
  </si>
  <si>
    <t>Implosion Rounds
Spike Grenades</t>
  </si>
  <si>
    <t>Auto-Loading Holster
Overflow
Demolitionist</t>
  </si>
  <si>
    <t>Recombination
Vorpal Weapon</t>
  </si>
  <si>
    <t>Higher per-shot than Liturgy, but worse synergy with Courage/Honing</t>
  </si>
  <si>
    <t>The Navigator</t>
  </si>
  <si>
    <t>Needed for grapple melee damage viability</t>
  </si>
  <si>
    <t>The Wardcliff Coil</t>
  </si>
  <si>
    <t>Usable for certain bosses (Dul Incaru)</t>
  </si>
  <si>
    <t>Verity's Brow</t>
  </si>
  <si>
    <t>Good in certain scenarios, like Atheon/Rhulk, otherwise Sanguine is much better</t>
  </si>
  <si>
    <t>VS Velocity Baton</t>
  </si>
  <si>
    <t>Demolitionist</t>
  </si>
  <si>
    <t>Bait and Switch
High Ground
Attrition Orbs</t>
  </si>
  <si>
    <t>Alternative to Psychopomp that has Attrition Orbs</t>
  </si>
  <si>
    <t>Wicked Sister</t>
  </si>
  <si>
    <t>Bait and Switch
Cascade Point
High Ground</t>
  </si>
  <si>
    <t>Good pairing with Euphony, mediocre otherwise</t>
  </si>
  <si>
    <t>Winterbite</t>
  </si>
  <si>
    <t>Best glaive melee damage source</t>
  </si>
  <si>
    <t>Witherhoard</t>
  </si>
  <si>
    <t>Great long-term DoT for Envious rotations</t>
  </si>
  <si>
    <t>Wormgod Caress</t>
  </si>
  <si>
    <t>Best burst melee exotic until Guile gets a meter</t>
  </si>
  <si>
    <t>Ager's Scepter</t>
  </si>
  <si>
    <t>Decent QoL special damage especially with Command available</t>
  </si>
  <si>
    <t>Alethonym</t>
  </si>
  <si>
    <t>Usable as full fireteam-stackable DoT for Envious, but short-term and annoying</t>
  </si>
  <si>
    <t>Apotheosis Veil</t>
  </si>
  <si>
    <t>Used in speedruns to give teammates abilities back, otherwise Solipsism variant is much more relevant</t>
  </si>
  <si>
    <t>Boots of the Assembler</t>
  </si>
  <si>
    <t>Annoying way to get 5s Lumina buff, inconsistent generally</t>
  </si>
  <si>
    <t>Cataphract GL3</t>
  </si>
  <si>
    <t>Envious Assassin allows for easy dump with no loadout changes, but essentially irrelevant now</t>
  </si>
  <si>
    <t>Cold Comfort</t>
  </si>
  <si>
    <t>Still usable for burst, but Overflow on Hezen is much better</t>
  </si>
  <si>
    <t>Conditional Finality</t>
  </si>
  <si>
    <t>Decent option for Envious filler, with Command can trigger 3 times</t>
  </si>
  <si>
    <t>Critical Anomaly</t>
  </si>
  <si>
    <t>Chaos Reshaped</t>
  </si>
  <si>
    <t>Decent damage for two Chill Clip shots, but awkward to maintain</t>
  </si>
  <si>
    <t>Crux Termination IV</t>
  </si>
  <si>
    <t>Slideshot
Reconstruction
Clown Cartridge</t>
  </si>
  <si>
    <t>Explosive Light
Surrounded</t>
  </si>
  <si>
    <t>Surrounded means still relevant, but very niche</t>
  </si>
  <si>
    <t>Dead Weight</t>
  </si>
  <si>
    <t>Auto-Loading Holster
Grave Robber
Field Prep</t>
  </si>
  <si>
    <t>Surrounded
Vorpal Weapon
One-Two Punch</t>
  </si>
  <si>
    <t>Decent non-enhanced energy slot shotgun</t>
  </si>
  <si>
    <t>Falling Guillotine</t>
  </si>
  <si>
    <t>Frenzy</t>
  </si>
  <si>
    <t>Double damage perks make it decent, but vortex frame really destroys total</t>
  </si>
  <si>
    <t>Finality's Auger</t>
  </si>
  <si>
    <t>More annoying Anarchy alternative that does a bit more damage</t>
  </si>
  <si>
    <t>Foetracer</t>
  </si>
  <si>
    <t>Less relevant than Relativism equivalent, but still used sometimes</t>
  </si>
  <si>
    <t>Grand Overture</t>
  </si>
  <si>
    <t>Generally overshadowed by Thunderlord now</t>
  </si>
  <si>
    <t>Koraxis's Distress</t>
  </si>
  <si>
    <t>Surrounded equivalent to Cataphract dump</t>
  </si>
  <si>
    <t>Lucky Pants</t>
  </si>
  <si>
    <t>Relatively niche in current sandbox, but still usable</t>
  </si>
  <si>
    <t>Malfeasance</t>
  </si>
  <si>
    <t>Largely irrelevant for LP damage except against Taken</t>
  </si>
  <si>
    <t>Mask of Bakris</t>
  </si>
  <si>
    <t>4x surges for two weapon types, can be useful in some niche scenarios</t>
  </si>
  <si>
    <t>Microcosm</t>
  </si>
  <si>
    <t>Can be useful against shield-based enemies (GotD, certain Dread)</t>
  </si>
  <si>
    <t>Nessa's Oblation</t>
  </si>
  <si>
    <t>Reconstruction
Fourth Time's the Charm</t>
  </si>
  <si>
    <t>Vorpal Weapon</t>
  </si>
  <si>
    <t>Not very relevant compared to Unvoiced, but has FTTC and more swap-friendly perks</t>
  </si>
  <si>
    <t>One Thousand Voices</t>
  </si>
  <si>
    <t>Probably the easiest high damage exotic to use in the game</t>
  </si>
  <si>
    <t>Rake Angle</t>
  </si>
  <si>
    <t>N/A</t>
  </si>
  <si>
    <t>Close to Melee</t>
  </si>
  <si>
    <t>Any CtM glaive works here</t>
  </si>
  <si>
    <t>Regnant</t>
  </si>
  <si>
    <t>Sticky Grenades</t>
  </si>
  <si>
    <t>Envious Assassin
Auto-Loading Holster</t>
  </si>
  <si>
    <t>Explosive Light</t>
  </si>
  <si>
    <t>Has some use for total damage strategies involving Attrition Orbs</t>
  </si>
  <si>
    <t>Relativism</t>
  </si>
  <si>
    <t>Spirit of Inmost Light
Spirit of the Dragon
Spirit of the Foetracer</t>
  </si>
  <si>
    <t>Generally unused due to Nighthawk and Still Hunt synergy, but some options exist</t>
  </si>
  <si>
    <t>Riiswalker</t>
  </si>
  <si>
    <t>Quickdraw</t>
  </si>
  <si>
    <t>Double pellet options, fairly irrelevant in current sandbox</t>
  </si>
  <si>
    <t>Seventh Seraph CQC-12</t>
  </si>
  <si>
    <t>Star-Eater Scales</t>
  </si>
  <si>
    <t>For use with supers like Gathering Storm and Silence and Squall</t>
  </si>
  <si>
    <t>Supercluster</t>
  </si>
  <si>
    <t>Reconstruction
Fourth Time's the Charm
Threat Detector</t>
  </si>
  <si>
    <t>Vorpal Weapon
Surrounded
Cascade Point</t>
  </si>
  <si>
    <t>Best kinetic slug swap option, but generally not very relevant</t>
  </si>
  <si>
    <t>The Dragon's Shadow</t>
  </si>
  <si>
    <t>Can be useful with weapons like The Fourth Horseman in fast dump rotations</t>
  </si>
  <si>
    <t>The Supremacy</t>
  </si>
  <si>
    <t>Kinetic Tremors
Bait and Switch</t>
  </si>
  <si>
    <t>Strictly worse than Praedyth's in every way</t>
  </si>
  <si>
    <t>Tomorrow's Answer</t>
  </si>
  <si>
    <t>Bait and Switch</t>
  </si>
  <si>
    <t>Hezen predecessor with worse archetype</t>
  </si>
  <si>
    <t>Triton Vice</t>
  </si>
  <si>
    <t>Synthoceps-equivalent glaive melee booster for hunter</t>
  </si>
  <si>
    <t>Unloved</t>
  </si>
  <si>
    <t>Rapid Hit</t>
  </si>
  <si>
    <t>Elemental Honing</t>
  </si>
  <si>
    <t>Only relevant legendary LP HC</t>
  </si>
  <si>
    <t>Until Its Return</t>
  </si>
  <si>
    <t>Surrounded
Cascade Point
Vorpal Weapon</t>
  </si>
  <si>
    <t>Best kinetic slot sustained pellet damage</t>
  </si>
  <si>
    <t>Whisper of the Worm</t>
  </si>
  <si>
    <t>Steady Rounds</t>
  </si>
  <si>
    <t>Field Prep</t>
  </si>
  <si>
    <t>Overshadowed by Queenbreaker</t>
  </si>
  <si>
    <t>Winter's Guile</t>
  </si>
  <si>
    <t>Best burst damage option for Winterbite, but very niche and restrictive</t>
  </si>
  <si>
    <t>Without Remorse</t>
  </si>
  <si>
    <t>Field Prep
Threat Detector</t>
  </si>
  <si>
    <t>Vorpal Weapon
One-Two Punch</t>
  </si>
  <si>
    <t>Yesterday's Question</t>
  </si>
  <si>
    <t>Best energy slot legendary LP HC, basically irrelevant</t>
  </si>
  <si>
    <t>INFORMATION</t>
  </si>
  <si>
    <t>VISUAL</t>
  </si>
  <si>
    <t>HEALTHBAR</t>
  </si>
  <si>
    <t>VERIFICATION</t>
  </si>
  <si>
    <t>🖼️</t>
  </si>
  <si>
    <t>Type</t>
  </si>
  <si>
    <t>Subtype</t>
  </si>
  <si>
    <r>
      <rPr>
        <rFont val="Roboto Condensed"/>
        <color rgb="FFFFFFFF"/>
        <sz val="6.0"/>
      </rPr>
      <t xml:space="preserve">primary
</t>
    </r>
    <r>
      <rPr>
        <rFont val="Roboto Condensed"/>
        <color rgb="FFFFFFFF"/>
        <sz val="9.0"/>
      </rPr>
      <t>Tick</t>
    </r>
  </si>
  <si>
    <r>
      <rPr>
        <rFont val="Roboto Condensed"/>
        <color rgb="FFFFFFFF"/>
        <sz val="6.0"/>
      </rPr>
      <t xml:space="preserve">secondary
</t>
    </r>
    <r>
      <rPr>
        <rFont val="Roboto Condensed"/>
        <color rgb="FFFFFFFF"/>
        <sz val="9.0"/>
      </rPr>
      <t>Ticks</t>
    </r>
  </si>
  <si>
    <t>Modifiers</t>
  </si>
  <si>
    <t>Boss</t>
  </si>
  <si>
    <t>Wipe</t>
  </si>
  <si>
    <t>Full Modifiers</t>
  </si>
  <si>
    <r>
      <rPr>
        <rFont val="Roboto Condensed"/>
        <color rgb="FFFFFFFF"/>
        <sz val="6.0"/>
      </rPr>
      <t xml:space="preserve">visual
</t>
    </r>
    <r>
      <rPr>
        <rFont val="Roboto Condensed"/>
        <color rgb="FFFFFFFF"/>
        <sz val="9.0"/>
      </rPr>
      <t>Value</t>
    </r>
  </si>
  <si>
    <t>HP1</t>
  </si>
  <si>
    <t>HP2</t>
  </si>
  <si>
    <t>%</t>
  </si>
  <si>
    <r>
      <rPr>
        <rFont val="Roboto Condensed"/>
        <color rgb="FFFFFFFF"/>
        <sz val="6.0"/>
      </rPr>
      <t xml:space="preserve">healthbar
</t>
    </r>
    <r>
      <rPr>
        <rFont val="Roboto Condensed"/>
        <color rgb="FFFFFFFF"/>
        <sz val="9.0"/>
      </rPr>
      <t>Value</t>
    </r>
  </si>
  <si>
    <t>Patch</t>
  </si>
  <si>
    <t>NG</t>
  </si>
  <si>
    <t>Multi</t>
  </si>
  <si>
    <t>Crit</t>
  </si>
  <si>
    <t>Ratio</t>
  </si>
  <si>
    <t>Deviation</t>
  </si>
  <si>
    <t>Auto rifle</t>
  </si>
  <si>
    <t>Adaptive frame</t>
  </si>
  <si>
    <t>219 body</t>
  </si>
  <si>
    <t>S</t>
  </si>
  <si>
    <t>B</t>
  </si>
  <si>
    <t>9.0.0.8</t>
  </si>
  <si>
    <t>Balanced heat weapon - 450RPM primary</t>
  </si>
  <si>
    <t>352 body</t>
  </si>
  <si>
    <t>9.5.0.2</t>
  </si>
  <si>
    <t>Centrifuse</t>
  </si>
  <si>
    <t>320 body</t>
  </si>
  <si>
    <t>Cerberus+1</t>
  </si>
  <si>
    <t>741 body</t>
  </si>
  <si>
    <t>point blank</t>
  </si>
  <si>
    <t>2301 body</t>
  </si>
  <si>
    <t>hitscan</t>
  </si>
  <si>
    <t>930 secondary</t>
  </si>
  <si>
    <t>projectile - point blank</t>
  </si>
  <si>
    <t>155 secondary</t>
  </si>
  <si>
    <t>projectile - spaced</t>
  </si>
  <si>
    <t>Hard Light</t>
  </si>
  <si>
    <t>High-impact frame</t>
  </si>
  <si>
    <t>349 body</t>
  </si>
  <si>
    <t>Khvostov 7G-0X</t>
  </si>
  <si>
    <t>219 body, 1350/770 ricochet</t>
  </si>
  <si>
    <t>average - with ricochetting bullets</t>
  </si>
  <si>
    <t>Monte Carlo</t>
  </si>
  <si>
    <t>Necrochasm</t>
  </si>
  <si>
    <t>198 body, 267 OFT</t>
  </si>
  <si>
    <t>Precision frame</t>
  </si>
  <si>
    <t>291 body</t>
  </si>
  <si>
    <t>Quicksilver Storm</t>
  </si>
  <si>
    <t>198 body, 1164/68 rocket</t>
  </si>
  <si>
    <t>average - with tracking rockets</t>
  </si>
  <si>
    <t>C</t>
  </si>
  <si>
    <t>200 secondary</t>
  </si>
  <si>
    <t>Grenades Prepped</t>
  </si>
  <si>
    <t>Rapid-fire frame</t>
  </si>
  <si>
    <t>198 body</t>
  </si>
  <si>
    <t>Support frame</t>
  </si>
  <si>
    <t>274 body</t>
  </si>
  <si>
    <t>SUROS Regime</t>
  </si>
  <si>
    <t>384 max body, 349 min body</t>
  </si>
  <si>
    <t>average - Dual Speed Receiver</t>
  </si>
  <si>
    <t>240 max body, 219 min body</t>
  </si>
  <si>
    <t>Spinning Up</t>
  </si>
  <si>
    <t>Sweet Business</t>
  </si>
  <si>
    <t>379 explosive, 275 body</t>
  </si>
  <si>
    <t>average - with explosive rounds, no ramping</t>
  </si>
  <si>
    <t>T</t>
  </si>
  <si>
    <t>9.1.5.2</t>
  </si>
  <si>
    <t>Tommy's Matchbook</t>
  </si>
  <si>
    <t>432 ramped, 218 body
732 ramped crit, 369 crit</t>
  </si>
  <si>
    <t>average - with ignition</t>
  </si>
  <si>
    <t>Bow</t>
  </si>
  <si>
    <t>Heirloom</t>
  </si>
  <si>
    <t>1166 crit, 1053 body</t>
  </si>
  <si>
    <t>uncharged</t>
  </si>
  <si>
    <t>9.5.0.3</t>
  </si>
  <si>
    <t>1719 scorched splash, 1590/1669 crit
2345 ignition, 1435/1507 body</t>
  </si>
  <si>
    <t>average - 1/3 charge, with ignition, catalyst</t>
  </si>
  <si>
    <t xml:space="preserve">3005 scorched splash, 1786/1875 crit
2345 ignition, 2583/2712 body
</t>
  </si>
  <si>
    <t>average - 2/3 charge, with ignition, catalyst</t>
  </si>
  <si>
    <t>3005/2862 splash, 2679/2813 crit
2345 ignition, 2583/2712 body</t>
  </si>
  <si>
    <t>average - fully charged, with ignition, catalyst</t>
  </si>
  <si>
    <t>Hierarchy of Needs</t>
  </si>
  <si>
    <t>2195 body, 2316 seeker</t>
  </si>
  <si>
    <t>4364 body, 67 tick</t>
  </si>
  <si>
    <t>Charged Bolts</t>
  </si>
  <si>
    <t>3224 explosion, 1964 body</t>
  </si>
  <si>
    <t>Explosive Bolts</t>
  </si>
  <si>
    <t>4800 body</t>
  </si>
  <si>
    <t>Heavy Bolts</t>
  </si>
  <si>
    <t>4364 body, 1111/556 retrieval</t>
  </si>
  <si>
    <t>Serrated Bolts, with retrieval</t>
  </si>
  <si>
    <t>4364 body, 56 explosion</t>
  </si>
  <si>
    <t>Spring-Auger Bolts</t>
  </si>
  <si>
    <t>High-impact longbow frame</t>
  </si>
  <si>
    <t>3050 body, 1625 seeker</t>
  </si>
  <si>
    <t>Le Monarque</t>
  </si>
  <si>
    <t>1814 body, 459 poison, 1506 seeker</t>
  </si>
  <si>
    <t>average - with poison</t>
  </si>
  <si>
    <t>Leviathan's Breath</t>
  </si>
  <si>
    <t>7674 body, 12262 impact, 984 splash</t>
  </si>
  <si>
    <t>9.1.0.2</t>
  </si>
  <si>
    <t>Lightweight frame</t>
  </si>
  <si>
    <t>1876 body, 1506 seeker</t>
  </si>
  <si>
    <t>2356 body, 1506 seeker</t>
  </si>
  <si>
    <t>Ticuu's Divination</t>
  </si>
  <si>
    <t>2997 impact, 188 mark, 1506 seeker</t>
  </si>
  <si>
    <t>average - alternating modes, 0 stacks</t>
  </si>
  <si>
    <t>5616 impact, 3374 body, 341 mark</t>
  </si>
  <si>
    <t>average - alternating modes, 6 stacks</t>
  </si>
  <si>
    <t>Trinity Ghoul</t>
  </si>
  <si>
    <t>801 body, 1506 seeker</t>
  </si>
  <si>
    <t>Verglas Curve</t>
  </si>
  <si>
    <t>Wish-Ender</t>
  </si>
  <si>
    <t>2413 pierce, 1498 body, 1506 seeker
blighted: 3359 impact, 3016 pierce</t>
  </si>
  <si>
    <t>Wish-Keeper</t>
  </si>
  <si>
    <t>2589 body, 1655 seeker</t>
  </si>
  <si>
    <t>Fusion rifle</t>
  </si>
  <si>
    <t>Charge MW, Accelerated Coils</t>
  </si>
  <si>
    <t>9.5.0</t>
  </si>
  <si>
    <t>Aggressive frame</t>
  </si>
  <si>
    <t>9488 Fury</t>
  </si>
  <si>
    <t>Delicate Tomb</t>
  </si>
  <si>
    <t>ADS</t>
  </si>
  <si>
    <t>hipfire</t>
  </si>
  <si>
    <t>Jötunn</t>
  </si>
  <si>
    <t>2474 secondary, 421 scorch</t>
  </si>
  <si>
    <t>average - successive shots</t>
  </si>
  <si>
    <t>check Wipe column</t>
  </si>
  <si>
    <t>Conserve Momentum x0, full mag</t>
  </si>
  <si>
    <t>Conserve Momentum x15, full mag</t>
  </si>
  <si>
    <t>2775 explosion, 214 impact, 344 scorch</t>
  </si>
  <si>
    <t>average</t>
  </si>
  <si>
    <t>2775 explosion, 214 impact</t>
  </si>
  <si>
    <t>average - Ember of Ashes</t>
  </si>
  <si>
    <t>Telesto</t>
  </si>
  <si>
    <t>58 impact</t>
  </si>
  <si>
    <t>Tessellation</t>
  </si>
  <si>
    <t>2026 impact, 1732 secondary</t>
  </si>
  <si>
    <t>Property: Irreducible</t>
  </si>
  <si>
    <t>1855 impact, 1528 secondary</t>
  </si>
  <si>
    <t>Property: Irreducible, Transcendent</t>
  </si>
  <si>
    <t>Vex Mythoclast</t>
  </si>
  <si>
    <t>5707 body</t>
  </si>
  <si>
    <t>Temporal Unlimiter</t>
  </si>
  <si>
    <t>816 body</t>
  </si>
  <si>
    <t>Glaive</t>
  </si>
  <si>
    <t>projectile</t>
  </si>
  <si>
    <t>Edge of Concurrence</t>
  </si>
  <si>
    <t>1040 jolt</t>
  </si>
  <si>
    <t>average - projectile, with jolt</t>
  </si>
  <si>
    <t>55 impact</t>
  </si>
  <si>
    <t>Lightning Seeker</t>
  </si>
  <si>
    <t>Edge of Intent</t>
  </si>
  <si>
    <t>Vexcalibur</t>
  </si>
  <si>
    <t>3781/858 shatter</t>
  </si>
  <si>
    <t>average - projectile, with shatter</t>
  </si>
  <si>
    <t>Grenade launcher</t>
  </si>
  <si>
    <t>3086 impact</t>
  </si>
  <si>
    <t>1927 impact</t>
  </si>
  <si>
    <t>Spike Grenades, Explosive Light</t>
  </si>
  <si>
    <t>412 impact</t>
  </si>
  <si>
    <t>257 impact</t>
  </si>
  <si>
    <t>Sticky Grenades, Explosive Light</t>
  </si>
  <si>
    <t>2786 impact</t>
  </si>
  <si>
    <t>1462 impact, 1028 tick</t>
  </si>
  <si>
    <t>274 impact, 1382 single DoT
851/983/1329 trap explosion</t>
  </si>
  <si>
    <t>average - per trap, double stick</t>
  </si>
  <si>
    <t>Area denial frame</t>
  </si>
  <si>
    <t>265 impact</t>
  </si>
  <si>
    <t>Compressed wave frame</t>
  </si>
  <si>
    <t>Dead Messenger</t>
  </si>
  <si>
    <t>Double fire frame</t>
  </si>
  <si>
    <t>2918 impact</t>
  </si>
  <si>
    <t>Implosion Rounds</t>
  </si>
  <si>
    <t>2628 impact</t>
  </si>
  <si>
    <t>Ex Diris</t>
  </si>
  <si>
    <t>4038 secondary, 6794 moth</t>
  </si>
  <si>
    <t>average - with moth</t>
  </si>
  <si>
    <t>Fighting Lion</t>
  </si>
  <si>
    <t>1683 impact, 984 volatile</t>
  </si>
  <si>
    <t>average - with volatile damage</t>
  </si>
  <si>
    <t>6200 impact</t>
  </si>
  <si>
    <t>6392 impact</t>
  </si>
  <si>
    <t>Micro-missile frame</t>
  </si>
  <si>
    <t>3638 impact</t>
  </si>
  <si>
    <t>3781 impact</t>
  </si>
  <si>
    <t>7827 impact</t>
  </si>
  <si>
    <t>9.0.0.7</t>
  </si>
  <si>
    <t>2781 impact</t>
  </si>
  <si>
    <t>Augmented Drum</t>
  </si>
  <si>
    <t>3128 impact</t>
  </si>
  <si>
    <t>Salvation's Grip</t>
  </si>
  <si>
    <t>2592 impact</t>
  </si>
  <si>
    <t xml:space="preserve">   </t>
  </si>
  <si>
    <t>charged</t>
  </si>
  <si>
    <t>R</t>
  </si>
  <si>
    <t>The Colony</t>
  </si>
  <si>
    <t>596 impact</t>
  </si>
  <si>
    <t>direct impact</t>
  </si>
  <si>
    <t>The Prospector</t>
  </si>
  <si>
    <t>2036 impact, 1755/71 submunition</t>
  </si>
  <si>
    <t>average - direct impact, standard target model</t>
  </si>
  <si>
    <t>Wave frame</t>
  </si>
  <si>
    <t>511 impact</t>
  </si>
  <si>
    <t>198 tick</t>
  </si>
  <si>
    <t>ground pool</t>
  </si>
  <si>
    <t>Hand cannon</t>
  </si>
  <si>
    <t>Ace of Spades</t>
  </si>
  <si>
    <t>771 body, 2115 Memento Mori</t>
  </si>
  <si>
    <t>771 body</t>
  </si>
  <si>
    <t>849 body</t>
  </si>
  <si>
    <t>Crimson</t>
  </si>
  <si>
    <t>312 body</t>
  </si>
  <si>
    <t>burst</t>
  </si>
  <si>
    <t>Illegally Modded Holster, 1 mag</t>
  </si>
  <si>
    <t>Illegally Modded Holster, 1.5 mags</t>
  </si>
  <si>
    <t>Dynamic heat weapon - 180RPM primary</t>
  </si>
  <si>
    <t>1732 Overclocked, 1090 body</t>
  </si>
  <si>
    <t>Dynamic heat weapon - 180RPM special</t>
  </si>
  <si>
    <t>4453 Overclocked, 1092 body</t>
  </si>
  <si>
    <t>4852 DAFG body, 5854 no DAFG</t>
  </si>
  <si>
    <t>Death At First Glance</t>
  </si>
  <si>
    <t>Illegally Modded Holster, Death At First Glance, 7 shots, pre-stacked using heavy burst</t>
  </si>
  <si>
    <t>Illegally Modded Holster, Death At First Glance, full mag</t>
  </si>
  <si>
    <t>Graviton Spike</t>
  </si>
  <si>
    <t>800 body</t>
  </si>
  <si>
    <t>arc mode</t>
  </si>
  <si>
    <t>average - overcharging both modes, typical boss model, Temporal Alignment</t>
  </si>
  <si>
    <t>9.5.5</t>
  </si>
  <si>
    <t>1050 body, 845 secondary</t>
  </si>
  <si>
    <t>stasis mode</t>
  </si>
  <si>
    <t>Hawkmoon</t>
  </si>
  <si>
    <t>29861 max</t>
  </si>
  <si>
    <t>Illegally Modded Holster, Paracausal Shot, full mag</t>
  </si>
  <si>
    <t>31994 max</t>
  </si>
  <si>
    <t>Illegally Modded Holster, Paracausal Shot, full mag, pre-stacked using heavy burst</t>
  </si>
  <si>
    <t>25384 Paracausal Shot x7, 771 body</t>
  </si>
  <si>
    <t>Heavy burst frame</t>
  </si>
  <si>
    <t>416 body</t>
  </si>
  <si>
    <t>Illegally Modded Holster, 13 bursts</t>
  </si>
  <si>
    <t>Illegally Modded Holster, 13 bursts, e. Precision Instrument</t>
  </si>
  <si>
    <t>847 body</t>
  </si>
  <si>
    <t>941 body, 1216 slug</t>
  </si>
  <si>
    <t>average - with slugs, Vorpal Weapon</t>
  </si>
  <si>
    <t>Illegally Modded Holster, 17 shots, with slugs, blighted, Vorpal Weapon</t>
  </si>
  <si>
    <t>Illegally Modded Holster, 17 shots, with slugs, Vorpal Weapon</t>
  </si>
  <si>
    <t>Illegally Modded Holster, 17 shots</t>
  </si>
  <si>
    <t>Illegally Modded Holster, 17 shots, e. Precision Instrument</t>
  </si>
  <si>
    <t>941 body</t>
  </si>
  <si>
    <t>Spread shot frame</t>
  </si>
  <si>
    <t>Illegally Modded Holster, 10 shots</t>
  </si>
  <si>
    <t>Illegally Modded Holster, 14 shots, Cascade Point start</t>
  </si>
  <si>
    <t>9.1.5.4</t>
  </si>
  <si>
    <t>2627 body</t>
  </si>
  <si>
    <t>9.1.5</t>
  </si>
  <si>
    <t>Sturm</t>
  </si>
  <si>
    <t>933 body
overcharged: 6220 crit, 3357 body</t>
  </si>
  <si>
    <t>9.1.0</t>
  </si>
  <si>
    <t>Sunshot</t>
  </si>
  <si>
    <t>364 body, 325 splash</t>
  </si>
  <si>
    <t>The Last Word</t>
  </si>
  <si>
    <t>746 body</t>
  </si>
  <si>
    <t>Illegally Modded Holster, hipfire, 1 mag</t>
  </si>
  <si>
    <t>Illegally Modded Holster, hipfire, 2 mags</t>
  </si>
  <si>
    <t>Thorn</t>
  </si>
  <si>
    <t>139 base poison, 416 SD poison
771 body</t>
  </si>
  <si>
    <t>49 poison</t>
  </si>
  <si>
    <t>Illegally Modded Holster, with poison, Soul Devourer, 14 shots</t>
  </si>
  <si>
    <t>Linear fusion rifle</t>
  </si>
  <si>
    <t>Adaptive burst frame</t>
  </si>
  <si>
    <t>6692 regular, 1906 body</t>
  </si>
  <si>
    <t>burst, Charge MW, Accelerated Coils</t>
  </si>
  <si>
    <t>Arbalest</t>
  </si>
  <si>
    <t>4088 body</t>
  </si>
  <si>
    <t>4240 threadling, 5639 Evolution
1667 body</t>
  </si>
  <si>
    <t>burst, without threadlings</t>
  </si>
  <si>
    <t>4600 body, 1558 turret</t>
  </si>
  <si>
    <t>Linear Fusion Mode</t>
  </si>
  <si>
    <t>Lorentz Driver</t>
  </si>
  <si>
    <t>3719 body</t>
  </si>
  <si>
    <t>13965 regular, 3977 body</t>
  </si>
  <si>
    <t>Sleeper Simulant</t>
  </si>
  <si>
    <t>23149 body</t>
  </si>
  <si>
    <t>2515 body</t>
  </si>
  <si>
    <t>burst, Combat Sights</t>
  </si>
  <si>
    <t>6015 body</t>
  </si>
  <si>
    <t>Marksman Sights</t>
  </si>
  <si>
    <t>Machine gun</t>
  </si>
  <si>
    <t>982 body</t>
  </si>
  <si>
    <t>852 body</t>
  </si>
  <si>
    <t>Balanced heat weapon - 900RPM power</t>
  </si>
  <si>
    <t>634 body</t>
  </si>
  <si>
    <t>Deterministic Chaos</t>
  </si>
  <si>
    <t>1292 body, 1131 volatile</t>
  </si>
  <si>
    <t>average - with volatile damage, excludes weaken [ticks include]</t>
  </si>
  <si>
    <t>1217 impact</t>
  </si>
  <si>
    <t>Missile Loaded, Volley Ready</t>
  </si>
  <si>
    <t>Heir Apparent</t>
  </si>
  <si>
    <t>639 body</t>
  </si>
  <si>
    <t>1124 body</t>
  </si>
  <si>
    <t>604 body</t>
  </si>
  <si>
    <t>Service of Luzaku</t>
  </si>
  <si>
    <t>1570 body</t>
  </si>
  <si>
    <t>average - with lightning strikes</t>
  </si>
  <si>
    <t>Xenophage</t>
  </si>
  <si>
    <t>2280 secondary</t>
  </si>
  <si>
    <t>Pulse rifle</t>
  </si>
  <si>
    <t>336 body</t>
  </si>
  <si>
    <t>Aggressive burst frame</t>
  </si>
  <si>
    <t>237 body</t>
  </si>
  <si>
    <t>Bad Juju</t>
  </si>
  <si>
    <t>301 body</t>
  </si>
  <si>
    <t>Balanced heat weapon - 540RPM primary</t>
  </si>
  <si>
    <t>286 body</t>
  </si>
  <si>
    <t>Collective Obligation</t>
  </si>
  <si>
    <t>Dynamic heat weapon - 540RPM primary</t>
  </si>
  <si>
    <t>329 body</t>
  </si>
  <si>
    <t>Graviton Lance</t>
  </si>
  <si>
    <t>934 secondary, 682/504 body</t>
  </si>
  <si>
    <t>burst, Vorpal Weapon</t>
  </si>
  <si>
    <t>401 body</t>
  </si>
  <si>
    <t>2983 body, 2472 explosion</t>
  </si>
  <si>
    <t>New Malpais</t>
  </si>
  <si>
    <t>3708 explosion, 3038 body</t>
  </si>
  <si>
    <t>burst - average, 3 shots, includes suspend tick</t>
  </si>
  <si>
    <t>No Time to Explain</t>
  </si>
  <si>
    <t>329 body, 385 Time Chasm</t>
  </si>
  <si>
    <t>331 x0 body</t>
  </si>
  <si>
    <t>average per burst - max nanites</t>
  </si>
  <si>
    <t>average per burst - no nanites, Appended Mag, up to Rewind end</t>
  </si>
  <si>
    <t>Red Death Reformed</t>
  </si>
  <si>
    <t>burst, undamaged</t>
  </si>
  <si>
    <t>Revision Zero</t>
  </si>
  <si>
    <t>590 body</t>
  </si>
  <si>
    <r>
      <rPr>
        <rFont val="Roboto Condensed"/>
        <color theme="1"/>
        <sz val="8.0"/>
      </rPr>
      <t>burst - heavy 2-burst mode</t>
    </r>
    <r>
      <rPr>
        <rFont val="Roboto Condensed"/>
        <color rgb="FF181A1B"/>
        <sz val="8.0"/>
      </rPr>
      <t>, Vorpal Weapon</t>
    </r>
  </si>
  <si>
    <t>284 body</t>
  </si>
  <si>
    <t>burst - light 4-burst mode, Vorpal Weapon</t>
  </si>
  <si>
    <t>? body, 4041 shockwave</t>
  </si>
  <si>
    <r>
      <rPr>
        <rFont val="Roboto Condensed"/>
        <color theme="1"/>
        <sz val="8.0"/>
      </rPr>
      <t>Hunter's Trace</t>
    </r>
    <r>
      <rPr>
        <rFont val="Roboto Condensed"/>
        <color rgb="FF181A1B"/>
        <sz val="8.0"/>
      </rPr>
      <t>, Vorpal Weapon</t>
    </r>
  </si>
  <si>
    <t>Vigilance Wing</t>
  </si>
  <si>
    <t>307 body</t>
  </si>
  <si>
    <t>Rocket launcher</t>
  </si>
  <si>
    <t>5753 impact</t>
  </si>
  <si>
    <t>Alloy Casing</t>
  </si>
  <si>
    <t>6329 impact
wolfpack: 274 impact, 586 explosion</t>
  </si>
  <si>
    <t>Deathbringer</t>
  </si>
  <si>
    <t>average - realistic height consistency</t>
  </si>
  <si>
    <t>Dragon's Breath</t>
  </si>
  <si>
    <t>2462 impact, 9748 ignition</t>
  </si>
  <si>
    <t>average - loaded, Composite Propellant x5</t>
  </si>
  <si>
    <t>average - loaded, Composite Propellant x5, Ember of Ashes</t>
  </si>
  <si>
    <t>Eyes of Tomorrow</t>
  </si>
  <si>
    <t>8845 Adaptive Ordnance</t>
  </si>
  <si>
    <t>volley</t>
  </si>
  <si>
    <t>1846 impact, 586/274 wolfpack</t>
  </si>
  <si>
    <t>2462 impact</t>
  </si>
  <si>
    <t>2708 impact</t>
  </si>
  <si>
    <t>4968 impact</t>
  </si>
  <si>
    <t>5466 impact</t>
  </si>
  <si>
    <t>262 impact, 2836 Bolt Charge</t>
  </si>
  <si>
    <t>average - volley, includes Bolt Charge</t>
  </si>
  <si>
    <t>Truth</t>
  </si>
  <si>
    <t>Two-Tailed Fox</t>
  </si>
  <si>
    <t>3400 secondary, 9748 ignition
 2978/850 2nd, 1040/196 3rd</t>
  </si>
  <si>
    <t>Whirling Ovation</t>
  </si>
  <si>
    <t>22253 explosion</t>
  </si>
  <si>
    <t>1/3 charge</t>
  </si>
  <si>
    <t>30067 explosion</t>
  </si>
  <si>
    <t>2/3 charge</t>
  </si>
  <si>
    <t>45696 explosion</t>
  </si>
  <si>
    <t>full charge</t>
  </si>
  <si>
    <t>no charge</t>
  </si>
  <si>
    <t>Scout rifle</t>
  </si>
  <si>
    <t>1158 body</t>
  </si>
  <si>
    <t>Balanced heat weapon - 260RPM primary</t>
  </si>
  <si>
    <t>556 body</t>
  </si>
  <si>
    <t>Dead Man's Tale</t>
  </si>
  <si>
    <t>3486 Cranial Spike x5, 4322 hipfire
1464 body</t>
  </si>
  <si>
    <t>691 body</t>
  </si>
  <si>
    <t>625 body</t>
  </si>
  <si>
    <t>MIDA Multi-Tool</t>
  </si>
  <si>
    <t>687 body
high-power: 1340 crit, 175 explosion</t>
  </si>
  <si>
    <t>Polaris Lance</t>
  </si>
  <si>
    <t>760 body, 1481 Perfect Fifth
11202 ignition</t>
  </si>
  <si>
    <t>average - with ignitions, Ember of Ashes</t>
  </si>
  <si>
    <t>461 body</t>
  </si>
  <si>
    <t>Skyburner's Oath</t>
  </si>
  <si>
    <t>691 body, 449 explosion</t>
  </si>
  <si>
    <t>449 secondary, 10191 ignition</t>
  </si>
  <si>
    <t>average - hipfire, with ignitions</t>
  </si>
  <si>
    <t>average - hipfire, with ignitions, Ember of Ashes</t>
  </si>
  <si>
    <t>Symmetry</t>
  </si>
  <si>
    <t>Arc Seeker Mode, Dynamic Charge x20</t>
  </si>
  <si>
    <t>The Jade Rabbit</t>
  </si>
  <si>
    <t>1382 FOAF, 691 body</t>
  </si>
  <si>
    <t>Third Iteration</t>
  </si>
  <si>
    <t>9003 marked, 4088 body</t>
  </si>
  <si>
    <t>Amalgamation Round</t>
  </si>
  <si>
    <t>3463 marked, 1049 body</t>
  </si>
  <si>
    <t>precision</t>
  </si>
  <si>
    <t>Touch of Malice</t>
  </si>
  <si>
    <t>198 DoT, 17 impact</t>
  </si>
  <si>
    <t>blight</t>
  </si>
  <si>
    <t>461 body
1976 final, 2964 blighted final</t>
  </si>
  <si>
    <t>Wicked Implement</t>
  </si>
  <si>
    <t>506 body, 938/3781 shatter</t>
  </si>
  <si>
    <t>average - with manual shatters</t>
  </si>
  <si>
    <t>Shotgun</t>
  </si>
  <si>
    <t>?</t>
  </si>
  <si>
    <t>12042 body</t>
  </si>
  <si>
    <t>body</t>
  </si>
  <si>
    <t>11386 stasis crit, 10792 solar body
3781 shatter, 10191 ignition</t>
  </si>
  <si>
    <t>average - body, both modes</t>
  </si>
  <si>
    <t>8430 body</t>
  </si>
  <si>
    <t>9727 body
17107/20578/22892 OBW</t>
  </si>
  <si>
    <t>3928 body</t>
  </si>
  <si>
    <t>Legend of Acrius</t>
  </si>
  <si>
    <t>22438 crit, 4037 ground</t>
  </si>
  <si>
    <t>9896 body</t>
  </si>
  <si>
    <t>1525 body, 12026 ignition</t>
  </si>
  <si>
    <t>excludes ignition</t>
  </si>
  <si>
    <t>Pinpoint slug frame</t>
  </si>
  <si>
    <t>6122 body</t>
  </si>
  <si>
    <t>7720 body</t>
  </si>
  <si>
    <t>Rapid-fire slug frame</t>
  </si>
  <si>
    <t>5819 body</t>
  </si>
  <si>
    <t>Slayer's Fang</t>
  </si>
  <si>
    <t>1038 submunition, 6728 body</t>
  </si>
  <si>
    <t>precision, includes submunitions</t>
  </si>
  <si>
    <t>The Chaperone</t>
  </si>
  <si>
    <t>12493 The Roadborn, 5819 body</t>
  </si>
  <si>
    <t>15361
2188*</t>
  </si>
  <si>
    <t>8498/10013/11795/13528 x0/x1/x2/x3</t>
  </si>
  <si>
    <t>body, full mag</t>
  </si>
  <si>
    <t>excludes debuff [ticks include]</t>
  </si>
  <si>
    <t>Sidearm</t>
  </si>
  <si>
    <t>392 body</t>
  </si>
  <si>
    <t>706 body</t>
  </si>
  <si>
    <t>Buried Bloodline</t>
  </si>
  <si>
    <t>2108 body</t>
  </si>
  <si>
    <t>Cryosthesia 77K</t>
  </si>
  <si>
    <t>784 body</t>
  </si>
  <si>
    <t>Devil's Ruin</t>
  </si>
  <si>
    <t>1523 crit, 11202 ignition, 345 scorch</t>
  </si>
  <si>
    <t>Pyrogenesis</t>
  </si>
  <si>
    <t>776 body</t>
  </si>
  <si>
    <t>Dynamic heat weapon - 360RPM primary</t>
  </si>
  <si>
    <t>1376 Overclocked, 844 body</t>
  </si>
  <si>
    <t>Final Warning</t>
  </si>
  <si>
    <t>1037 body</t>
  </si>
  <si>
    <t>ADS charged mark</t>
  </si>
  <si>
    <t>987 body</t>
  </si>
  <si>
    <t>ADS tap fire</t>
  </si>
  <si>
    <t>Forerunner</t>
  </si>
  <si>
    <t>660 impact</t>
  </si>
  <si>
    <t>The Rock, excludes impact</t>
  </si>
  <si>
    <t>822 body</t>
  </si>
  <si>
    <t>608 body</t>
  </si>
  <si>
    <t>2043 body, 1803 explosion</t>
  </si>
  <si>
    <t>490 body</t>
  </si>
  <si>
    <t>Rat King</t>
  </si>
  <si>
    <t>Traveler's Chosen</t>
  </si>
  <si>
    <t>Trespasser</t>
  </si>
  <si>
    <t>2186 Unrepentant, 392 body</t>
  </si>
  <si>
    <t>SMG</t>
  </si>
  <si>
    <t>average - Peacekeepers, 42 mag</t>
  </si>
  <si>
    <t>average - Peacekeepers, e. Rewind Rounds, e. Target Lock, 47 mag</t>
  </si>
  <si>
    <t>235 body</t>
  </si>
  <si>
    <t>322 body</t>
  </si>
  <si>
    <t>average - Peacekeepers, 64 mag</t>
  </si>
  <si>
    <t>average - Peacekeepers, 34 mag</t>
  </si>
  <si>
    <t>278 body</t>
  </si>
  <si>
    <t>Balanced heat weapon - 900RPM primary</t>
  </si>
  <si>
    <t>484 Accelerated, 261 body</t>
  </si>
  <si>
    <t>average - Taken Ambition, with Blighted Seekers, Peacekeepers, Target Lock</t>
  </si>
  <si>
    <t>309 x0 body, 5599/461 seeker</t>
  </si>
  <si>
    <t>average - Taken Ambition, with Blighted Seekers, Target Lock</t>
  </si>
  <si>
    <t>average - Peacekeepers, 45 mag</t>
  </si>
  <si>
    <t>216 body</t>
  </si>
  <si>
    <t>Osteo Striga</t>
  </si>
  <si>
    <t>average - with successive poison</t>
  </si>
  <si>
    <t>average - with successive poison, Peacekeepers</t>
  </si>
  <si>
    <t>341 body</t>
  </si>
  <si>
    <t>Riskrunner</t>
  </si>
  <si>
    <t>258 body</t>
  </si>
  <si>
    <t>average - Arc Conductor</t>
  </si>
  <si>
    <t>average - Arc Conductor, Peacekeepers</t>
  </si>
  <si>
    <t>Tarrabah</t>
  </si>
  <si>
    <t>average - Ravenous Beast, Peacekeepers</t>
  </si>
  <si>
    <t>798 body</t>
  </si>
  <si>
    <t>Ravenous Beast</t>
  </si>
  <si>
    <t>The Huckleberry</t>
  </si>
  <si>
    <t>278 body, 2445 Kinetic Tremors</t>
  </si>
  <si>
    <t>average - Bull Rider</t>
  </si>
  <si>
    <t>average - Bull Rider, Peacekeepers</t>
  </si>
  <si>
    <t>The Manticore</t>
  </si>
  <si>
    <t>216 body, 432 max body</t>
  </si>
  <si>
    <t>average - Hover Mode</t>
  </si>
  <si>
    <t>average - Hover Mode, Peacekeepers</t>
  </si>
  <si>
    <t>Sniper rifle</t>
  </si>
  <si>
    <t>2980 body</t>
  </si>
  <si>
    <t>Borealis</t>
  </si>
  <si>
    <t>2980 body
13558/3874 The Fundamentals</t>
  </si>
  <si>
    <t>5794/3476 lightning, 1877 body</t>
  </si>
  <si>
    <t>12023/12383/12742 NT</t>
  </si>
  <si>
    <t>average - Target Acquired, Networked Targeting x5, with spaced jolt</t>
  </si>
  <si>
    <t>2170 x0 body, 1040 jolt</t>
  </si>
  <si>
    <t>average - with spaced jolt</t>
  </si>
  <si>
    <t>Disruption weapon</t>
  </si>
  <si>
    <t>10400 body</t>
  </si>
  <si>
    <t>Dynamic heat weapon - 140RPM special</t>
  </si>
  <si>
    <t>2956 body</t>
  </si>
  <si>
    <t>3781 shatter, 10191 ignition</t>
  </si>
  <si>
    <t>shatter ignition</t>
  </si>
  <si>
    <t>4381 body</t>
  </si>
  <si>
    <t>14412 x2, 18998 x3, 6685 body</t>
  </si>
  <si>
    <t>Honed Edge x4</t>
  </si>
  <si>
    <t>New Land Beyond</t>
  </si>
  <si>
    <t>27986 GM x78</t>
  </si>
  <si>
    <t>78-79 stacks</t>
  </si>
  <si>
    <t>5899 x0 body</t>
  </si>
  <si>
    <t>no stacks</t>
  </si>
  <si>
    <t>1877 body</t>
  </si>
  <si>
    <t>8615 body first
25105 2nd, 32896 3rd</t>
  </si>
  <si>
    <t>Cayde's Retribution, all three shots</t>
  </si>
  <si>
    <t>? body</t>
  </si>
  <si>
    <t>Cayde's Retribution, Celestial Nighthawk</t>
  </si>
  <si>
    <t>4004 body, 12834/3667 no WH</t>
  </si>
  <si>
    <t>Whispered Breathing</t>
  </si>
  <si>
    <t>Sword</t>
  </si>
  <si>
    <t>3485 secondary</t>
  </si>
  <si>
    <t>Jagged Edge, heavy</t>
  </si>
  <si>
    <t>348 impact, 746 explosion</t>
  </si>
  <si>
    <t>Jagged Edge, light</t>
  </si>
  <si>
    <t>3803 secondary</t>
  </si>
  <si>
    <t>Black Talon</t>
  </si>
  <si>
    <t>light</t>
  </si>
  <si>
    <t>12139 Reversal</t>
  </si>
  <si>
    <t>single projectile</t>
  </si>
  <si>
    <t>Caster frame</t>
  </si>
  <si>
    <r>
      <rPr>
        <rFont val="Roboto Condensed"/>
        <color rgb="FF1155CC"/>
        <sz val="8.0"/>
        <u/>
      </rPr>
      <t>see Ergo Sum tab</t>
    </r>
    <r>
      <rPr>
        <rFont val="Roboto Condensed"/>
        <color rgb="FF000000"/>
        <sz val="8.0"/>
      </rPr>
      <t xml:space="preserve"> (uses TFS scalar)</t>
    </r>
  </si>
  <si>
    <t>Heartshadow</t>
  </si>
  <si>
    <t>1146/1104 lowered</t>
  </si>
  <si>
    <t>heavy, weaken excluded [ticks include], Shot in the Dark</t>
  </si>
  <si>
    <t>Jagged Edge, heavy, aerial</t>
  </si>
  <si>
    <t>Jagged Edge, light, aerial</t>
  </si>
  <si>
    <t>Praxic Blade</t>
  </si>
  <si>
    <t>light, Offensive Form, Forceful Blade III</t>
  </si>
  <si>
    <t>heavy, Offensive Form, Forceful Blade III</t>
  </si>
  <si>
    <t>1389 light, 1211 heavy ticks</t>
  </si>
  <si>
    <t>average - 3L1H, Offensive Form, Forceful Blade III</t>
  </si>
  <si>
    <t>1055 return, 2345 ignition</t>
  </si>
  <si>
    <t>average - double hit throw, Offensive Form, Forceful Blade III, Impact Core (solar)</t>
  </si>
  <si>
    <t>1389 light, 1211 heavy ticks, 2345 ignition</t>
  </si>
  <si>
    <t>average - 3L1H, Offensive Form, Forceful Blade III, Impact Core (solar), Ember of Ashes</t>
  </si>
  <si>
    <t>average - 3L1H, Offensive Form, Forceful Blade III, Impact Core (solar), Ember of Ashes, spaced ignitions</t>
  </si>
  <si>
    <t>average - 3L1H, Offensive Form, Forceful Blade III, Impact Core (solar)</t>
  </si>
  <si>
    <t>The Lament</t>
  </si>
  <si>
    <t>476 secondary heavy, 732/976/183 light</t>
  </si>
  <si>
    <t>2L1H</t>
  </si>
  <si>
    <t>458 secondary heavy</t>
  </si>
  <si>
    <t>3L1H</t>
  </si>
  <si>
    <t>4L1H</t>
  </si>
  <si>
    <t>heavy</t>
  </si>
  <si>
    <t>Vortex frame</t>
  </si>
  <si>
    <t>Wave sword frame</t>
  </si>
  <si>
    <t>5767 impact, 6728 slash</t>
  </si>
  <si>
    <t>Jagged Edge, heavy slash</t>
  </si>
  <si>
    <t>Wolfsbane</t>
  </si>
  <si>
    <t>3084 ignition</t>
  </si>
  <si>
    <t>average - Honed Edge, Jagged Edge, light, Burning Ambition, includes ignition</t>
  </si>
  <si>
    <t>Honed Edge, Jagged Edge, light</t>
  </si>
  <si>
    <t>354 cyclone</t>
  </si>
  <si>
    <t>Honed Edge, Jagged Edge, Nano-Assault HLLHLLHLLHLLH, Burning Ambition, includes ignition</t>
  </si>
  <si>
    <t>Honed Edge, Jagged Edge, Nano-Assault HLLHLLHLLHLLH</t>
  </si>
  <si>
    <t>Worldline Zero</t>
  </si>
  <si>
    <t>3583 secondary</t>
  </si>
  <si>
    <t>Temporal Sprint, heavy</t>
  </si>
  <si>
    <t>Trace rifle</t>
  </si>
  <si>
    <t>306 body</t>
  </si>
  <si>
    <t>average - Will Given Form</t>
  </si>
  <si>
    <t>438 body</t>
  </si>
  <si>
    <t>Coldheart</t>
  </si>
  <si>
    <t>306 body min, 551 body max</t>
  </si>
  <si>
    <t>176 body, 267/199 Penance
10599 explosion</t>
  </si>
  <si>
    <t>average - with Penance, realistic start, excludes debuff [ticks include]</t>
  </si>
  <si>
    <t>Lodestar</t>
  </si>
  <si>
    <t>404 body, 972 Phase Converter</t>
  </si>
  <si>
    <t>ADS, burst</t>
  </si>
  <si>
    <t>931 body, 1500 Paracausal Imbuement</t>
  </si>
  <si>
    <t>Prometheus Lens</t>
  </si>
  <si>
    <t>270 body, 11210 ignition</t>
  </si>
  <si>
    <t>Ruinous Effigy</t>
  </si>
  <si>
    <t>3544 light</t>
  </si>
  <si>
    <t>Transmutation Sphere</t>
  </si>
  <si>
    <t>429 body</t>
  </si>
  <si>
    <t>337 body, 565 Protective Weave</t>
  </si>
  <si>
    <t>Wavesplitter</t>
  </si>
  <si>
    <t>405 medium body, 306/516 low/high</t>
  </si>
  <si>
    <t>average - power cycling</t>
  </si>
  <si>
    <t>516 body</t>
  </si>
  <si>
    <t>Supercharged Battery</t>
  </si>
  <si>
    <t>Tests are performed using Well of Radiance + 200 Weapons. Surges included for non-Savathun tests, Full Throttle x100 for Carl tests.</t>
  </si>
  <si>
    <r>
      <rPr>
        <rFont val="Roboto Condensed"/>
        <color rgb="FFFFFFFF"/>
        <sz val="6.0"/>
      </rPr>
      <t xml:space="preserve">primary
</t>
    </r>
    <r>
      <rPr>
        <rFont val="Roboto Condensed"/>
        <color rgb="FFFFFFFF"/>
        <sz val="9.0"/>
      </rPr>
      <t>Tick</t>
    </r>
  </si>
  <si>
    <r>
      <rPr>
        <rFont val="Roboto Condensed"/>
        <color rgb="FFFFFFFF"/>
        <sz val="6.0"/>
      </rPr>
      <t xml:space="preserve">secondary
</t>
    </r>
    <r>
      <rPr>
        <rFont val="Roboto Condensed"/>
        <color rgb="FFFFFFFF"/>
        <sz val="9.0"/>
      </rPr>
      <t>Ticks</t>
    </r>
  </si>
  <si>
    <r>
      <rPr>
        <rFont val="Roboto Condensed"/>
        <color rgb="FFFFFFFF"/>
        <sz val="6.0"/>
      </rPr>
      <t xml:space="preserve">visual
</t>
    </r>
    <r>
      <rPr>
        <rFont val="Roboto Condensed"/>
        <color rgb="FFFFFFFF"/>
        <sz val="9.0"/>
      </rPr>
      <t>Value</t>
    </r>
  </si>
  <si>
    <r>
      <rPr>
        <rFont val="Roboto Condensed"/>
        <color rgb="FFFFFFFF"/>
        <sz val="6.0"/>
      </rPr>
      <t xml:space="preserve">healthbar
</t>
    </r>
    <r>
      <rPr>
        <rFont val="Roboto Condensed"/>
        <color rgb="FFFFFFFF"/>
        <sz val="9.0"/>
      </rPr>
      <t>Value</t>
    </r>
  </si>
  <si>
    <t>9.7.0</t>
  </si>
  <si>
    <t>chunk</t>
  </si>
  <si>
    <r>
      <rPr>
        <rFont val="Roboto Condensed"/>
        <color theme="1"/>
        <sz val="8.0"/>
      </rPr>
      <t>Hunter's Trace</t>
    </r>
    <r>
      <rPr>
        <rFont val="Roboto Condensed"/>
        <color rgb="FF181A1B"/>
        <sz val="8.0"/>
      </rPr>
      <t>, Vorpal Weapon</t>
    </r>
  </si>
  <si>
    <r>
      <rPr>
        <rFont val="Roboto Condensed"/>
        <color theme="1"/>
        <sz val="8.0"/>
      </rPr>
      <t>burst - heavy 2-burst mode</t>
    </r>
    <r>
      <rPr>
        <rFont val="Roboto Condensed"/>
        <color rgb="FF181A1B"/>
        <sz val="8.0"/>
      </rPr>
      <t>, Vorpal Weapon</t>
    </r>
  </si>
  <si>
    <t>TBA</t>
  </si>
  <si>
    <r>
      <rPr>
        <rFont val="Roboto Condensed"/>
        <color rgb="FF1155CC"/>
        <sz val="8.0"/>
        <u/>
      </rPr>
      <t>see Ergo Sum tab</t>
    </r>
    <r>
      <rPr>
        <rFont val="Roboto Condensed"/>
        <color rgb="FF000000"/>
        <sz val="8.0"/>
      </rPr>
      <t xml:space="preserve"> (uses TFS scalar)</t>
    </r>
  </si>
  <si>
    <r>
      <rPr>
        <rFont val="Roboto Condensed"/>
        <color rgb="FFFFFFFF"/>
        <sz val="6.0"/>
      </rPr>
      <t xml:space="preserve">primary
</t>
    </r>
    <r>
      <rPr>
        <rFont val="Roboto Condensed"/>
        <color rgb="FFFFFFFF"/>
        <sz val="9.0"/>
      </rPr>
      <t>Tick</t>
    </r>
  </si>
  <si>
    <r>
      <rPr>
        <rFont val="Roboto Condensed"/>
        <color rgb="FFFFFFFF"/>
        <sz val="6.0"/>
      </rPr>
      <t xml:space="preserve">secondary
</t>
    </r>
    <r>
      <rPr>
        <rFont val="Roboto Condensed"/>
        <color rgb="FFFFFFFF"/>
        <sz val="9.0"/>
      </rPr>
      <t>Ticks</t>
    </r>
  </si>
  <si>
    <r>
      <rPr>
        <rFont val="Roboto Condensed"/>
        <color rgb="FFFFFFFF"/>
        <sz val="6.0"/>
      </rPr>
      <t xml:space="preserve">visual
</t>
    </r>
    <r>
      <rPr>
        <rFont val="Roboto Condensed"/>
        <color rgb="FFFFFFFF"/>
        <sz val="9.0"/>
      </rPr>
      <t>Value</t>
    </r>
  </si>
  <si>
    <r>
      <rPr>
        <rFont val="Roboto Condensed"/>
        <color rgb="FFFFFFFF"/>
        <sz val="6.0"/>
      </rPr>
      <t xml:space="preserve">healthbar
</t>
    </r>
    <r>
      <rPr>
        <rFont val="Roboto Condensed"/>
        <color rgb="FFFFFFFF"/>
        <sz val="9.0"/>
      </rPr>
      <t>Value</t>
    </r>
  </si>
  <si>
    <t>Grenade</t>
  </si>
  <si>
    <t>Arcbolt</t>
  </si>
  <si>
    <t>Axion Bolt</t>
  </si>
  <si>
    <t>66 direct, 67 seeker impact</t>
  </si>
  <si>
    <t>Chaos Accelerant</t>
  </si>
  <si>
    <t>Electrified Snare</t>
  </si>
  <si>
    <t>Facet of Courage</t>
  </si>
  <si>
    <t>Firebolt</t>
  </si>
  <si>
    <t>7441 ignition, 88 scorch start</t>
  </si>
  <si>
    <t>average - Ember of Ashes, with ignition</t>
  </si>
  <si>
    <t>Flashbang</t>
  </si>
  <si>
    <t>7 impact</t>
  </si>
  <si>
    <t>Flux</t>
  </si>
  <si>
    <t>67 impact</t>
  </si>
  <si>
    <t>Freezing Singularity</t>
  </si>
  <si>
    <t>172 tick, 237/3781 shatter, 5647 suppress</t>
  </si>
  <si>
    <t>Facet of Courage, Facet of Ruin</t>
  </si>
  <si>
    <t>Fusion</t>
  </si>
  <si>
    <t>63 impact, 7624 2nd explosion, 150 scorch start, 7441 ignition</t>
  </si>
  <si>
    <t>average - Ember of Ashes, Touch of Flame, with ignition</t>
  </si>
  <si>
    <t>63 impact, 150 scorch start, 7441 ignition</t>
  </si>
  <si>
    <t>Glacier</t>
  </si>
  <si>
    <t>23 Fissures</t>
  </si>
  <si>
    <t>average - Whisper of Fissures</t>
  </si>
  <si>
    <t>24 Fissures</t>
  </si>
  <si>
    <t>average - Whisper of Fissures, Touch of Winter</t>
  </si>
  <si>
    <t>Hailfire Spike</t>
  </si>
  <si>
    <t>24 impact, 148 tick, 237/3781 shatter, 461 2nd tick, 7090 ignition</t>
  </si>
  <si>
    <t>Incendiary</t>
  </si>
  <si>
    <t>7 impact, 709 ignition, 20 scorch</t>
  </si>
  <si>
    <t>Lightning</t>
  </si>
  <si>
    <t>average - stuck to ground</t>
  </si>
  <si>
    <t>average - stuck to ground, Spark of Magnitude</t>
  </si>
  <si>
    <t>Magnetic</t>
  </si>
  <si>
    <t>73 impact, 5395 2nd explosion</t>
  </si>
  <si>
    <t>average - Chaos Accelerant</t>
  </si>
  <si>
    <t>Pulse</t>
  </si>
  <si>
    <t>1711/35 impact</t>
  </si>
  <si>
    <t>9.1.5.5</t>
  </si>
  <si>
    <t>average - Spark of Magnitude</t>
  </si>
  <si>
    <t>1631/33 impact, 2668 1st pulse</t>
  </si>
  <si>
    <t>average - Spark of Magnitude, Touch of Thunder</t>
  </si>
  <si>
    <t>Scatter</t>
  </si>
  <si>
    <t>76 impact, 575/769 secondary</t>
  </si>
  <si>
    <t>76 impact</t>
  </si>
  <si>
    <t>Shackle</t>
  </si>
  <si>
    <t>2083/30 impact</t>
  </si>
  <si>
    <t>Skip</t>
  </si>
  <si>
    <t>66 impact, 263 secondary</t>
  </si>
  <si>
    <t>Solar</t>
  </si>
  <si>
    <t>685/35 impact, 69 scorch start</t>
  </si>
  <si>
    <t>average - Ember of Ashes, Touch of Flame</t>
  </si>
  <si>
    <t>685/35 impact, 69 scorch start, 1369 glob, 7441 ignition</t>
  </si>
  <si>
    <t>average - Ember of Ashes, Touch of Flame, Sunbracers</t>
  </si>
  <si>
    <t>685/35 impact, 71 constant scorch</t>
  </si>
  <si>
    <t>Ember of Ashes</t>
  </si>
  <si>
    <t>Storm</t>
  </si>
  <si>
    <t>3958 secondary</t>
  </si>
  <si>
    <t>611-1368 secondaries</t>
  </si>
  <si>
    <t>Suppressor</t>
  </si>
  <si>
    <t>Swarm</t>
  </si>
  <si>
    <t>79 impact, 127 scorch start, 7441 ignition</t>
  </si>
  <si>
    <t>average -  with ignition</t>
  </si>
  <si>
    <t>Thermite</t>
  </si>
  <si>
    <t>709 ignition</t>
  </si>
  <si>
    <t>Threadling</t>
  </si>
  <si>
    <t>10 impact</t>
  </si>
  <si>
    <t>bar excludes impact</t>
  </si>
  <si>
    <t>bar excludes impact, Thread of Evolution</t>
  </si>
  <si>
    <t>Tripmine</t>
  </si>
  <si>
    <t>126 impact, 143 scorch start, 7090 ignition</t>
  </si>
  <si>
    <t>average - Ember of Ashes, Wish-Dragon Teeth, with ignition</t>
  </si>
  <si>
    <t>132 impact, 150 scorch start, 7441 ignition</t>
  </si>
  <si>
    <t>Void Spike</t>
  </si>
  <si>
    <t>69 impact</t>
  </si>
  <si>
    <t>Echo of Remnants</t>
  </si>
  <si>
    <t>Void Wall</t>
  </si>
  <si>
    <t>Vortex</t>
  </si>
  <si>
    <t>1935/39 impact, 239 last explosion</t>
  </si>
  <si>
    <t>1935/39 impact, 199 last explosion</t>
  </si>
  <si>
    <t>Echo of Remnants, Chaos Accelerant</t>
  </si>
  <si>
    <t>1935/39 impact, 488 last explosion</t>
  </si>
  <si>
    <t>Melee</t>
  </si>
  <si>
    <t>Arcane Needle</t>
  </si>
  <si>
    <t>407 unravel</t>
  </si>
  <si>
    <t>average - with unravel</t>
  </si>
  <si>
    <t>Ball Lightning</t>
  </si>
  <si>
    <t>628 secondary</t>
  </si>
  <si>
    <t>Ballistic Slam</t>
  </si>
  <si>
    <t>~5650</t>
  </si>
  <si>
    <t>average - max typical Catapult Lift height</t>
  </si>
  <si>
    <t>Base</t>
  </si>
  <si>
    <t>342/1359 poison min/max</t>
  </si>
  <si>
    <t>Necrotic Grip</t>
  </si>
  <si>
    <t>titan</t>
  </si>
  <si>
    <t>warlock</t>
  </si>
  <si>
    <t>Celestial Fire</t>
  </si>
  <si>
    <t>112 scorch start, 7090 ignition</t>
  </si>
  <si>
    <t>Consecration</t>
  </si>
  <si>
    <t>4467 2nd wave, 103 scorch start, 7090 ignition</t>
  </si>
  <si>
    <t>Disorienting Blow</t>
  </si>
  <si>
    <t>946 secondary</t>
  </si>
  <si>
    <t>Flechette Storm</t>
  </si>
  <si>
    <t>25 secondary, 407 unravel</t>
  </si>
  <si>
    <t>Frenzied Blade</t>
  </si>
  <si>
    <t>10 secondary?</t>
  </si>
  <si>
    <t>Glaive - adaptive</t>
  </si>
  <si>
    <t>2127 heavy</t>
  </si>
  <si>
    <t>lights</t>
  </si>
  <si>
    <t>Glaive - Vexcalibur</t>
  </si>
  <si>
    <t>2552 heavy</t>
  </si>
  <si>
    <t>lights, Perpetual Loophole</t>
  </si>
  <si>
    <t>Glaive - Winterbite</t>
  </si>
  <si>
    <t>3781 shatter, 2565 heavy</t>
  </si>
  <si>
    <t>lights, with shatter damage</t>
  </si>
  <si>
    <t>Grapple</t>
  </si>
  <si>
    <t>Hammer Strike</t>
  </si>
  <si>
    <t>3072 secondary, 143 scorch start, 7090 ignition</t>
  </si>
  <si>
    <t>Howl of the Storm</t>
  </si>
  <si>
    <t>average - Whisper of Fissures, Biotic Enhancements</t>
  </si>
  <si>
    <t>Incinerator Snap</t>
  </si>
  <si>
    <t>218 scorch, 7090 ignition</t>
  </si>
  <si>
    <t>Knife Trick</t>
  </si>
  <si>
    <t>1798 body, 200 scorch start, 7090 ignition</t>
  </si>
  <si>
    <t>average - precision, Ember of Ashes, with ignition</t>
  </si>
  <si>
    <t>Lightning Surge</t>
  </si>
  <si>
    <t>2662/1331/1040 secondary</t>
  </si>
  <si>
    <t>Lightweight Knife</t>
  </si>
  <si>
    <t>2854 body</t>
  </si>
  <si>
    <t>Bayonet Locked, titan</t>
  </si>
  <si>
    <t>Bayonet Locked, warlock</t>
  </si>
  <si>
    <t>Penumbral Blast</t>
  </si>
  <si>
    <t>3781 shatter, 237 Fissures</t>
  </si>
  <si>
    <t>average - Facet of Ruin</t>
  </si>
  <si>
    <t>Pocket Singularity</t>
  </si>
  <si>
    <t>984 volatile</t>
  </si>
  <si>
    <t>Proximity Explosive Knife</t>
  </si>
  <si>
    <t>2552 explosion, 2141 body</t>
  </si>
  <si>
    <t>Seismic Strike</t>
  </si>
  <si>
    <t>2048 secondary</t>
  </si>
  <si>
    <t>Shield Bash</t>
  </si>
  <si>
    <t>Shield Throw</t>
  </si>
  <si>
    <t>Shiver Strike</t>
  </si>
  <si>
    <t>3781 shatter, 851 explosion, 237 Fissures</t>
  </si>
  <si>
    <t>Whisper of Fissures, with auto shatter</t>
  </si>
  <si>
    <t>Snare Bomb</t>
  </si>
  <si>
    <t>739 explosion, 71/136 tick min/max</t>
  </si>
  <si>
    <t>excludes weaken [ticks include]</t>
  </si>
  <si>
    <t>Tempest Strike</t>
  </si>
  <si>
    <t>includes jolt</t>
  </si>
  <si>
    <t>Threaded Spike</t>
  </si>
  <si>
    <t>Throwing Hammer</t>
  </si>
  <si>
    <t>2089/2001/1928 return</t>
  </si>
  <si>
    <t>Forgemaster, Perfect Recall, melee range</t>
  </si>
  <si>
    <t>Thunderclap</t>
  </si>
  <si>
    <t>fully charged</t>
  </si>
  <si>
    <t>Weighted Throwing Knife</t>
  </si>
  <si>
    <t>3996 body</t>
  </si>
  <si>
    <t>Withering Blade</t>
  </si>
  <si>
    <t>3781 shatter</t>
  </si>
  <si>
    <t>Miscellaneous</t>
  </si>
  <si>
    <t>Arc Soul</t>
  </si>
  <si>
    <t>burst, Amplified</t>
  </si>
  <si>
    <t>2836 secondary</t>
  </si>
  <si>
    <t>Child of the Old Gods</t>
  </si>
  <si>
    <t>466 max</t>
  </si>
  <si>
    <t>includes weaken</t>
  </si>
  <si>
    <t>593 max</t>
  </si>
  <si>
    <t>Briarbinds, includes weaken</t>
  </si>
  <si>
    <t>Exodus Rockets</t>
  </si>
  <si>
    <t>Gunpowder Gamble</t>
  </si>
  <si>
    <t>29 impact</t>
  </si>
  <si>
    <t>direct stick</t>
  </si>
  <si>
    <t>67 impact, 851 submunition</t>
  </si>
  <si>
    <t>midair detonation, 3 submunitions hit</t>
  </si>
  <si>
    <t>Hellion</t>
  </si>
  <si>
    <t>84 scorch start, 7090 ignition</t>
  </si>
  <si>
    <t>182 secondary, 84 scorch start</t>
  </si>
  <si>
    <t>average - Consul's Pitch, max range</t>
  </si>
  <si>
    <t>103 scorch start, 7090 ignition</t>
  </si>
  <si>
    <t>Ignition</t>
  </si>
  <si>
    <t>Ionic Sentry</t>
  </si>
  <si>
    <t>4253/2836 Bolt Charge</t>
  </si>
  <si>
    <t>average - includes Bolt Charge, Spark of Frequency</t>
  </si>
  <si>
    <t>Jolt</t>
  </si>
  <si>
    <t>Shatter</t>
  </si>
  <si>
    <t>237 Ruin</t>
  </si>
  <si>
    <t>auto/manual</t>
  </si>
  <si>
    <t>average - Thread of Evolution</t>
  </si>
  <si>
    <t>Unbreakable</t>
  </si>
  <si>
    <t>Unravel</t>
  </si>
  <si>
    <t>Arc Staff</t>
  </si>
  <si>
    <t>686 light</t>
  </si>
  <si>
    <t>Feast of Light x6, grounded 2L1H</t>
  </si>
  <si>
    <t>404 light</t>
  </si>
  <si>
    <t>grounded 2L1H</t>
  </si>
  <si>
    <t>826 light</t>
  </si>
  <si>
    <t>Raiden Flux, grounded 2L1H</t>
  </si>
  <si>
    <t>Blade Barrage</t>
  </si>
  <si>
    <t>223 impact</t>
  </si>
  <si>
    <t>Knock Em Down</t>
  </si>
  <si>
    <t>379 impact</t>
  </si>
  <si>
    <t>Knock Em Down, Feast of Light x6</t>
  </si>
  <si>
    <t>227 impact</t>
  </si>
  <si>
    <t>Bladefury</t>
  </si>
  <si>
    <t>608/143 slash, 1021 unbuffed light</t>
  </si>
  <si>
    <t>HLLLHLLLLHLLLLHL, Banner of War, Biotic Enhancements, Thread of Continuity</t>
  </si>
  <si>
    <t>689/162 slash, 964 unbuffed light</t>
  </si>
  <si>
    <t>HLLLHLLLLHLLLLHL, Feast of Light x6</t>
  </si>
  <si>
    <t>HLLLLL, Banner of War, Biotic Enhancements, Thread of Continuity</t>
  </si>
  <si>
    <t>Burning Maul</t>
  </si>
  <si>
    <t>23/variable secondary</t>
  </si>
  <si>
    <t>heavy attacks, Ember of Ashes</t>
  </si>
  <si>
    <t>58/variable secondary</t>
  </si>
  <si>
    <t>heavy attacks, Roaring Flames x3, Sol Invictus, Ember of Ashes, Biotic Enhancements</t>
  </si>
  <si>
    <t>23/8 secondary</t>
  </si>
  <si>
    <t>light attacks, Ember of Ashes</t>
  </si>
  <si>
    <t>light attacks, Roaring Flames x3, Ember of Ashes, Biotic Enhancements</t>
  </si>
  <si>
    <t>33 cyclone</t>
  </si>
  <si>
    <t>Roaring Flames x3, Sol Invictus, Ember of Ashes, Pyrogale Gauntlets</t>
  </si>
  <si>
    <t>Chaos Reach</t>
  </si>
  <si>
    <t>1040/538 secondary</t>
  </si>
  <si>
    <t>Geomag Stabilizers</t>
  </si>
  <si>
    <t>Geomag Stabilizers, Sol Invictus</t>
  </si>
  <si>
    <t>Daybreak</t>
  </si>
  <si>
    <t>600/411 secondary, 676 ignition</t>
  </si>
  <si>
    <t>Ember of Ashes, Dawn Chorus, grounded</t>
  </si>
  <si>
    <t>230 secondary, 676 ignition</t>
  </si>
  <si>
    <t>Ember of Ashes, grounded</t>
  </si>
  <si>
    <t>Fists of Havoc</t>
  </si>
  <si>
    <t>65 tick</t>
  </si>
  <si>
    <t>heavy attacks</t>
  </si>
  <si>
    <t>389 tick</t>
  </si>
  <si>
    <t>heavy attacks, Biotic Enhancements</t>
  </si>
  <si>
    <t>443 light</t>
  </si>
  <si>
    <t>light attacks</t>
  </si>
  <si>
    <t>665 light</t>
  </si>
  <si>
    <t>light attacks, Biotic Enhancements</t>
  </si>
  <si>
    <t>1019 light, 557/597 aftershocks</t>
  </si>
  <si>
    <t>light heavy cycle</t>
  </si>
  <si>
    <t>665 light, 363 aftershocks</t>
  </si>
  <si>
    <t>light heavy cycle, Biotic Enhancements</t>
  </si>
  <si>
    <t>Gathering Storm</t>
  </si>
  <si>
    <t>925 secondary, 758 tick, 100 jolt</t>
  </si>
  <si>
    <t>Feast of Light x6</t>
  </si>
  <si>
    <t>R*</t>
  </si>
  <si>
    <t>544 secondary, 446 tick, 100 jolt</t>
  </si>
  <si>
    <t>Glacial Quake</t>
  </si>
  <si>
    <t>4 secondary</t>
  </si>
  <si>
    <t>7 secondary, 23 Fissures</t>
  </si>
  <si>
    <t>heavy attacks, Facet of Ruin, Feast of Light x6</t>
  </si>
  <si>
    <t>4 secondary, 23 Fissures</t>
  </si>
  <si>
    <t>heavy attacks, Whisper of Fissures</t>
  </si>
  <si>
    <t>6 secondary, 23 Fissures</t>
  </si>
  <si>
    <t>heavy attacks, Whisper of Fissures, Biotic Enhancements</t>
  </si>
  <si>
    <t>237 normal, 23 Fissures</t>
  </si>
  <si>
    <t>Howl of the Storm, Whisper of Fissures, Biotic Enhancements</t>
  </si>
  <si>
    <t>158 normal, 23 Fissures</t>
  </si>
  <si>
    <t>Howl of the Storm, Whisper of Fissures</t>
  </si>
  <si>
    <t>361/various secondary</t>
  </si>
  <si>
    <t>light attack, Prismatic, Facet of Ruin</t>
  </si>
  <si>
    <t>light attack, Prismatic, Facet of Ruin, Biotic Enhancements</t>
  </si>
  <si>
    <t>light attack, Prismatic, Facet of Ruin, Biotic Enhancements, Knockout</t>
  </si>
  <si>
    <t>light attack, Prismatic, Facet of Ruin, Burning Fists x5, Knockout</t>
  </si>
  <si>
    <t>light attack, Prismatic, Facet of Ruin, Feast of Light x6</t>
  </si>
  <si>
    <t>light attack, Prismatic, Facet of Ruin, Feast of Light x6, Knockout</t>
  </si>
  <si>
    <t>light attack, Stasis, Whisper of Fissures</t>
  </si>
  <si>
    <t>light attack, Stasis, Whisper of Fissures, Biotic Enhancements</t>
  </si>
  <si>
    <t>Golden Gun - Deadshot</t>
  </si>
  <si>
    <t>811 ignition</t>
  </si>
  <si>
    <t>Radiant, Ember of Ashes</t>
  </si>
  <si>
    <t>P</t>
  </si>
  <si>
    <t>Golden Gun - Marksman</t>
  </si>
  <si>
    <t>2050 ignition</t>
  </si>
  <si>
    <t>Radiant, Celestial Nighthawk</t>
  </si>
  <si>
    <t>2799/3649 2nd/3rd, 811 ignition</t>
  </si>
  <si>
    <r>
      <rPr>
        <rFont val="Roboto Condensed"/>
        <color theme="1"/>
        <sz val="8.0"/>
      </rPr>
      <t>Radian</t>
    </r>
    <r>
      <rPr>
        <rFont val="Roboto Condensed"/>
        <color rgb="FF181A1B"/>
        <sz val="8.0"/>
      </rPr>
      <t>t, Ember of Ashes</t>
    </r>
  </si>
  <si>
    <t>4758/6203 2nd/3rd, 1378 ignition</t>
  </si>
  <si>
    <t>Radiant, Feast of Light x6, Ember of Ashes</t>
  </si>
  <si>
    <t>Hammer of Sol</t>
  </si>
  <si>
    <t>variable secondary</t>
  </si>
  <si>
    <t>Feast of Light x6, max distance</t>
  </si>
  <si>
    <t>max distance</t>
  </si>
  <si>
    <t>Roaring Flames x3, max distance</t>
  </si>
  <si>
    <t>322/variable secondary</t>
  </si>
  <si>
    <t>Roaring Flames x3, Sol Invictus, Ember of Ashes</t>
  </si>
  <si>
    <t>483/variable secondary</t>
  </si>
  <si>
    <t>Roaring Flames x3, Sol Invictus, Ember of Ashes, Biotic Enhancements</t>
  </si>
  <si>
    <t>387/variable secondary</t>
  </si>
  <si>
    <t>Needlestorm</t>
  </si>
  <si>
    <t>538 explosion</t>
  </si>
  <si>
    <t>915 explosion, 4970 Stylostixis, 622 snap</t>
  </si>
  <si>
    <t>Stylostixis</t>
  </si>
  <si>
    <t>1217 explosion, 4970 Stylostixis, 622 snap</t>
  </si>
  <si>
    <t>Stylostixis, Thread of Evolution</t>
  </si>
  <si>
    <t>1667 explosion</t>
  </si>
  <si>
    <t>Thread of Evolution</t>
  </si>
  <si>
    <t>398 explosion</t>
  </si>
  <si>
    <t>Nova Bomb - Cataclysm</t>
  </si>
  <si>
    <t>3981 seeker, 14 impact</t>
  </si>
  <si>
    <t>2654 seeker, 9 impact</t>
  </si>
  <si>
    <t>Nova Bomb - Vortex</t>
  </si>
  <si>
    <t>213 tick, 9 impact</t>
  </si>
  <si>
    <t>Nova Warp</t>
  </si>
  <si>
    <t>2121 explosion. 94 volatile</t>
  </si>
  <si>
    <t>Sentinel Shield</t>
  </si>
  <si>
    <t>aerial lights</t>
  </si>
  <si>
    <t>94 volatile</t>
  </si>
  <si>
    <t>aerial lights, Biotic Enhancements, Controlled Demolition</t>
  </si>
  <si>
    <t>638/685 light</t>
  </si>
  <si>
    <t>957/1027 light</t>
  </si>
  <si>
    <t>light attacks, Biotic Enhancements, Controlled Demolition</t>
  </si>
  <si>
    <t>1477 no charge, 41861 Biotic</t>
  </si>
  <si>
    <t>shield throw, no bounces, max charge, Controlled Demolition</t>
  </si>
  <si>
    <t>Shadowshot: Moebius Quiver</t>
  </si>
  <si>
    <t>4144 debuffed, 94 volatile</t>
  </si>
  <si>
    <t>full bow charge, Feast of Light x6, includes debuff</t>
  </si>
  <si>
    <t>2438 debuffed, 94 volatile</t>
  </si>
  <si>
    <t>full bow charge, includes debuff</t>
  </si>
  <si>
    <t>full bow charge, Orpheus Rig, includes debuff</t>
  </si>
  <si>
    <t>1927 debuffed, 94 volatile</t>
  </si>
  <si>
    <t>Feast of Light x6, includes debuff</t>
  </si>
  <si>
    <t>1109 debuffed, 94 volatile</t>
  </si>
  <si>
    <t>includes debuff</t>
  </si>
  <si>
    <t>1074 debuffed, 94 volatile</t>
  </si>
  <si>
    <t>Orpheus Rig, includes debuff</t>
  </si>
  <si>
    <t>Silence and Squall</t>
  </si>
  <si>
    <t>50 yellow</t>
  </si>
  <si>
    <t>Facet of Ruin</t>
  </si>
  <si>
    <t>85 yellow</t>
  </si>
  <si>
    <t>Facet of Ruin, Feast of Light x6</t>
  </si>
  <si>
    <t>Whisper of Fissures, Whisper of Durance</t>
  </si>
  <si>
    <t>Whisper of Fissures, Whisper of Durance, Feast of Light x6</t>
  </si>
  <si>
    <t>Silkstrike</t>
  </si>
  <si>
    <t>light attacks, Feast of Light x6</t>
  </si>
  <si>
    <t>Song of Flame</t>
  </si>
  <si>
    <t>139 melee</t>
  </si>
  <si>
    <t>snap spam</t>
  </si>
  <si>
    <t>snap spam, Claws of Ahamkara, Necrotic Grip</t>
  </si>
  <si>
    <t>676 ignition</t>
  </si>
  <si>
    <t>snap spam, Claws of Ahamkara, Necrotic Grip, Facet of Courage</t>
  </si>
  <si>
    <t>139 melee, 676 ignition</t>
  </si>
  <si>
    <t>snap/wisp cycling</t>
  </si>
  <si>
    <t>139 melee, 709 ignition</t>
  </si>
  <si>
    <t>wisp/snap cycling</t>
  </si>
  <si>
    <t>236 melee, 709 ignition</t>
  </si>
  <si>
    <t>wisp/snap cycling, Feast of Light x6, Necrotic Grip</t>
  </si>
  <si>
    <t>354 melee, 780 ignition</t>
  </si>
  <si>
    <t>wisp/snap cycling, Feast of Light x6, Necrotic Grip, Facet of Courage</t>
  </si>
  <si>
    <t>Spectral Blades</t>
  </si>
  <si>
    <t>Storm's Edge</t>
  </si>
  <si>
    <t>537/284 impact</t>
  </si>
  <si>
    <t>913/482 impact</t>
  </si>
  <si>
    <t>body, Feast of Light x6</t>
  </si>
  <si>
    <t>Stormtrance</t>
  </si>
  <si>
    <t>789 max</t>
  </si>
  <si>
    <t>Ascending Amplitude</t>
  </si>
  <si>
    <t>447 max</t>
  </si>
  <si>
    <t>263 max</t>
  </si>
  <si>
    <t>Thundercrash</t>
  </si>
  <si>
    <t>880 tick, 528 aftershock</t>
  </si>
  <si>
    <t>851 tick, 511 aftershock</t>
  </si>
  <si>
    <t>568 tick, 341 aftershock</t>
  </si>
  <si>
    <t>Twilight Arsenal</t>
  </si>
  <si>
    <t>9618 secondary</t>
  </si>
  <si>
    <t>axe heavy, includes weaken</t>
  </si>
  <si>
    <t>axe light, includes weaken</t>
  </si>
  <si>
    <t>6113/8559 weakened, 25 impact</t>
  </si>
  <si>
    <t>Feast of Light x6, includes weaken</t>
  </si>
  <si>
    <t>4891/6847 weakened, 20 impact</t>
  </si>
  <si>
    <t>7740 explosion, 23 impact</t>
  </si>
  <si>
    <t>includes weaken, pre-Tractored</t>
  </si>
  <si>
    <t>Winter's Wrath</t>
  </si>
  <si>
    <t>361 secondary, 51 impact</t>
  </si>
  <si>
    <t>light heavy cycle, Facet of Ruin, Feast of Light x6</t>
  </si>
  <si>
    <t>743 secondary, 30 impact</t>
  </si>
  <si>
    <t>light heavy cycle, Whisper of Fissures, Ballidorse Wrathweavers</t>
  </si>
  <si>
    <t>829 secondary, 117 impact</t>
  </si>
  <si>
    <t>light heavy cancel cycle, Facet of Ruin, Feast of Light x6</t>
  </si>
  <si>
    <t>2071 secondary, 69 impact</t>
  </si>
  <si>
    <t>light heavy cancel cycle, Whisper of Fissures, Ballidorse Wrathweavers</t>
  </si>
  <si>
    <t>Tests are performed using &lt;101 of the associated stat, on warlock, unless otherwise noted.</t>
  </si>
  <si>
    <t>Icon</t>
  </si>
  <si>
    <t>1W</t>
  </si>
  <si>
    <t>1P</t>
  </si>
  <si>
    <t>5W</t>
  </si>
  <si>
    <t>5P</t>
  </si>
  <si>
    <t>1A</t>
  </si>
  <si>
    <t>5A</t>
  </si>
  <si>
    <t>Bleak Watcher</t>
  </si>
  <si>
    <t>Whisper of Durance, Whisper of Fissures</t>
  </si>
  <si>
    <t>Facet of Ruin, Facet of Courage</t>
  </si>
  <si>
    <t>Grenade launcher (drum)</t>
  </si>
  <si>
    <t>Grenade launcher (breech)</t>
  </si>
  <si>
    <t>Direct impact</t>
  </si>
  <si>
    <t>Composite Propellant x5, Ember of Ashes</t>
  </si>
  <si>
    <t>Wisp/snap cycling</t>
  </si>
  <si>
    <t xml:space="preserve"> e. Kinetic Tremors</t>
  </si>
  <si>
    <t>Ember of Ashes, includes ignition</t>
  </si>
  <si>
    <t>Whisper of Fissures, light heavy cycle</t>
  </si>
  <si>
    <t>1H2L</t>
  </si>
  <si>
    <t>Whisper of Fissures, Touch of Winter</t>
  </si>
  <si>
    <t>Chill Clip, Whisper of Fissures</t>
  </si>
  <si>
    <t>Ember of Ashes, Touch of Flame</t>
  </si>
  <si>
    <t>Spark of Shock, Spark of Magnitude</t>
  </si>
  <si>
    <t>Caster frame, 1H2L, The Perfect Fifth, Transcendent</t>
  </si>
  <si>
    <r>
      <rPr>
        <rFont val="Arial"/>
        <color theme="1"/>
      </rPr>
      <t>Ember of Ashes, Young Ahamkara's Spine</t>
    </r>
    <r>
      <rPr>
        <rFont val="Arial"/>
        <color rgb="FF181A1B"/>
      </rPr>
      <t>, includes ignition</t>
    </r>
  </si>
  <si>
    <t>Ember of Ashes, Touch of Flame, includes ignition</t>
  </si>
  <si>
    <t>Sol Invictus, Ember of Ashes, Pyrogale Gauntlets</t>
  </si>
  <si>
    <t>Base, max distance</t>
  </si>
  <si>
    <t>10 shots &gt; blight &gt; 9 shots &gt; blight &gt; 9 shots &gt; blight</t>
  </si>
  <si>
    <t>Ember of Ashes, Dawn Chorus</t>
  </si>
  <si>
    <t>Two traps</t>
  </si>
  <si>
    <t>Knock 'Em Down</t>
  </si>
  <si>
    <t>Includes weaken</t>
  </si>
  <si>
    <t>Appended Mag, until Rewind Rounds stops refilling</t>
  </si>
  <si>
    <t>Heavy attacks, Whisper of Fissures</t>
  </si>
  <si>
    <t>Info</t>
  </si>
  <si>
    <t>Damage @ x seconds</t>
  </si>
  <si>
    <t>DPS</t>
  </si>
  <si>
    <t>NAME</t>
  </si>
  <si>
    <t>10s</t>
  </si>
  <si>
    <t>20s</t>
  </si>
  <si>
    <t>30s</t>
  </si>
  <si>
    <t>40s</t>
  </si>
  <si>
    <t>50s</t>
  </si>
  <si>
    <t>60s</t>
  </si>
  <si>
    <t>70s</t>
  </si>
  <si>
    <t>80s</t>
  </si>
  <si>
    <t>W</t>
  </si>
  <si>
    <t>reference</t>
  </si>
  <si>
    <t>Finality rocket pulse</t>
  </si>
  <si>
    <t>https://dim.gg/ssk6rma/Equipped</t>
  </si>
  <si>
    <t>Y</t>
  </si>
  <si>
    <t>similar total to Parasite but worse DPS</t>
  </si>
  <si>
    <t>Finality sniper</t>
  </si>
  <si>
    <t>https://dim.gg/jvqjhra/Equipped</t>
  </si>
  <si>
    <t>infinite total but crit requirement</t>
  </si>
  <si>
    <t>Parasite rocket pulse</t>
  </si>
  <si>
    <t>https://dim.gg/6fu4o7y/Equipped</t>
  </si>
  <si>
    <t>solid without Divinity</t>
  </si>
  <si>
    <t>Levi rocket pulse</t>
  </si>
  <si>
    <t>H</t>
  </si>
  <si>
    <t>https://dim.gg/ou6fd3q/Equipped</t>
  </si>
  <si>
    <t>not really worth for longer phases</t>
  </si>
  <si>
    <t>LoW Submersion</t>
  </si>
  <si>
    <t>https://dim.gg/bgn7xni/Equipped</t>
  </si>
  <si>
    <t>surprisingly good but probably not worth neutral cost</t>
  </si>
  <si>
    <t>A499 hipfire</t>
  </si>
  <si>
    <t>https://dim.gg/lv5iqra/Equipped</t>
  </si>
  <si>
    <t>probably disabled</t>
  </si>
  <si>
    <t>A499 StL</t>
  </si>
  <si>
    <t>convoluted with Izi; probably better to focus sniper</t>
  </si>
  <si>
    <t>A499 regular</t>
  </si>
  <si>
    <t>the go-to ranged option for now</t>
  </si>
  <si>
    <t>A499 Rupture</t>
  </si>
  <si>
    <t>probably disabled, lots of human error (model-specific)</t>
  </si>
  <si>
    <t>A499 Uncivil</t>
  </si>
  <si>
    <t>https://dim.gg/cozwfli/Equipped</t>
  </si>
  <si>
    <t>probably disabled, also not very good example</t>
  </si>
  <si>
    <t>A499 Still Hunt</t>
  </si>
  <si>
    <t>https://dim.gg/t56h3sq/Equipped</t>
  </si>
  <si>
    <t>just easier to focus on A499</t>
  </si>
  <si>
    <t>https://dim.gg/zbz7kyq/Equipped</t>
  </si>
  <si>
    <t>~1800 @ 60s if Tractor extension available</t>
  </si>
  <si>
    <t>Ergo Synanceia</t>
  </si>
  <si>
    <t>https://dim.gg/j4bveta/Equipped</t>
  </si>
  <si>
    <t>N</t>
  </si>
  <si>
    <t>Praxic Blade - void</t>
  </si>
  <si>
    <t>https://dim.gg/vv2t4la/Equipped</t>
  </si>
  <si>
    <t>theoretically ~1438 if used to extend Tractor</t>
  </si>
  <si>
    <t>only tested because someone asked</t>
  </si>
  <si>
    <t>Praxic Blade - solar</t>
  </si>
  <si>
    <t>best of the bunch even without a damage super</t>
  </si>
  <si>
    <t>Still hunt sniper</t>
  </si>
  <si>
    <t>https://dim.gg/3dtm5sa/Support</t>
  </si>
  <si>
    <t>pretty solid for short phases</t>
  </si>
  <si>
    <t>All testing was performed in the Shooting Range (Ultimate) with Well (no Assembler) and no other modifiers.</t>
  </si>
  <si>
    <t>Time (s)</t>
  </si>
  <si>
    <t>Praxic Blade - arc</t>
  </si>
  <si>
    <t>Still Hunt sniper</t>
  </si>
  <si>
    <t>Family</t>
  </si>
  <si>
    <t>Distribution</t>
  </si>
  <si>
    <r>
      <rPr>
        <rFont val="Arial"/>
        <b/>
        <color rgb="FFFFFFFF"/>
        <sz val="7.0"/>
      </rPr>
      <t xml:space="preserve">peak
</t>
    </r>
    <r>
      <rPr>
        <rFont val="Arial"/>
        <b/>
        <color rgb="FFFFFFFF"/>
      </rPr>
      <t>Rate</t>
    </r>
  </si>
  <si>
    <t>TtE</t>
  </si>
  <si>
    <t>Perk</t>
  </si>
  <si>
    <t>Surge</t>
  </si>
  <si>
    <t>Debuff</t>
  </si>
  <si>
    <t>Single</t>
  </si>
  <si>
    <r>
      <rPr>
        <rFont val="Arial"/>
        <b/>
        <color rgb="FFFFFFFF"/>
        <sz val="7.0"/>
      </rPr>
      <t>TFS</t>
    </r>
    <r>
      <rPr>
        <rFont val="Arial"/>
        <b/>
        <color rgb="FFFFFFFF"/>
      </rPr>
      <t xml:space="preserve">
Total</t>
    </r>
  </si>
  <si>
    <r>
      <rPr>
        <rFont val="Arial"/>
        <b/>
        <color rgb="FFFFFFFF"/>
        <sz val="7.0"/>
      </rPr>
      <t>TFS</t>
    </r>
    <r>
      <rPr>
        <rFont val="Arial"/>
        <b/>
        <color rgb="FFFFFFFF"/>
      </rPr>
      <t xml:space="preserve">
DPS</t>
    </r>
  </si>
  <si>
    <t>Total</t>
  </si>
  <si>
    <r>
      <rPr>
        <rFont val="Arial"/>
        <b/>
        <color rgb="FFFFFFFF"/>
        <sz val="7.0"/>
      </rPr>
      <t>diff</t>
    </r>
    <r>
      <rPr>
        <rFont val="Arial"/>
        <b/>
        <color rgb="FFFFFFFF"/>
      </rPr>
      <t xml:space="preserve">
Total</t>
    </r>
  </si>
  <si>
    <r>
      <rPr>
        <rFont val="Arial"/>
        <b/>
        <color rgb="FFFFFFFF"/>
        <sz val="7.0"/>
      </rPr>
      <t>diff</t>
    </r>
    <r>
      <rPr>
        <rFont val="Arial"/>
        <b/>
        <color rgb="FFFFFFFF"/>
      </rPr>
      <t xml:space="preserve">
DPS</t>
    </r>
  </si>
  <si>
    <r>
      <rPr>
        <rFont val="Arial"/>
        <color rgb="FF181A1B"/>
      </rPr>
      <t xml:space="preserve">High-impact bow
</t>
    </r>
    <r>
      <rPr>
        <rFont val="Arial"/>
        <i/>
        <color rgb="FF181A1B"/>
      </rPr>
      <t>Heavy Bolts, Accelerated Assault, Envious Arsenal + High Ground (A Good Shout), Guidance Ring x3, Moebius Quiver</t>
    </r>
  </si>
  <si>
    <t>power</t>
  </si>
  <si>
    <t>bow</t>
  </si>
  <si>
    <t>1-1-1...</t>
  </si>
  <si>
    <r>
      <rPr>
        <rFont val="Arial"/>
        <color rgb="FF181A1B"/>
      </rPr>
      <t xml:space="preserve">High-impact bow
</t>
    </r>
    <r>
      <rPr>
        <rFont val="Arial"/>
        <i/>
        <color rgb="FF181A1B"/>
      </rPr>
      <t>Heavy Bolts, Accelerated Assault, Envious Arsenal + High Ground (A Good Shout), Moebius Quiver</t>
    </r>
  </si>
  <si>
    <r>
      <rPr>
        <rFont val="Arial"/>
        <color rgb="FF181A1B"/>
      </rPr>
      <t xml:space="preserve">Grapple melee
</t>
    </r>
    <r>
      <rPr>
        <rFont val="Arial"/>
        <i/>
        <color rgb="FF181A1B"/>
      </rPr>
      <t>One-Two Punch, Biotic Enhancements, Combination Blow x3, Facet of Courage</t>
    </r>
  </si>
  <si>
    <t>melee</t>
  </si>
  <si>
    <t>INF</t>
  </si>
  <si>
    <r>
      <rPr>
        <rFont val="Arial"/>
        <color theme="1"/>
      </rPr>
      <t xml:space="preserve">Leviathan's Breath
</t>
    </r>
    <r>
      <rPr>
        <rFont val="Arial"/>
        <i/>
        <color theme="1"/>
      </rPr>
      <t>Archer's Tempo, Moebius Quiver</t>
    </r>
  </si>
  <si>
    <r>
      <rPr>
        <rFont val="Arial"/>
        <color rgb="FF181A1B"/>
      </rPr>
      <t xml:space="preserve">High-impact bow
</t>
    </r>
    <r>
      <rPr>
        <rFont val="Arial"/>
        <i/>
        <color rgb="FF181A1B"/>
      </rPr>
      <t>Heavy Bolts, Accelerated Assault, Envious Arsenal + High Ground (A Good Shout), Guidance Ring x3</t>
    </r>
  </si>
  <si>
    <r>
      <rPr>
        <rFont val="Arial"/>
        <color theme="1"/>
      </rPr>
      <t xml:space="preserve">Aggressive rocket launcher
</t>
    </r>
    <r>
      <rPr>
        <rFont val="Arial"/>
        <i/>
        <color theme="1"/>
      </rPr>
      <t>Slideshot + e. Surrounded (Crux Termination IV), Pack Hunter</t>
    </r>
  </si>
  <si>
    <t>rocket</t>
  </si>
  <si>
    <r>
      <rPr>
        <rFont val="Arial"/>
        <color rgb="FF181A1B"/>
      </rPr>
      <t xml:space="preserve">Grapple melee
</t>
    </r>
    <r>
      <rPr>
        <rFont val="Arial"/>
        <i/>
        <color rgb="FF181A1B"/>
      </rPr>
      <t>One-Two Punch, Banner of War, Biotic Enhancements</t>
    </r>
  </si>
  <si>
    <r>
      <rPr>
        <rFont val="Arial"/>
        <color rgb="FF181A1B"/>
      </rPr>
      <t xml:space="preserve">Adaptive rocket launcher
</t>
    </r>
    <r>
      <rPr>
        <rFont val="Arial"/>
        <i/>
        <color rgb="FF181A1B"/>
      </rPr>
      <t>Timelost Magazine, Envious Arsenal + Elemental Honing x5 (Hezen Vengeance), Pack Hunter</t>
    </r>
  </si>
  <si>
    <t>1450ms swap</t>
  </si>
  <si>
    <t>2-2-2-2-1</t>
  </si>
  <si>
    <r>
      <rPr>
        <rFont val="Arial"/>
        <color rgb="FF181A1B"/>
      </rPr>
      <t xml:space="preserve">High-impact bow
</t>
    </r>
    <r>
      <rPr>
        <rFont val="Arial"/>
        <i/>
        <color rgb="FF181A1B"/>
      </rPr>
      <t>Heavy Bolts, Accelerated Assault, Envious Arsenal + High Ground (A Good Shout)</t>
    </r>
  </si>
  <si>
    <r>
      <rPr>
        <rFont val="Arial"/>
        <color rgb="FF181A1B"/>
      </rPr>
      <t xml:space="preserve">Throwing Hammer
</t>
    </r>
    <r>
      <rPr>
        <rFont val="Arial"/>
        <i/>
        <color rgb="FF181A1B"/>
      </rPr>
      <t>One-Two Punch, Biotic Enhancements, Roaring Flames x3, includes &lt;101 Weapons rapid-fire shotgun</t>
    </r>
  </si>
  <si>
    <r>
      <rPr>
        <rFont val="Arial"/>
        <color rgb="FF181A1B"/>
      </rPr>
      <t xml:space="preserve">Fusion grenade
</t>
    </r>
    <r>
      <rPr>
        <rFont val="Arial"/>
        <i/>
        <color rgb="FF181A1B"/>
      </rPr>
      <t>Death Throes x5, Touch of Flame, Ember of Ashes, Feel the Flame</t>
    </r>
  </si>
  <si>
    <t>grenade</t>
  </si>
  <si>
    <r>
      <rPr>
        <rFont val="Arial"/>
        <color theme="1"/>
      </rPr>
      <t xml:space="preserve">Pinpoint slug shotgun
</t>
    </r>
    <r>
      <rPr>
        <rFont val="Arial"/>
        <i/>
        <color theme="1"/>
      </rPr>
      <t>Assault Mag, e. Redirection x30 + Elemental Honing x5 (Unvoiced), reload cancelling</t>
    </r>
  </si>
  <si>
    <t>special</t>
  </si>
  <si>
    <t>shotgun</t>
  </si>
  <si>
    <t>18</t>
  </si>
  <si>
    <r>
      <rPr>
        <rFont val="Arial"/>
        <color rgb="FF181A1B"/>
      </rPr>
      <t xml:space="preserve">Flux grenade
</t>
    </r>
    <r>
      <rPr>
        <rFont val="Arial"/>
        <i/>
        <color rgb="FF181A1B"/>
      </rPr>
      <t>Death Throes x5, Feel the Flame</t>
    </r>
  </si>
  <si>
    <r>
      <rPr>
        <rFont val="Arial"/>
        <color rgb="FF181A1B"/>
      </rPr>
      <t xml:space="preserve">Throwing Hammer
</t>
    </r>
    <r>
      <rPr>
        <rFont val="Arial"/>
        <i/>
        <color rgb="FF181A1B"/>
      </rPr>
      <t>Biotic Enhancements, Roaring Flames x3, max range</t>
    </r>
  </si>
  <si>
    <r>
      <rPr>
        <rFont val="Arial"/>
        <color theme="1"/>
      </rPr>
      <t xml:space="preserve">Aggressive sniper
</t>
    </r>
    <r>
      <rPr>
        <rFont val="Arial"/>
        <i/>
        <color theme="1"/>
      </rPr>
      <t>Aggregate Charge x3 (Refurbished A499)</t>
    </r>
    <r>
      <rPr>
        <rFont val="Arial"/>
        <i/>
        <color rgb="FF181A1B"/>
      </rPr>
      <t>, Networked Targeting x5</t>
    </r>
  </si>
  <si>
    <t>sniper</t>
  </si>
  <si>
    <r>
      <rPr>
        <rFont val="Arial"/>
        <color rgb="FF181A1B"/>
      </rPr>
      <t xml:space="preserve">Praxic Blade
</t>
    </r>
    <r>
      <rPr>
        <rFont val="Arial"/>
        <i/>
        <color rgb="FF181A1B"/>
      </rPr>
      <t xml:space="preserve">throw spam with double hits, Lucent Blades x3, Offensive Form, Forceful Blade III, Gyro Core (solar), </t>
    </r>
    <r>
      <rPr>
        <rFont val="Arial"/>
        <b/>
        <i/>
        <color rgb="FF181A1B"/>
      </rPr>
      <t>simulated</t>
    </r>
  </si>
  <si>
    <t>sword</t>
  </si>
  <si>
    <r>
      <rPr>
        <rFont val="Arial"/>
        <color theme="1"/>
      </rPr>
      <t xml:space="preserve">Adaptive rocket launcher
</t>
    </r>
    <r>
      <rPr>
        <rFont val="Arial"/>
        <i/>
        <color theme="1"/>
      </rPr>
      <t>Clown Cartridge + Elemental Honing x5 (The When and Where), Pack Hunter</t>
    </r>
  </si>
  <si>
    <t>2150ms reload</t>
  </si>
  <si>
    <t>1-2-2-2-2</t>
  </si>
  <si>
    <r>
      <rPr>
        <rFont val="Arial"/>
        <color theme="1"/>
      </rPr>
      <t>Winterbite</t>
    </r>
    <r>
      <rPr>
        <rFont val="Arial"/>
        <i/>
        <color theme="1"/>
      </rPr>
      <t xml:space="preserve">
</t>
    </r>
    <r>
      <rPr>
        <rFont val="Arial"/>
        <i/>
        <color rgb="FF181A1B"/>
      </rPr>
      <t>melee, 2L1H cancel combo, Combination Blow x3, Triton Vice, excludes shatter damage</t>
    </r>
  </si>
  <si>
    <r>
      <rPr>
        <rFont val="Arial"/>
        <color rgb="FF181A1B"/>
      </rPr>
      <t xml:space="preserve">Wolfsbane
</t>
    </r>
    <r>
      <rPr>
        <rFont val="Arial"/>
        <i/>
        <color rgb="FF181A1B"/>
      </rPr>
      <t>swapping after HLLHLLHLLHLLH, Honed Edge + Jagged Edge, Burning Ambition, 10 lights to regenerate, Outbreak Perfected max nanites</t>
    </r>
  </si>
  <si>
    <t>5-5-5-3-1-1...</t>
  </si>
  <si>
    <r>
      <rPr>
        <rFont val="Arial"/>
        <color rgb="FF181A1B"/>
      </rPr>
      <t xml:space="preserve">Izanagi's Burden
</t>
    </r>
    <r>
      <rPr>
        <rFont val="Arial"/>
        <i/>
        <color rgb="FF181A1B"/>
      </rPr>
      <t>includes rehone time, hone before rally</t>
    </r>
  </si>
  <si>
    <t>4-4-4-4-4-3</t>
  </si>
  <si>
    <r>
      <rPr>
        <rFont val="Arial"/>
        <color rgb="FF181A1B"/>
      </rPr>
      <t xml:space="preserve">High-impact rocket launcher
</t>
    </r>
    <r>
      <rPr>
        <rFont val="Arial"/>
        <i/>
        <color rgb="FF181A1B"/>
      </rPr>
      <t>Envious Arsenal + Bait and Switch (Tomorrow's Answer), Pack Hunter</t>
    </r>
  </si>
  <si>
    <r>
      <rPr>
        <rFont val="Arial"/>
        <color theme="1"/>
      </rPr>
      <t xml:space="preserve">Legend of Acrius
</t>
    </r>
    <r>
      <rPr>
        <rFont val="Arial"/>
        <i/>
        <color theme="1"/>
      </rPr>
      <t>body, Trench Barrel</t>
    </r>
  </si>
  <si>
    <t>1416ms m-s
1550ms s-m-s</t>
  </si>
  <si>
    <t>3-3-3...</t>
  </si>
  <si>
    <r>
      <rPr>
        <rFont val="Arial"/>
        <color theme="1"/>
      </rPr>
      <t xml:space="preserve">Merciless
</t>
    </r>
    <r>
      <rPr>
        <rFont val="Arial"/>
        <i/>
        <color theme="1"/>
      </rPr>
      <t>Impetus, two kills</t>
    </r>
  </si>
  <si>
    <t>fusion</t>
  </si>
  <si>
    <t>1000ms charge
1317ms reload</t>
  </si>
  <si>
    <t>7-8-2</t>
  </si>
  <si>
    <r>
      <rPr>
        <rFont val="Arial"/>
        <color theme="1"/>
      </rPr>
      <t xml:space="preserve">Still Hunt
</t>
    </r>
    <r>
      <rPr>
        <rFont val="Arial"/>
        <i/>
        <color theme="1"/>
      </rPr>
      <t>pre-popped into 6 shot cycle, Celestial Nighthawk</t>
    </r>
  </si>
  <si>
    <t>1767ms cast
1817ms reload</t>
  </si>
  <si>
    <t>1-6-1...</t>
  </si>
  <si>
    <r>
      <rPr>
        <rFont val="Arial"/>
        <color theme="1"/>
      </rPr>
      <t xml:space="preserve">Aggressive sniper
</t>
    </r>
    <r>
      <rPr>
        <rFont val="Arial"/>
        <i/>
        <color theme="1"/>
      </rPr>
      <t>Aggregate Charge x3 (Refurbished A499)</t>
    </r>
  </si>
  <si>
    <r>
      <rPr>
        <rFont val="Arial"/>
        <color rgb="FF181A1B"/>
      </rPr>
      <t xml:space="preserve">Dynamic sniper - 140RPM special
</t>
    </r>
    <r>
      <rPr>
        <rFont val="Arial"/>
        <i/>
        <color rgb="FF181A1B"/>
      </rPr>
      <t>Ionized Heatsink, Dynamic Heat Limiter, Vorpal + Bait and Switch (Conspiracy Honed), Networked Targeting x5</t>
    </r>
  </si>
  <si>
    <t>3-9-8-6</t>
  </si>
  <si>
    <r>
      <rPr>
        <rFont val="Arial"/>
        <color rgb="FF181A1B"/>
      </rPr>
      <t xml:space="preserve">Pulse grenade
</t>
    </r>
    <r>
      <rPr>
        <rFont val="Arial"/>
        <i/>
        <color rgb="FF181A1B"/>
      </rPr>
      <t>Empowered Grenade x2, Touch of Thunder, Spark of Magnitude, Feel the Flame</t>
    </r>
  </si>
  <si>
    <r>
      <rPr>
        <rFont val="Arial"/>
        <color rgb="FF181A1B"/>
      </rPr>
      <t xml:space="preserve">Wolfsbane
</t>
    </r>
    <r>
      <rPr>
        <rFont val="Arial"/>
        <i/>
        <color rgb="FF181A1B"/>
      </rPr>
      <t>swapping after HLLHLLHLLHLLH, Honed Edge + Jagged Edge, Burning Ambition, 10 lights to regenerate</t>
    </r>
  </si>
  <si>
    <r>
      <rPr>
        <rFont val="Arial"/>
        <color theme="1"/>
      </rPr>
      <t xml:space="preserve">Rapid-fire grenade launcher
</t>
    </r>
    <r>
      <rPr>
        <rFont val="Arial"/>
        <i/>
        <color theme="1"/>
      </rPr>
      <t>no Backup Mag, Spike Grenades, Envious Assassin + e. Surrounded (Koraxis's Distress)</t>
    </r>
  </si>
  <si>
    <t>HGL</t>
  </si>
  <si>
    <t>2017ms reload</t>
  </si>
  <si>
    <t>18-6-6</t>
  </si>
  <si>
    <r>
      <rPr>
        <rFont val="Arial"/>
        <color rgb="FF181A1B"/>
      </rPr>
      <t xml:space="preserve">Solar grenade
</t>
    </r>
    <r>
      <rPr>
        <rFont val="Arial"/>
        <i/>
        <color rgb="FF181A1B"/>
      </rPr>
      <t>Sunbracers, Touch of Flame, Ember of Ashes, repeated activations</t>
    </r>
  </si>
  <si>
    <r>
      <rPr>
        <rFont val="Arial"/>
        <color theme="1"/>
      </rPr>
      <t xml:space="preserve">Bequest
</t>
    </r>
    <r>
      <rPr>
        <rFont val="Arial"/>
        <i/>
        <color theme="1"/>
      </rPr>
      <t>1H2L combo, Jagged Edge, Relentless Strikes + e. Surrounded, Lucent Blades x3, Pack Hunter</t>
    </r>
  </si>
  <si>
    <t>13 combos + 1H</t>
  </si>
  <si>
    <t>6-6-6...</t>
  </si>
  <si>
    <r>
      <rPr>
        <rFont val="Arial"/>
        <color theme="1"/>
      </rPr>
      <t xml:space="preserve">Wave frame sword
</t>
    </r>
    <r>
      <rPr>
        <rFont val="Arial"/>
        <i/>
        <color theme="1"/>
      </rPr>
      <t>Adept Mag, 1H2L combo, Jagged Edge, Relentless Strikes + e. Surrounded (Summum Bonum), Lucent Blades x3, Pack Hunter</t>
    </r>
  </si>
  <si>
    <t>14 combos + 1H</t>
  </si>
  <si>
    <r>
      <rPr>
        <rFont val="Arial"/>
        <color theme="1"/>
      </rPr>
      <t xml:space="preserve">Adaptive glaive
</t>
    </r>
    <r>
      <rPr>
        <rFont val="Arial"/>
        <i/>
        <color theme="1"/>
      </rPr>
      <t>melee, 2L1H cancel combo, Combination Blow x3, Banner of War, Triton Vice, Close to Melee (Unexpected Resurgence)</t>
    </r>
  </si>
  <si>
    <r>
      <rPr>
        <rFont val="Arial"/>
        <color theme="1"/>
      </rPr>
      <t xml:space="preserve">The Fourth Horseman
</t>
    </r>
    <r>
      <rPr>
        <rFont val="Arial"/>
        <i/>
        <color theme="1"/>
      </rPr>
      <t>body</t>
    </r>
  </si>
  <si>
    <t>5-5-5-5</t>
  </si>
  <si>
    <r>
      <rPr>
        <rFont val="Arial"/>
        <color rgb="FF181A1B"/>
      </rPr>
      <t xml:space="preserve">High-impact bow
</t>
    </r>
    <r>
      <rPr>
        <rFont val="Arial"/>
        <i/>
        <color rgb="FF181A1B"/>
      </rPr>
      <t>Heavy Bolts, e. Aggregate Charge x3 (Submersion), Guidance Ring x3</t>
    </r>
  </si>
  <si>
    <r>
      <rPr>
        <rFont val="Arial"/>
        <color theme="1"/>
      </rPr>
      <t xml:space="preserve">Wave frame sword
</t>
    </r>
    <r>
      <rPr>
        <rFont val="Arial"/>
        <i/>
        <color theme="1"/>
      </rPr>
      <t>1H2L combo, Jagged Edge, Relentless Strikes + e. Elemental Honing x5 (Synanceia), Pack Hunter</t>
    </r>
  </si>
  <si>
    <r>
      <rPr>
        <rFont val="Arial"/>
        <color theme="1"/>
      </rPr>
      <t xml:space="preserve">Lord of Wolves
</t>
    </r>
    <r>
      <rPr>
        <rFont val="Arial"/>
        <i/>
        <color theme="1"/>
      </rPr>
      <t>Release the Wolves, hip-fire, precision, includes ignition</t>
    </r>
  </si>
  <si>
    <t>30-30-30...</t>
  </si>
  <si>
    <r>
      <rPr>
        <rFont val="Arial"/>
        <color theme="1"/>
      </rPr>
      <t xml:space="preserve">Leviathan's Breath
</t>
    </r>
    <r>
      <rPr>
        <rFont val="Arial"/>
        <i/>
        <color theme="1"/>
      </rPr>
      <t>Archer's Tempo</t>
    </r>
  </si>
  <si>
    <r>
      <rPr>
        <rFont val="Arial"/>
        <color theme="1"/>
      </rPr>
      <t xml:space="preserve">Wave frame sword
</t>
    </r>
    <r>
      <rPr>
        <rFont val="Arial"/>
        <i/>
        <color theme="1"/>
      </rPr>
      <t>heavy spam, Jagged Edge, Relentless Strikes + e. Elemental Honing x5 (Synanceia), Lucent Blades, Pack Hunter</t>
    </r>
  </si>
  <si>
    <t>4-4-4...</t>
  </si>
  <si>
    <r>
      <rPr>
        <rFont val="Arial"/>
        <color rgb="FF181A1B"/>
      </rPr>
      <t xml:space="preserve">Dynamic sniper - 140RPM special
</t>
    </r>
    <r>
      <rPr>
        <rFont val="Arial"/>
        <i/>
        <color rgb="FF181A1B"/>
      </rPr>
      <t>Ionized Heatsink, Dynamic Heat Limiter, Vorpal + Bait and Switch (Conspiracy Honed)</t>
    </r>
  </si>
  <si>
    <r>
      <rPr>
        <rFont val="Arial"/>
        <color rgb="FF181A1B"/>
      </rPr>
      <t xml:space="preserve">Throwing Hammer
</t>
    </r>
    <r>
      <rPr>
        <rFont val="Arial"/>
        <i/>
        <color rgb="FF181A1B"/>
      </rPr>
      <t>One-Two Punch, Forgemaster, Perfect Recall, Roaring Flames x3, close range recall, includes &lt;101 Weapons rapid-fire shotgun</t>
    </r>
  </si>
  <si>
    <r>
      <rPr>
        <rFont val="Arial"/>
        <color theme="1"/>
      </rPr>
      <t xml:space="preserve">Deathbringer
</t>
    </r>
    <r>
      <rPr>
        <rFont val="Arial"/>
        <i/>
        <color theme="1"/>
      </rPr>
      <t>realistic projectile height</t>
    </r>
  </si>
  <si>
    <r>
      <rPr>
        <rFont val="Arial"/>
        <color theme="1"/>
      </rPr>
      <t xml:space="preserve">Aggressive sniper
</t>
    </r>
    <r>
      <rPr>
        <rFont val="Arial"/>
        <i/>
        <color theme="1"/>
      </rPr>
      <t>Extended Mag, Reconstruction + e. Redirection x30 (Succession)</t>
    </r>
    <r>
      <rPr>
        <rFont val="Arial"/>
        <i/>
        <color rgb="FF181A1B"/>
      </rPr>
      <t>, Networked Targeting x5</t>
    </r>
  </si>
  <si>
    <t>5 mag
1817ms reload</t>
  </si>
  <si>
    <t>10-5-5</t>
  </si>
  <si>
    <r>
      <rPr>
        <rFont val="Arial"/>
        <color rgb="FF181A1B"/>
      </rPr>
      <t xml:space="preserve">Duality
</t>
    </r>
    <r>
      <rPr>
        <rFont val="Arial"/>
        <i/>
        <color rgb="FF181A1B"/>
      </rPr>
      <t>3 pellet shots into On Black Wings x3 slugs</t>
    </r>
  </si>
  <si>
    <t>1100ms reload</t>
  </si>
  <si>
    <t>3-8-6</t>
  </si>
  <si>
    <r>
      <rPr>
        <rFont val="Arial"/>
        <color rgb="FF181A1B"/>
      </rPr>
      <t xml:space="preserve">Micro-missile pulse rifle
</t>
    </r>
    <r>
      <rPr>
        <rFont val="Arial"/>
        <i/>
        <color rgb="FF181A1B"/>
      </rPr>
      <t>Rewind Rounds + Elemental Honing x5 (Mint Retrograde)</t>
    </r>
  </si>
  <si>
    <t>pulse</t>
  </si>
  <si>
    <t>14</t>
  </si>
  <si>
    <r>
      <rPr>
        <rFont val="Arial"/>
        <color theme="1"/>
      </rPr>
      <t xml:space="preserve">Adaptive grenade launcher
</t>
    </r>
    <r>
      <rPr>
        <rFont val="Arial"/>
        <i/>
        <color theme="1"/>
      </rPr>
      <t>Spike Grenades, Envious Arsenal + Bait and Switch (Bitter/Sweet)</t>
    </r>
  </si>
  <si>
    <t>7-7-7-5</t>
  </si>
  <si>
    <r>
      <rPr>
        <rFont val="Arial"/>
        <color theme="1"/>
      </rPr>
      <t xml:space="preserve">Rapid-fire shotgun
</t>
    </r>
    <r>
      <rPr>
        <rFont val="Arial"/>
        <i/>
        <color theme="1"/>
      </rPr>
      <t>body, e. Overflow + e. Surrounded (Until Its Return)</t>
    </r>
  </si>
  <si>
    <t>2500ms 7 load</t>
  </si>
  <si>
    <t>18-7</t>
  </si>
  <si>
    <t>linear</t>
  </si>
  <si>
    <t>750ms charge
2050ms reload</t>
  </si>
  <si>
    <t>4-4-4-4</t>
  </si>
  <si>
    <r>
      <rPr>
        <rFont val="Arial"/>
        <color rgb="FF181A1B"/>
      </rPr>
      <t xml:space="preserve">New Land Beyond
</t>
    </r>
    <r>
      <rPr>
        <rFont val="Arial"/>
        <i/>
        <color rgb="FF181A1B"/>
      </rPr>
      <t>starts at The Master x20, sprint cancelling, Rally Barricade</t>
    </r>
  </si>
  <si>
    <t>2183ms reload</t>
  </si>
  <si>
    <t>40</t>
  </si>
  <si>
    <r>
      <rPr>
        <rFont val="Arial"/>
        <color theme="1"/>
      </rPr>
      <t xml:space="preserve">Caster sword
</t>
    </r>
    <r>
      <rPr>
        <rFont val="Arial"/>
        <i/>
        <color theme="1"/>
      </rPr>
      <t>1H2L combo, Jagged Edge, Relentless Strikes + e. Surrounded (Ill Omen), Lucent Blades x3, Pack Hunter</t>
    </r>
  </si>
  <si>
    <r>
      <rPr>
        <rFont val="Arial"/>
        <color theme="1"/>
      </rPr>
      <t xml:space="preserve">Bequest
</t>
    </r>
    <r>
      <rPr>
        <rFont val="Arial"/>
        <i/>
        <color theme="1"/>
      </rPr>
      <t>light attacks, Jagged Edge, Relentless Strikes + e. Surrounded, Pack Hunter</t>
    </r>
  </si>
  <si>
    <t>103</t>
  </si>
  <si>
    <r>
      <rPr>
        <rFont val="Arial"/>
        <color theme="1"/>
      </rPr>
      <t xml:space="preserve">Rapid-fire grenade launcher
</t>
    </r>
    <r>
      <rPr>
        <rFont val="Arial"/>
        <i/>
        <color theme="1"/>
      </rPr>
      <t>Bandolier, Spike Grenades, Envious Arsenal + Bait and Switch (Outrageous Fortune)</t>
    </r>
  </si>
  <si>
    <t>7-7-7-7-2</t>
  </si>
  <si>
    <r>
      <rPr>
        <rFont val="Arial"/>
        <color theme="1"/>
      </rPr>
      <t xml:space="preserve">Heartshadow
</t>
    </r>
    <r>
      <rPr>
        <rFont val="Arial"/>
        <i/>
        <color theme="1"/>
      </rPr>
      <t>heavy attacks, Shot in the Dark, Lucent Blades x3</t>
    </r>
  </si>
  <si>
    <r>
      <rPr>
        <rFont val="Arial"/>
        <color theme="1"/>
      </rPr>
      <t xml:space="preserve">Rapid-fire sniper
</t>
    </r>
    <r>
      <rPr>
        <rFont val="Arial"/>
        <i/>
        <color theme="1"/>
      </rPr>
      <t>Tactical Mag, Timelost Magazine, e. Fourth Time's the Charm + Elemental Honing x5 (Praedyth's Revenge), Networked Targeting x5</t>
    </r>
  </si>
  <si>
    <t>1750ms reload</t>
  </si>
  <si>
    <t>26-26-7</t>
  </si>
  <si>
    <r>
      <rPr>
        <rFont val="Arial"/>
        <color theme="1"/>
      </rPr>
      <t xml:space="preserve">Whisper of the Worm
</t>
    </r>
    <r>
      <rPr>
        <rFont val="Arial"/>
        <i/>
        <color theme="1"/>
      </rPr>
      <t>Whispered Breathing</t>
    </r>
  </si>
  <si>
    <t>38</t>
  </si>
  <si>
    <r>
      <rPr>
        <rFont val="Arial"/>
        <color theme="1"/>
      </rPr>
      <t xml:space="preserve">Hierarchy of Needs
</t>
    </r>
    <r>
      <rPr>
        <rFont val="Arial"/>
        <i/>
        <color theme="1"/>
      </rPr>
      <t>Guidance Ring x3</t>
    </r>
  </si>
  <si>
    <t>primary</t>
  </si>
  <si>
    <r>
      <rPr>
        <rFont val="Arial"/>
        <color theme="1"/>
      </rPr>
      <t xml:space="preserve">Adaptive sword
</t>
    </r>
    <r>
      <rPr>
        <rFont val="Arial"/>
        <i/>
        <color theme="1"/>
      </rPr>
      <t>1H2L combo, Jagged Edge, Relentless Strikes + Whirlwind Blade (The Other Half), Lucent Blades x3, Pack Hunter</t>
    </r>
  </si>
  <si>
    <t>14 combos</t>
  </si>
  <si>
    <r>
      <rPr>
        <rFont val="Arial"/>
        <color theme="1"/>
      </rPr>
      <t xml:space="preserve">Double fire grenade launcher
</t>
    </r>
    <r>
      <rPr>
        <rFont val="Arial"/>
        <i/>
        <color theme="1"/>
      </rPr>
      <t xml:space="preserve">Spike Grenades, Slideshot + Frenzy (Wilderflight), </t>
    </r>
    <r>
      <rPr>
        <rFont val="Arial"/>
        <b/>
        <i/>
        <color theme="1"/>
      </rPr>
      <t>simulated</t>
    </r>
  </si>
  <si>
    <t>BGL</t>
  </si>
  <si>
    <r>
      <rPr>
        <rFont val="Arial"/>
        <color theme="1"/>
      </rPr>
      <t xml:space="preserve">Lightweight sword
</t>
    </r>
    <r>
      <rPr>
        <rFont val="Arial"/>
        <i/>
        <color theme="1"/>
      </rPr>
      <t>light attacks, Jagged Edge, Vorpal Weapon + Whirlwind Blade (Sullen Claw), Pack Hunter</t>
    </r>
  </si>
  <si>
    <r>
      <rPr>
        <rFont val="Arial"/>
        <color theme="1"/>
      </rPr>
      <t xml:space="preserve">Adaptive burst linear fusion rifle
</t>
    </r>
    <r>
      <rPr>
        <rFont val="Arial"/>
        <i/>
        <color theme="1"/>
      </rPr>
      <t>no Backup Mag, Accelerated Coils, Charge MW, e. Rewind Rounds + e. Surrounded (Briar's Contempt)</t>
    </r>
  </si>
  <si>
    <t>467ms charge
2017ms reload</t>
  </si>
  <si>
    <t>13-8</t>
  </si>
  <si>
    <r>
      <rPr>
        <rFont val="Arial"/>
        <color rgb="FF181A1B"/>
      </rPr>
      <t xml:space="preserve">Storm grenade
</t>
    </r>
    <r>
      <rPr>
        <rFont val="Arial"/>
        <i/>
        <color rgb="FF181A1B"/>
      </rPr>
      <t>Empowered Grenade x2, Touch of Thunder, Spark of Magnitude, Feel the Flame</t>
    </r>
  </si>
  <si>
    <r>
      <rPr>
        <rFont val="Arial"/>
        <color rgb="FF181A1B"/>
      </rPr>
      <t xml:space="preserve">Slayer's Fang
</t>
    </r>
    <r>
      <rPr>
        <rFont val="Arial"/>
        <i/>
        <color rgb="FF181A1B"/>
      </rPr>
      <t>Assault Mag, includes submunitions</t>
    </r>
  </si>
  <si>
    <t>1200ms reload</t>
  </si>
  <si>
    <t>7-7-4</t>
  </si>
  <si>
    <r>
      <rPr>
        <rFont val="Arial"/>
        <color theme="1"/>
      </rPr>
      <t xml:space="preserve">Compressed wave grenade launcher
</t>
    </r>
    <r>
      <rPr>
        <rFont val="Arial"/>
        <i/>
        <color theme="1"/>
      </rPr>
      <t>Envious Assassin + Vorpal Weapon (Dimensional Hypotrochoid)</t>
    </r>
  </si>
  <si>
    <t>21-5</t>
  </si>
  <si>
    <r>
      <rPr>
        <rFont val="Arial"/>
        <color theme="1"/>
      </rPr>
      <t xml:space="preserve">Caster sword
</t>
    </r>
    <r>
      <rPr>
        <rFont val="Arial"/>
        <i/>
        <color theme="1"/>
      </rPr>
      <t>1H2L combo, Jagged Edge, Relentless Strikes + Whirlwind Blade (Ill Omen), Lucent Blades x3, Pack Hunter</t>
    </r>
  </si>
  <si>
    <r>
      <rPr>
        <rFont val="Arial"/>
        <color theme="1"/>
      </rPr>
      <t xml:space="preserve">The Queenbreaker
</t>
    </r>
    <r>
      <rPr>
        <rFont val="Arial"/>
        <i/>
        <color theme="1"/>
      </rPr>
      <t>Rewind Rounds, Combat Sights</t>
    </r>
  </si>
  <si>
    <t>550ms charge
2283ms reload</t>
  </si>
  <si>
    <t>11-10</t>
  </si>
  <si>
    <r>
      <rPr>
        <rFont val="Arial"/>
        <color theme="1"/>
      </rPr>
      <t xml:space="preserve">Choir of One
</t>
    </r>
    <r>
      <rPr>
        <rFont val="Arial"/>
        <i/>
        <color theme="1"/>
      </rPr>
      <t>projectile mode, point blank</t>
    </r>
  </si>
  <si>
    <t>auto</t>
  </si>
  <si>
    <t>1017ms reload</t>
  </si>
  <si>
    <t>25-25-25...</t>
  </si>
  <si>
    <r>
      <rPr>
        <rFont val="Arial"/>
        <color rgb="FF181A1B"/>
      </rPr>
      <t xml:space="preserve">Aggressive sniper
</t>
    </r>
    <r>
      <rPr>
        <rFont val="Arial"/>
        <i/>
        <color rgb="FF181A1B"/>
      </rPr>
      <t>Extended Mag, Accelerated Assault, Triple Tap + Elemental Honing x5 (Something Something), Networked Targeting x5</t>
    </r>
  </si>
  <si>
    <t>11-11-7</t>
  </si>
  <si>
    <t>8-8-3</t>
  </si>
  <si>
    <r>
      <rPr>
        <rFont val="Arial"/>
        <color theme="1"/>
      </rPr>
      <t xml:space="preserve">Euphony
</t>
    </r>
    <r>
      <rPr>
        <rFont val="Arial"/>
        <i/>
        <color theme="1"/>
      </rPr>
      <t>starts at 0 stacks, Thread of Evolution, includes Threadlings</t>
    </r>
  </si>
  <si>
    <t>533ms charge
2100ms reload</t>
  </si>
  <si>
    <t>6-6-6-3</t>
  </si>
  <si>
    <r>
      <rPr>
        <rFont val="Arial"/>
        <color rgb="FF181A1B"/>
      </rPr>
      <t xml:space="preserve">New Land Beyond
</t>
    </r>
    <r>
      <rPr>
        <rFont val="Arial"/>
        <i/>
        <color rgb="FF181A1B"/>
      </rPr>
      <t>starts at The Master x20, Rally Barricade</t>
    </r>
  </si>
  <si>
    <t>43</t>
  </si>
  <si>
    <r>
      <rPr>
        <rFont val="Arial"/>
        <color theme="1"/>
      </rPr>
      <t xml:space="preserve">One Thousand Voices
</t>
    </r>
    <r>
      <rPr>
        <rFont val="Arial"/>
        <i/>
        <color theme="1"/>
      </rPr>
      <t>Ember of Ashes</t>
    </r>
  </si>
  <si>
    <t>1000ms charge
2717ms dash</t>
  </si>
  <si>
    <t>4-4-3</t>
  </si>
  <si>
    <r>
      <rPr>
        <rFont val="Arial"/>
        <color rgb="FF181A1B"/>
      </rPr>
      <t xml:space="preserve">Praxic Blade
</t>
    </r>
    <r>
      <rPr>
        <rFont val="Arial"/>
        <i/>
        <color rgb="FF181A1B"/>
      </rPr>
      <t>3L1H combo, Offensive Form, Forceful Blade III, Impact Core (solar), spam</t>
    </r>
  </si>
  <si>
    <t>0-0-1...</t>
  </si>
  <si>
    <r>
      <rPr>
        <rFont val="Arial"/>
        <color theme="1"/>
      </rPr>
      <t xml:space="preserve">D.A.R.C.I.
</t>
    </r>
    <r>
      <rPr>
        <rFont val="Arial"/>
        <i/>
        <color theme="1"/>
      </rPr>
      <t>Networked Targeting x5, Target Acquired</t>
    </r>
  </si>
  <si>
    <t>2333ms reload</t>
  </si>
  <si>
    <t>7-7-7-7-3</t>
  </si>
  <si>
    <t>LMG</t>
  </si>
  <si>
    <t>379</t>
  </si>
  <si>
    <r>
      <rPr>
        <rFont val="Arial"/>
        <color rgb="FF181A1B"/>
      </rPr>
      <t xml:space="preserve">The Chaperone
</t>
    </r>
    <r>
      <rPr>
        <rFont val="Arial"/>
        <i/>
        <color rgb="FF181A1B"/>
      </rPr>
      <t>2 shots to activate The Roadborn, reload cancelling</t>
    </r>
  </si>
  <si>
    <t>683ms cancel</t>
  </si>
  <si>
    <t>6-1-1...</t>
  </si>
  <si>
    <r>
      <rPr>
        <rFont val="Arial"/>
        <color theme="1"/>
      </rPr>
      <t xml:space="preserve">Lightweight sword
</t>
    </r>
    <r>
      <rPr>
        <rFont val="Arial"/>
        <i/>
        <color theme="1"/>
      </rPr>
      <t>light attacks, Jagged Edge, Relentless Strikes + Whirlwind Blade (Goldtusk), Pack Hunter</t>
    </r>
  </si>
  <si>
    <r>
      <rPr>
        <rFont val="Arial"/>
        <color theme="1"/>
      </rPr>
      <t xml:space="preserve">Adaptive sword
</t>
    </r>
    <r>
      <rPr>
        <rFont val="Arial"/>
        <i/>
        <color theme="1"/>
      </rPr>
      <t>light attacks, Jagged Edge, Relentless Strikes + Whirlwind Blade (The Other Half), Pack Hunter</t>
    </r>
  </si>
  <si>
    <t>104</t>
  </si>
  <si>
    <r>
      <rPr>
        <rFont val="Arial"/>
        <color theme="1"/>
      </rPr>
      <t xml:space="preserve">Two-Tailed Fox
</t>
    </r>
    <r>
      <rPr>
        <rFont val="Arial"/>
        <i/>
        <color theme="1"/>
      </rPr>
      <t>Ember of Ashes</t>
    </r>
  </si>
  <si>
    <r>
      <rPr>
        <rFont val="Arial"/>
        <color theme="1"/>
      </rPr>
      <t xml:space="preserve">Aggressive sword
</t>
    </r>
    <r>
      <rPr>
        <rFont val="Arial"/>
        <i/>
        <color theme="1"/>
      </rPr>
      <t>light attacks, Jagged Edge, Relentless Strikes + Whirlwind Blade (Crown-Splitter), Pack Hunter</t>
    </r>
  </si>
  <si>
    <r>
      <rPr>
        <rFont val="Arial"/>
        <color theme="1"/>
      </rPr>
      <t xml:space="preserve">Euphony
</t>
    </r>
    <r>
      <rPr>
        <rFont val="Arial"/>
        <i/>
        <color theme="1"/>
      </rPr>
      <t>starts at 0 stacks, includes Threadlings</t>
    </r>
  </si>
  <si>
    <r>
      <rPr>
        <rFont val="Arial"/>
        <color rgb="FF181A1B"/>
      </rPr>
      <t xml:space="preserve">Praxic Blade
</t>
    </r>
    <r>
      <rPr>
        <rFont val="Arial"/>
        <i/>
        <color rgb="FF181A1B"/>
      </rPr>
      <t>3L1H combo, Offensive Form, Forceful Blade III, Impact Core (solar), Ember of Ashes, spaced ignitions</t>
    </r>
  </si>
  <si>
    <r>
      <rPr>
        <rFont val="Arial"/>
        <color rgb="FF181A1B"/>
      </rPr>
      <t xml:space="preserve">New Malpais
</t>
    </r>
    <r>
      <rPr>
        <rFont val="Arial"/>
        <i/>
        <color rgb="FF181A1B"/>
      </rPr>
      <t>assumes suspend tick every 3 shots</t>
    </r>
  </si>
  <si>
    <t>1383ms reload</t>
  </si>
  <si>
    <t>7-7-7-6</t>
  </si>
  <si>
    <r>
      <rPr>
        <rFont val="Arial"/>
        <color theme="1"/>
      </rPr>
      <t xml:space="preserve">The Lament
</t>
    </r>
    <r>
      <rPr>
        <rFont val="Arial"/>
        <i/>
        <color theme="1"/>
      </rPr>
      <t>2L1H1R combo, Lucent Blades x3</t>
    </r>
  </si>
  <si>
    <t>13 combos</t>
  </si>
  <si>
    <t>5-5-5...</t>
  </si>
  <si>
    <r>
      <rPr>
        <rFont val="Arial"/>
        <color rgb="FF181A1B"/>
      </rPr>
      <t xml:space="preserve">Aggressive sniper
</t>
    </r>
    <r>
      <rPr>
        <rFont val="Arial"/>
        <i/>
        <color rgb="FF181A1B"/>
      </rPr>
      <t>Extended Mag, Reconstruction + Chaos Reshaped x2 (Critical Anomaly), Networked Targeting x5</t>
    </r>
  </si>
  <si>
    <r>
      <rPr>
        <rFont val="Arial"/>
        <color rgb="FF181A1B"/>
      </rPr>
      <t xml:space="preserve">New Land Beyond
</t>
    </r>
    <r>
      <rPr>
        <rFont val="Arial"/>
        <i/>
        <color rgb="FF181A1B"/>
      </rPr>
      <t>starts at The Master x0, Rally Barricade, manual reloads until The Grandmaster</t>
    </r>
  </si>
  <si>
    <t>8-8-27</t>
  </si>
  <si>
    <r>
      <rPr>
        <rFont val="Arial"/>
        <color theme="1"/>
      </rPr>
      <t xml:space="preserve">Adaptive burst linear fusion rifle
</t>
    </r>
    <r>
      <rPr>
        <rFont val="Arial"/>
        <i/>
        <color theme="1"/>
      </rPr>
      <t>no Backup Mag, Charge MW, Accelerated Coils, Charge MW, e. Rewind Rounds + e. Bait and Switch (Scintillation)</t>
    </r>
  </si>
  <si>
    <r>
      <rPr>
        <rFont val="Arial"/>
        <color rgb="FF181A1B"/>
      </rPr>
      <t xml:space="preserve">Rapid-fire sniper
</t>
    </r>
    <r>
      <rPr>
        <rFont val="Arial"/>
        <i/>
        <color rgb="FF181A1B"/>
      </rPr>
      <t>Tactical Mag, Frame of Reference x5, e. Fourth Time's the Charm + Redirection x30 (Lance Ephemeral), Networked Targeting x5</t>
    </r>
  </si>
  <si>
    <t>10-10-10...</t>
  </si>
  <si>
    <r>
      <rPr>
        <rFont val="Arial"/>
        <color theme="1"/>
      </rPr>
      <t xml:space="preserve">Pinpoint slug shotgun
</t>
    </r>
    <r>
      <rPr>
        <rFont val="Arial"/>
        <i/>
        <color theme="1"/>
      </rPr>
      <t>Assault Mag, e. Fourth Time's the Charm + Elemental Honing x5 (Unvoiced), reload cancelling</t>
    </r>
  </si>
  <si>
    <t>34</t>
  </si>
  <si>
    <t>2050ms reload</t>
  </si>
  <si>
    <t>8-8-8-1</t>
  </si>
  <si>
    <r>
      <rPr>
        <rFont val="Arial"/>
        <color theme="1"/>
      </rPr>
      <t xml:space="preserve">The Lament
</t>
    </r>
    <r>
      <rPr>
        <rFont val="Arial"/>
        <i/>
        <color theme="1"/>
      </rPr>
      <t>3L1H2R combo, Lucent Blades x3</t>
    </r>
  </si>
  <si>
    <t>9 combos + 1L1H</t>
  </si>
  <si>
    <t>7-7-7...</t>
  </si>
  <si>
    <r>
      <rPr>
        <rFont val="Arial"/>
        <color theme="1"/>
      </rPr>
      <t xml:space="preserve">The Prospector
</t>
    </r>
    <r>
      <rPr>
        <rFont val="Arial"/>
        <i/>
        <color theme="1"/>
      </rPr>
      <t>typical boss model</t>
    </r>
  </si>
  <si>
    <t>2083ms reload</t>
  </si>
  <si>
    <t>6-6-6-6-6</t>
  </si>
  <si>
    <r>
      <rPr>
        <rFont val="Arial"/>
        <color theme="1"/>
      </rPr>
      <t xml:space="preserve">The Lament
</t>
    </r>
    <r>
      <rPr>
        <rFont val="Arial"/>
        <i/>
        <color theme="1"/>
      </rPr>
      <t>4L1H3R combo, Lucent Blades x3</t>
    </r>
  </si>
  <si>
    <t>7 combos + 1L1H</t>
  </si>
  <si>
    <t>9-9-9...</t>
  </si>
  <si>
    <r>
      <rPr>
        <rFont val="Arial"/>
        <color theme="1"/>
      </rPr>
      <t xml:space="preserve">The Queenbreaker
</t>
    </r>
    <r>
      <rPr>
        <rFont val="Arial"/>
        <i/>
        <color theme="1"/>
      </rPr>
      <t>Rewind Rounds, Marksman Sights</t>
    </r>
  </si>
  <si>
    <t>633ms charge
1883ms reload</t>
  </si>
  <si>
    <r>
      <rPr>
        <rFont val="Arial"/>
        <color theme="1"/>
      </rPr>
      <t xml:space="preserve">Rapid-fire shotgun
</t>
    </r>
    <r>
      <rPr>
        <rFont val="Arial"/>
        <i/>
        <color theme="1"/>
      </rPr>
      <t>body, e. Overflow + Vorpal Weapon (Until Its Return)</t>
    </r>
  </si>
  <si>
    <r>
      <rPr>
        <rFont val="Arial"/>
        <color theme="1"/>
      </rPr>
      <t xml:space="preserve">Black Talon
</t>
    </r>
    <r>
      <rPr>
        <rFont val="Arial"/>
        <i/>
        <color theme="1"/>
      </rPr>
      <t>2H2L combo, Lucent Blades x3, assumes only one catalyst stack</t>
    </r>
  </si>
  <si>
    <t>9 combos + 1H</t>
  </si>
  <si>
    <t>3-3-1-1...</t>
  </si>
  <si>
    <r>
      <rPr>
        <rFont val="Arial"/>
        <color theme="1"/>
      </rPr>
      <t xml:space="preserve">Ager's Scepter
</t>
    </r>
    <r>
      <rPr>
        <rFont val="Arial"/>
        <i/>
        <color theme="1"/>
      </rPr>
      <t>Will Given Form, Facet of Command</t>
    </r>
  </si>
  <si>
    <t>trace</t>
  </si>
  <si>
    <t>485</t>
  </si>
  <si>
    <r>
      <rPr>
        <rFont val="Arial"/>
        <color theme="1"/>
      </rPr>
      <t xml:space="preserve">Cloudstrike
</t>
    </r>
    <r>
      <rPr>
        <rFont val="Arial"/>
        <i/>
        <color rgb="FF181A1B"/>
      </rPr>
      <t>Triple Tap</t>
    </r>
  </si>
  <si>
    <t>1817ms reload</t>
  </si>
  <si>
    <t>9-9-9-9-10</t>
  </si>
  <si>
    <r>
      <rPr>
        <rFont val="Arial"/>
        <color rgb="FF181A1B"/>
      </rPr>
      <t xml:space="preserve">Dead Messenger
</t>
    </r>
    <r>
      <rPr>
        <rFont val="Arial"/>
        <i/>
        <color rgb="FF181A1B"/>
      </rPr>
      <t>The Fundamentals</t>
    </r>
  </si>
  <si>
    <t>1550ms reload</t>
  </si>
  <si>
    <r>
      <rPr>
        <rFont val="Arial"/>
        <color theme="1"/>
      </rPr>
      <t xml:space="preserve">Grand Overture
</t>
    </r>
    <r>
      <rPr>
        <rFont val="Arial"/>
        <i/>
        <color theme="1"/>
      </rPr>
      <t>volleys when available</t>
    </r>
  </si>
  <si>
    <t>817ms charge
6333ms v-r</t>
  </si>
  <si>
    <t>20-1-20-1-18-1</t>
  </si>
  <si>
    <r>
      <rPr>
        <rFont val="Arial"/>
        <color theme="1"/>
      </rPr>
      <t xml:space="preserve">Microcosm
</t>
    </r>
    <r>
      <rPr>
        <rFont val="Arial"/>
        <i/>
        <color theme="1"/>
      </rPr>
      <t>Paracausal Imbuement</t>
    </r>
  </si>
  <si>
    <t>1117ms reload</t>
  </si>
  <si>
    <t>120-120-120-25</t>
  </si>
  <si>
    <r>
      <rPr>
        <rFont val="Arial"/>
        <color theme="1"/>
      </rPr>
      <t xml:space="preserve">Aggressive shotgun
</t>
    </r>
    <r>
      <rPr>
        <rFont val="Arial"/>
        <i/>
        <color theme="1"/>
      </rPr>
      <t>body, Assault Mag, Timelost Magazine, e. Rewind Rounds + Trench Barrel (Found Verdict)</t>
    </r>
  </si>
  <si>
    <t>1183ms s-m-s</t>
  </si>
  <si>
    <t>19</t>
  </si>
  <si>
    <r>
      <rPr>
        <rFont val="Arial"/>
        <color theme="1"/>
      </rPr>
      <t xml:space="preserve">Precision linear fusion rifle
</t>
    </r>
    <r>
      <rPr>
        <rFont val="Arial"/>
        <i/>
        <color theme="1"/>
      </rPr>
      <t>Accelerated Coils, Charge MW, e. Fourth Time's the Charm + e. Bait and Switch (Cataclysmic)</t>
    </r>
  </si>
  <si>
    <t>450ms charge
1650ms reload</t>
  </si>
  <si>
    <t>10-12-12-5</t>
  </si>
  <si>
    <r>
      <rPr>
        <rFont val="Arial"/>
        <color theme="1"/>
      </rPr>
      <t xml:space="preserve">Precision shotgun
</t>
    </r>
    <r>
      <rPr>
        <rFont val="Arial"/>
        <i/>
        <color theme="1"/>
      </rPr>
      <t>body, no Backup Mag, Assault Mag, Reconstruction + Trench Barrel (Prophet of Doom), reload cancelling</t>
    </r>
  </si>
  <si>
    <t>1100ms s-m-s</t>
  </si>
  <si>
    <t>5-1-1...</t>
  </si>
  <si>
    <r>
      <rPr>
        <rFont val="Arial"/>
        <color rgb="FF181A1B"/>
      </rPr>
      <t xml:space="preserve">High-impact bow
</t>
    </r>
    <r>
      <rPr>
        <rFont val="Arial"/>
        <i/>
        <color rgb="FF181A1B"/>
      </rPr>
      <t>Charged Bolts, e. Aggregate Charge x3 (Submersion)</t>
    </r>
  </si>
  <si>
    <r>
      <rPr>
        <rFont val="Arial"/>
        <color theme="1"/>
      </rPr>
      <t xml:space="preserve">Still Hunt
</t>
    </r>
    <r>
      <rPr>
        <rFont val="Arial"/>
        <i/>
        <color theme="1"/>
      </rPr>
      <t>pre-popped into 6 shot cycle</t>
    </r>
  </si>
  <si>
    <r>
      <rPr>
        <rFont val="Arial"/>
        <color theme="1"/>
      </rPr>
      <t xml:space="preserve">Lightweight shotgun
</t>
    </r>
    <r>
      <rPr>
        <rFont val="Arial"/>
        <i/>
        <color theme="1"/>
      </rPr>
      <t>body, Assault Mag, Vorpal Weapon (Without Remorse), reload cancelling</t>
    </r>
  </si>
  <si>
    <t>733ms cancel</t>
  </si>
  <si>
    <t>7-1-1...</t>
  </si>
  <si>
    <r>
      <rPr>
        <rFont val="Arial"/>
        <color theme="1"/>
      </rPr>
      <t xml:space="preserve">Rapid-fire slug shotgun
</t>
    </r>
    <r>
      <rPr>
        <rFont val="Arial"/>
        <i/>
        <color theme="1"/>
      </rPr>
      <t>Rapid Hit + e. Precision Instrument (Trachinus), reload cancelling</t>
    </r>
  </si>
  <si>
    <t>817ms cancel</t>
  </si>
  <si>
    <t>8-1-1-1...</t>
  </si>
  <si>
    <r>
      <rPr>
        <rFont val="Arial"/>
        <color rgb="FF181A1B"/>
      </rPr>
      <t xml:space="preserve">Finality's Auger
</t>
    </r>
    <r>
      <rPr>
        <rFont val="Arial"/>
        <i/>
        <color rgb="FF181A1B"/>
      </rPr>
      <t>Bait and Switch, Linear Fusion Mode</t>
    </r>
  </si>
  <si>
    <t>1800ms reload</t>
  </si>
  <si>
    <r>
      <rPr>
        <rFont val="Arial"/>
        <color theme="1"/>
      </rPr>
      <t xml:space="preserve">Rapid-fire shotgun
</t>
    </r>
    <r>
      <rPr>
        <rFont val="Arial"/>
        <i/>
        <color theme="1"/>
      </rPr>
      <t>body, Cast No Shadows, Trench Barrel (Perfect Paradox), melee reloads</t>
    </r>
  </si>
  <si>
    <r>
      <rPr>
        <rFont val="Arial"/>
        <color rgb="FF181A1B"/>
      </rPr>
      <t xml:space="preserve">Throwing Hammer
</t>
    </r>
    <r>
      <rPr>
        <rFont val="Arial"/>
        <i/>
        <color rgb="FF181A1B"/>
      </rPr>
      <t>One-Two Punch, Forgemaster, Perfect Recall, Roaring Flames x3, includes &lt;101 Weapons rapid-fire shotgun</t>
    </r>
  </si>
  <si>
    <r>
      <rPr>
        <rFont val="Arial"/>
        <color theme="1"/>
      </rPr>
      <t xml:space="preserve">Outbreak Perfected
</t>
    </r>
    <r>
      <rPr>
        <rFont val="Arial"/>
        <i/>
        <color theme="1"/>
      </rPr>
      <t>starts at max nanites, Rewind Rounds, Appended Mag</t>
    </r>
  </si>
  <si>
    <r>
      <rPr>
        <rFont val="Arial"/>
        <color rgb="FF181A1B"/>
      </rPr>
      <t xml:space="preserve">Heavy burst shotgun
</t>
    </r>
    <r>
      <rPr>
        <rFont val="Arial"/>
        <i/>
        <color rgb="FF181A1B"/>
      </rPr>
      <t>Appended Mag, e. High-Impact Reserves + Bait and Switch (Pure Recollection), reload cancelling</t>
    </r>
  </si>
  <si>
    <t>16 mag
1433ms cancel</t>
  </si>
  <si>
    <t>16-2-2...</t>
  </si>
  <si>
    <r>
      <rPr>
        <rFont val="Arial"/>
        <color rgb="FF181A1B"/>
      </rPr>
      <t xml:space="preserve">Riskrunner
</t>
    </r>
    <r>
      <rPr>
        <rFont val="Arial"/>
        <i/>
        <color rgb="FF181A1B"/>
      </rPr>
      <t xml:space="preserve">Arc Conductor, Peacekeepers, </t>
    </r>
    <r>
      <rPr>
        <rFont val="Arial"/>
        <b/>
        <i/>
        <color rgb="FF181A1B"/>
      </rPr>
      <t>simulated</t>
    </r>
  </si>
  <si>
    <r>
      <rPr>
        <rFont val="Arial"/>
        <color theme="1"/>
      </rPr>
      <t xml:space="preserve">Conditional Finality
</t>
    </r>
    <r>
      <rPr>
        <rFont val="Arial"/>
        <i/>
        <color theme="1"/>
      </rPr>
      <t>body, average across both shots</t>
    </r>
  </si>
  <si>
    <t>2-2-2...</t>
  </si>
  <si>
    <t>2167ms reload</t>
  </si>
  <si>
    <t>3-3-3-3-2</t>
  </si>
  <si>
    <r>
      <rPr>
        <rFont val="Arial"/>
        <color theme="1"/>
      </rPr>
      <t xml:space="preserve">Izanagi's Burden
</t>
    </r>
    <r>
      <rPr>
        <rFont val="Arial"/>
        <i/>
        <color theme="1"/>
      </rPr>
      <t>includes rehone time, hone before rally</t>
    </r>
  </si>
  <si>
    <r>
      <rPr>
        <rFont val="Arial"/>
        <color theme="1"/>
      </rPr>
      <t xml:space="preserve">Ex Diris
</t>
    </r>
    <r>
      <rPr>
        <rFont val="Arial"/>
        <i/>
        <color theme="1"/>
      </rPr>
      <t>Corrupted Nucleosynthesis</t>
    </r>
  </si>
  <si>
    <r>
      <rPr>
        <rFont val="Arial"/>
        <color theme="1"/>
      </rPr>
      <t xml:space="preserve">Winterbite
</t>
    </r>
    <r>
      <rPr>
        <rFont val="Arial"/>
        <i/>
        <color theme="1"/>
      </rPr>
      <t>projectile</t>
    </r>
  </si>
  <si>
    <t>glaive</t>
  </si>
  <si>
    <t>1500ms reload</t>
  </si>
  <si>
    <r>
      <rPr>
        <rFont val="Arial"/>
        <color theme="1"/>
      </rPr>
      <t xml:space="preserve">Adaptive sniper
</t>
    </r>
    <r>
      <rPr>
        <rFont val="Arial"/>
        <i/>
        <color theme="1"/>
      </rPr>
      <t>Appended Mag, Fourth Time's the Charm + Firing Line (Fugue-55), Networked Targeting x5</t>
    </r>
  </si>
  <si>
    <t>7 mag
1817ms reload</t>
  </si>
  <si>
    <t>11-11-11...</t>
  </si>
  <si>
    <r>
      <rPr>
        <rFont val="Arial"/>
        <color rgb="FF181A1B"/>
      </rPr>
      <t xml:space="preserve">Praxic Blade
</t>
    </r>
    <r>
      <rPr>
        <rFont val="Arial"/>
        <i/>
        <color rgb="FF181A1B"/>
      </rPr>
      <t>3L1H combo, Offensive Form, Forceful Blade III</t>
    </r>
  </si>
  <si>
    <r>
      <rPr>
        <rFont val="Arial"/>
        <color theme="1"/>
      </rPr>
      <t xml:space="preserve">Parasite
</t>
    </r>
    <r>
      <rPr>
        <rFont val="Arial"/>
        <i/>
        <color theme="1"/>
      </rPr>
      <t>x20 first shot</t>
    </r>
  </si>
  <si>
    <t>2817ms reload</t>
  </si>
  <si>
    <t>13-13-3</t>
  </si>
  <si>
    <r>
      <rPr>
        <rFont val="Arial"/>
        <color theme="1"/>
      </rPr>
      <t xml:space="preserve">Vortex sword
</t>
    </r>
    <r>
      <rPr>
        <rFont val="Arial"/>
        <i/>
        <color theme="1"/>
      </rPr>
      <t>1H2L combo, Jagged Edge, Frenzy + Whirlwind Blade (Falling Guillotine), Lucent Blades x3, Pack Hunter</t>
    </r>
  </si>
  <si>
    <t>8 combos + 1H</t>
  </si>
  <si>
    <t>8-8-8...</t>
  </si>
  <si>
    <r>
      <rPr>
        <rFont val="Arial"/>
        <color theme="1"/>
      </rPr>
      <t xml:space="preserve">Bastion
</t>
    </r>
    <r>
      <rPr>
        <rFont val="Arial"/>
        <i/>
        <color theme="1"/>
      </rPr>
      <t>Saint's Fury, includes melee time</t>
    </r>
  </si>
  <si>
    <t>683ms charge
3483ms r-m</t>
  </si>
  <si>
    <r>
      <rPr>
        <rFont val="Arial"/>
        <color theme="1"/>
      </rPr>
      <t xml:space="preserve">Barrow-Dyad
</t>
    </r>
    <r>
      <rPr>
        <rFont val="Arial"/>
        <i/>
        <color theme="1"/>
      </rPr>
      <t>Target Lock, Taken Ambition, Peacekeepers</t>
    </r>
  </si>
  <si>
    <t>35-35-35...</t>
  </si>
  <si>
    <r>
      <rPr>
        <rFont val="Arial"/>
        <color theme="1"/>
      </rPr>
      <t xml:space="preserve">Lightweight shotgun
</t>
    </r>
    <r>
      <rPr>
        <rFont val="Arial"/>
        <i/>
        <color theme="1"/>
      </rPr>
      <t>body, Assault Mag, Trench Barrel (Retrofuturist), reload cancelling</t>
    </r>
  </si>
  <si>
    <r>
      <rPr>
        <rFont val="Arial"/>
        <color rgb="FF181A1B"/>
      </rPr>
      <t xml:space="preserve">Heavy burst shotgun
</t>
    </r>
    <r>
      <rPr>
        <rFont val="Arial"/>
        <i/>
        <color rgb="FF181A1B"/>
      </rPr>
      <t>Appended Mag, Fourth Time's the Charm + e. Aggregate Charge x3 (Arcane Embrace)</t>
    </r>
  </si>
  <si>
    <t>16 mag</t>
  </si>
  <si>
    <t>28-28-10</t>
  </si>
  <si>
    <r>
      <rPr>
        <rFont val="Arial"/>
        <color theme="1"/>
      </rPr>
      <t xml:space="preserve">Precision shotgun
</t>
    </r>
    <r>
      <rPr>
        <rFont val="Arial"/>
        <i/>
        <color theme="1"/>
      </rPr>
      <t>body, no Backup Mag, Assault Mag, e. Bait and Switch (Deadlock), reload cancelling</t>
    </r>
  </si>
  <si>
    <r>
      <rPr>
        <rFont val="Arial"/>
        <color theme="1"/>
      </rPr>
      <t xml:space="preserve">Final Warning
</t>
    </r>
    <r>
      <rPr>
        <rFont val="Arial"/>
        <i/>
        <color theme="1"/>
      </rPr>
      <t>15 shot half charge auto into tap fire burst, catalyst</t>
    </r>
  </si>
  <si>
    <t>sidearm</t>
  </si>
  <si>
    <t>3550ms reload</t>
  </si>
  <si>
    <r>
      <rPr>
        <rFont val="Arial"/>
        <color theme="1"/>
      </rPr>
      <t xml:space="preserve">Rapid-fire fusion rifle
</t>
    </r>
    <r>
      <rPr>
        <rFont val="Arial"/>
        <i/>
        <color theme="1"/>
      </rPr>
      <t>Bandolier, Accelerated Coils, Charge MW, Reconstruction + Controlled Burst (Lionfish-4fr)</t>
    </r>
  </si>
  <si>
    <t>467ms charge
1733ms reload</t>
  </si>
  <si>
    <t>16-6</t>
  </si>
  <si>
    <r>
      <rPr>
        <rFont val="Arial"/>
        <color theme="1"/>
      </rPr>
      <t xml:space="preserve">Tessellation
</t>
    </r>
    <r>
      <rPr>
        <rFont val="Arial"/>
        <i/>
        <color theme="1"/>
      </rPr>
      <t xml:space="preserve">full grenade uptime, Property: Irreducible, Transcendent but excludes 5%, </t>
    </r>
    <r>
      <rPr>
        <rFont val="Arial"/>
        <b/>
        <i/>
        <color theme="1"/>
      </rPr>
      <t>simulated</t>
    </r>
  </si>
  <si>
    <t>666ms charge
4567ms reload</t>
  </si>
  <si>
    <t>6-6-6-4</t>
  </si>
  <si>
    <r>
      <rPr>
        <rFont val="Arial"/>
        <color theme="1"/>
      </rPr>
      <t xml:space="preserve">Aggressive sniper
</t>
    </r>
    <r>
      <rPr>
        <rFont val="Arial"/>
        <i/>
        <color theme="1"/>
      </rPr>
      <t>Appended Mag, Triple Tap + Fourth Time's the Charm (Keen Thistle</t>
    </r>
    <r>
      <rPr>
        <rFont val="Arial"/>
        <i/>
        <color rgb="FF181A1B"/>
      </rPr>
      <t>), Networked Targeting x5</t>
    </r>
  </si>
  <si>
    <t>19-19-19...</t>
  </si>
  <si>
    <r>
      <rPr>
        <rFont val="Arial"/>
        <color rgb="FF181A1B"/>
      </rPr>
      <t xml:space="preserve">Aggressive fusion rifle
</t>
    </r>
    <r>
      <rPr>
        <rFont val="Arial"/>
        <i/>
        <color rgb="FF181A1B"/>
      </rPr>
      <t>Accelerated Coils, Charge MW, Reconstruction + e. Bait and Switch (Finite Maybe)</t>
    </r>
  </si>
  <si>
    <t>600ms charge
1757ms reload</t>
  </si>
  <si>
    <t>16-3</t>
  </si>
  <si>
    <t>10</t>
  </si>
  <si>
    <r>
      <rPr>
        <rFont val="Arial"/>
        <color theme="1"/>
      </rPr>
      <t xml:space="preserve">Rapid-fire machine gun
</t>
    </r>
    <r>
      <rPr>
        <rFont val="Arial"/>
        <i/>
        <color theme="1"/>
      </rPr>
      <t>no Backup Mag, Tactical Mag, e. Fourth Time's the Charm + e. Target Lock (Retrofit Escapade)</t>
    </r>
  </si>
  <si>
    <t>84 mag
2250ms reload</t>
  </si>
  <si>
    <t>166-166-166...</t>
  </si>
  <si>
    <r>
      <rPr>
        <rFont val="Arial"/>
        <color theme="1"/>
      </rPr>
      <t xml:space="preserve">Adaptive fusion rifle
</t>
    </r>
    <r>
      <rPr>
        <rFont val="Arial"/>
        <i/>
        <color theme="1"/>
      </rPr>
      <t>Accelerated Coils, Charge MW, e. Rewind Rounds + Controlled Burst (Techeun Force)</t>
    </r>
  </si>
  <si>
    <t>600ms charge</t>
  </si>
  <si>
    <t>22</t>
  </si>
  <si>
    <r>
      <rPr>
        <rFont val="Arial"/>
        <color theme="1"/>
      </rPr>
      <t xml:space="preserve">High-impact fusion rifle
</t>
    </r>
    <r>
      <rPr>
        <rFont val="Arial"/>
        <i/>
        <color theme="1"/>
      </rPr>
      <t>Accelerated Coils, Charge MW, Envious Assassin + Controlled Burst (The Eremite)</t>
    </r>
  </si>
  <si>
    <t>900ms charge
2110ms reload</t>
  </si>
  <si>
    <t>21-2</t>
  </si>
  <si>
    <r>
      <rPr>
        <rFont val="Arial"/>
        <color theme="1"/>
      </rPr>
      <t xml:space="preserve">Salvation's Grip
</t>
    </r>
    <r>
      <rPr>
        <rFont val="Arial"/>
        <i/>
        <color theme="1"/>
      </rPr>
      <t>uncharged</t>
    </r>
  </si>
  <si>
    <t>2117ms reload</t>
  </si>
  <si>
    <r>
      <rPr>
        <rFont val="Arial"/>
        <color theme="1"/>
      </rPr>
      <t xml:space="preserve">Aggressive machine gun
</t>
    </r>
    <r>
      <rPr>
        <rFont val="Arial"/>
        <i/>
        <color theme="1"/>
      </rPr>
      <t>Appended Mag, Envious Assassin + e. Target Lock (Pro Memoria)</t>
    </r>
  </si>
  <si>
    <t>91 mag
2817ms reload</t>
  </si>
  <si>
    <t>273-91-91</t>
  </si>
  <si>
    <r>
      <rPr>
        <rFont val="Arial"/>
        <color theme="1"/>
      </rPr>
      <t xml:space="preserve">Vortex sword
</t>
    </r>
    <r>
      <rPr>
        <rFont val="Arial"/>
        <i/>
        <color theme="1"/>
      </rPr>
      <t>1H2L combo, Jagged Edge, Relentless Strikes + Whirlwind Blade (Falling Guillotine), Lucent Blades x3, Pack Hunter</t>
    </r>
  </si>
  <si>
    <r>
      <rPr>
        <rFont val="Arial"/>
        <color rgb="FF181A1B"/>
      </rPr>
      <t xml:space="preserve">Tarrabah
</t>
    </r>
    <r>
      <rPr>
        <rFont val="Arial"/>
        <i/>
        <color rgb="FF181A1B"/>
      </rPr>
      <t>Ravenous Beast, Peacekeepers</t>
    </r>
  </si>
  <si>
    <r>
      <rPr>
        <rFont val="Arial"/>
        <color rgb="FF181A1B"/>
      </rPr>
      <t xml:space="preserve">Whirling Ovation
</t>
    </r>
    <r>
      <rPr>
        <rFont val="Arial"/>
        <i/>
        <color rgb="FF181A1B"/>
      </rPr>
      <t>no Anticipation, fully charged</t>
    </r>
  </si>
  <si>
    <r>
      <rPr>
        <rFont val="Arial"/>
        <color rgb="FF181A1B"/>
      </rPr>
      <t xml:space="preserve">Adaptive SMG
</t>
    </r>
    <r>
      <rPr>
        <rFont val="Arial"/>
        <i/>
        <color rgb="FF181A1B"/>
      </rPr>
      <t>no Backup Mag, Extended Mag, e. Rewind Rounds + e. Target Lock (Antedate), Peacekeepers</t>
    </r>
  </si>
  <si>
    <t>83-83-83...</t>
  </si>
  <si>
    <r>
      <rPr>
        <rFont val="Arial"/>
        <color theme="1"/>
      </rPr>
      <t xml:space="preserve">Choir of One
</t>
    </r>
    <r>
      <rPr>
        <rFont val="Arial"/>
        <i/>
        <color theme="1"/>
      </rPr>
      <t>hitscan mode, precision</t>
    </r>
  </si>
  <si>
    <r>
      <rPr>
        <rFont val="Arial"/>
        <color theme="1"/>
      </rPr>
      <t xml:space="preserve">Touch of Malice
</t>
    </r>
    <r>
      <rPr>
        <rFont val="Arial"/>
        <i/>
        <color theme="1"/>
      </rPr>
      <t>final round, blighted</t>
    </r>
  </si>
  <si>
    <t>scout</t>
  </si>
  <si>
    <r>
      <rPr>
        <rFont val="Arial"/>
        <color theme="1"/>
      </rPr>
      <t xml:space="preserve">Adaptive machine gun
</t>
    </r>
    <r>
      <rPr>
        <rFont val="Arial"/>
        <i/>
        <color theme="1"/>
      </rPr>
      <t>Appended Mag, e. Fourth Time's the Charm + e. Target Lock (Hammerhead)</t>
    </r>
  </si>
  <si>
    <t>75 mag
2750ms reload</t>
  </si>
  <si>
    <t>147-147-147...</t>
  </si>
  <si>
    <r>
      <rPr>
        <rFont val="Arial"/>
        <color theme="1"/>
      </rPr>
      <t xml:space="preserve">Precision fusion rifle
</t>
    </r>
    <r>
      <rPr>
        <rFont val="Arial"/>
        <i/>
        <color theme="1"/>
      </rPr>
      <t>no Backup Mag, Accelerated Coils, Charge MW, Reconstruction + Controlled Burst (Axial Lacuna)</t>
    </r>
  </si>
  <si>
    <t>700ms charge
2092ms reload</t>
  </si>
  <si>
    <t>12-6-5</t>
  </si>
  <si>
    <t>1333ms reload</t>
  </si>
  <si>
    <t>12-12-12...</t>
  </si>
  <si>
    <r>
      <rPr>
        <rFont val="Arial"/>
        <color theme="1"/>
      </rPr>
      <t xml:space="preserve">The Wardcliff Coil
</t>
    </r>
    <r>
      <rPr>
        <rFont val="Arial"/>
        <i/>
        <color theme="1"/>
      </rPr>
      <t>includes Bolt Charge</t>
    </r>
  </si>
  <si>
    <r>
      <rPr>
        <rFont val="Arial"/>
        <color theme="1"/>
      </rPr>
      <t xml:space="preserve">Trace rifle
</t>
    </r>
    <r>
      <rPr>
        <rFont val="Arial"/>
        <i/>
        <color theme="1"/>
      </rPr>
      <t>e. Rewind Rounds + e. Target Lock (Acasia's Dejection), Cenotaph Mask</t>
    </r>
  </si>
  <si>
    <t>520</t>
  </si>
  <si>
    <r>
      <rPr>
        <rFont val="Arial"/>
        <color theme="1"/>
      </rPr>
      <t xml:space="preserve">Micro-missile grenade launcher
</t>
    </r>
    <r>
      <rPr>
        <rFont val="Arial"/>
        <i/>
        <color theme="1"/>
      </rPr>
      <t>Implosion Rounds, Reconstruction + Elemental Honing x5 (Theodolite)</t>
    </r>
  </si>
  <si>
    <t>2-1-1-1...</t>
  </si>
  <si>
    <r>
      <rPr>
        <rFont val="Arial"/>
        <color theme="1"/>
      </rPr>
      <t xml:space="preserve">High-impact machine gun
</t>
    </r>
    <r>
      <rPr>
        <rFont val="Arial"/>
        <i/>
        <color theme="1"/>
      </rPr>
      <t>Tactical Mag, Fourth Time's the Charm + e. Target Lock (Archon's Thunder)</t>
    </r>
  </si>
  <si>
    <t>62 mag
2800ms reload</t>
  </si>
  <si>
    <t>119-119-119...</t>
  </si>
  <si>
    <t>533ms charge
1733ms reload</t>
  </si>
  <si>
    <t>817ms charge
2133ms dash</t>
  </si>
  <si>
    <t>7-7-5</t>
  </si>
  <si>
    <r>
      <rPr>
        <rFont val="Arial"/>
        <color theme="1"/>
      </rPr>
      <t xml:space="preserve">Double fire grenade launcher
</t>
    </r>
    <r>
      <rPr>
        <rFont val="Arial"/>
        <i/>
        <color theme="1"/>
      </rPr>
      <t>Spike Grenades, Envious Assassin + Bait and Switch (Wild Style)</t>
    </r>
  </si>
  <si>
    <t>3-1-1-1...</t>
  </si>
  <si>
    <r>
      <rPr>
        <rFont val="Arial"/>
        <color theme="1"/>
      </rPr>
      <t xml:space="preserve">Dragon's Breath
</t>
    </r>
    <r>
      <rPr>
        <rFont val="Arial"/>
        <i/>
        <color theme="1"/>
      </rPr>
      <t>auto-loaded, Composite Propellant x5</t>
    </r>
  </si>
  <si>
    <r>
      <rPr>
        <rFont val="Arial"/>
        <color rgb="FF181A1B"/>
      </rPr>
      <t xml:space="preserve">Heirloom
</t>
    </r>
    <r>
      <rPr>
        <rFont val="Arial"/>
        <i/>
        <color rgb="FF181A1B"/>
      </rPr>
      <t>1 charge, catalyst</t>
    </r>
  </si>
  <si>
    <r>
      <rPr>
        <rFont val="Arial"/>
        <color theme="1"/>
      </rPr>
      <t xml:space="preserve">Osteo Striga
</t>
    </r>
    <r>
      <rPr>
        <rFont val="Arial"/>
        <i/>
        <color theme="1"/>
      </rPr>
      <t>Peacekeepers</t>
    </r>
  </si>
  <si>
    <r>
      <rPr>
        <rFont val="Arial"/>
        <color theme="1"/>
      </rPr>
      <t xml:space="preserve">Rapid-fire glaive
</t>
    </r>
    <r>
      <rPr>
        <rFont val="Arial"/>
        <i/>
        <color theme="1"/>
      </rPr>
      <t>no Backup Mag, projectile, Redirection x30 (Greasy Luck)</t>
    </r>
  </si>
  <si>
    <t>1183ms reload</t>
  </si>
  <si>
    <t>7-7-7-7-5</t>
  </si>
  <si>
    <r>
      <rPr>
        <rFont val="Arial"/>
        <color rgb="FF181A1B"/>
      </rPr>
      <t xml:space="preserve">Ticuu's Divination
</t>
    </r>
    <r>
      <rPr>
        <rFont val="Arial"/>
        <i/>
        <color rgb="FF181A1B"/>
      </rPr>
      <t>alternating modes, Causality Arrows x6, Guidance Ring</t>
    </r>
  </si>
  <si>
    <r>
      <rPr>
        <rFont val="Arial"/>
        <color theme="1"/>
      </rPr>
      <t xml:space="preserve">Edge of Concurrence
</t>
    </r>
    <r>
      <rPr>
        <rFont val="Arial"/>
        <i/>
        <color theme="1"/>
      </rPr>
      <t>pre-stacked, Lightning Seeker into six shot cycle</t>
    </r>
  </si>
  <si>
    <t>complicated</t>
  </si>
  <si>
    <r>
      <rPr>
        <rFont val="Arial"/>
        <color theme="1"/>
      </rPr>
      <t xml:space="preserve">Vexcalibur
</t>
    </r>
    <r>
      <rPr>
        <rFont val="Arial"/>
        <i/>
        <color theme="1"/>
      </rPr>
      <t>projectile</t>
    </r>
  </si>
  <si>
    <t>1083ms reload</t>
  </si>
  <si>
    <t>7-7-7-7-4</t>
  </si>
  <si>
    <t>1583ms reload</t>
  </si>
  <si>
    <r>
      <rPr>
        <rFont val="Arial"/>
        <color rgb="FF181A1B"/>
      </rPr>
      <t xml:space="preserve">Heirloom
</t>
    </r>
    <r>
      <rPr>
        <rFont val="Arial"/>
        <i/>
        <color rgb="FF181A1B"/>
      </rPr>
      <t>uncharged</t>
    </r>
  </si>
  <si>
    <t>9-9-2</t>
  </si>
  <si>
    <r>
      <rPr>
        <rFont val="Arial"/>
        <color rgb="FF181A1B"/>
      </rPr>
      <t xml:space="preserve">Heirloom
</t>
    </r>
    <r>
      <rPr>
        <rFont val="Arial"/>
        <i/>
        <color rgb="FF181A1B"/>
      </rPr>
      <t>2 charges, catalyst</t>
    </r>
  </si>
  <si>
    <r>
      <rPr>
        <rFont val="Arial"/>
        <color theme="1"/>
      </rPr>
      <t xml:space="preserve">Revision Zero
</t>
    </r>
    <r>
      <rPr>
        <rFont val="Arial"/>
        <i/>
        <color theme="1"/>
      </rPr>
      <t>4 burst cycle into 6 Hunter's Trace shots, Extended Mag, Fourth Time's the Charm, Vorpal Weapon</t>
    </r>
  </si>
  <si>
    <t>47-47-47...</t>
  </si>
  <si>
    <r>
      <rPr>
        <rFont val="Arial"/>
        <color theme="1"/>
      </rPr>
      <t xml:space="preserve">Rapid-fire glaive
</t>
    </r>
    <r>
      <rPr>
        <rFont val="Arial"/>
        <i/>
        <color theme="1"/>
      </rPr>
      <t>no Backup Mag, projectile, Chaos Reshaped x2 (Forthcoming Deviance)</t>
    </r>
  </si>
  <si>
    <r>
      <rPr>
        <rFont val="Arial"/>
        <color theme="1"/>
      </rPr>
      <t xml:space="preserve">Salvation's Grip
</t>
    </r>
    <r>
      <rPr>
        <rFont val="Arial"/>
        <i/>
        <color theme="1"/>
      </rPr>
      <t>charged</t>
    </r>
  </si>
  <si>
    <t>2867ms reload</t>
  </si>
  <si>
    <r>
      <rPr>
        <rFont val="Arial"/>
        <color theme="1"/>
      </rPr>
      <t xml:space="preserve">Revision Zero
</t>
    </r>
    <r>
      <rPr>
        <rFont val="Arial"/>
        <i/>
        <color theme="1"/>
      </rPr>
      <t>2 burst cycle into 6 Hunter's Trace shots, Extended Mag, Fourth Time's the Charm, Vorpal Weapon</t>
    </r>
  </si>
  <si>
    <t>817ms charge
2067ms reload</t>
  </si>
  <si>
    <r>
      <rPr>
        <rFont val="Arial"/>
        <color theme="1"/>
      </rPr>
      <t xml:space="preserve">Hierarchy of Needs
</t>
    </r>
    <r>
      <rPr>
        <rFont val="Arial"/>
        <i/>
        <color theme="1"/>
      </rPr>
      <t>Guidance Ring</t>
    </r>
  </si>
  <si>
    <r>
      <rPr>
        <rFont val="Arial"/>
        <color theme="1"/>
      </rPr>
      <t xml:space="preserve">Micro-missile sidearm
</t>
    </r>
    <r>
      <rPr>
        <rFont val="Arial"/>
        <i/>
        <color theme="1"/>
      </rPr>
      <t>precision, no Backup Mag, e. Redirection x30 (Returned Memory)</t>
    </r>
  </si>
  <si>
    <t>817ms reload</t>
  </si>
  <si>
    <r>
      <rPr>
        <rFont val="Arial"/>
        <color rgb="FF181A1B"/>
      </rPr>
      <t xml:space="preserve">Aggressive glaive
</t>
    </r>
    <r>
      <rPr>
        <rFont val="Arial"/>
        <i/>
        <color rgb="FF181A1B"/>
      </rPr>
      <t>no Backup Mag, projectile, Vorpal Weapon (Rake Angle)</t>
    </r>
  </si>
  <si>
    <t>1167ms reload</t>
  </si>
  <si>
    <t>5-5-5-5-5-5-4</t>
  </si>
  <si>
    <t>4250ms reload</t>
  </si>
  <si>
    <t>200-200-40</t>
  </si>
  <si>
    <r>
      <rPr>
        <rFont val="Arial"/>
        <color theme="1"/>
      </rPr>
      <t xml:space="preserve">Micro-missile sidearm
</t>
    </r>
    <r>
      <rPr>
        <rFont val="Arial"/>
        <i/>
        <color theme="1"/>
      </rPr>
      <t>precision, High-Explosive Ordnance, e. Bait and Switch (Tinasha's Mastery)</t>
    </r>
  </si>
  <si>
    <r>
      <rPr>
        <rFont val="Arial"/>
        <color theme="1"/>
      </rPr>
      <t xml:space="preserve">Touch of Malice
</t>
    </r>
    <r>
      <rPr>
        <rFont val="Arial"/>
        <i/>
        <color theme="1"/>
      </rPr>
      <t>blight into 15 shot cycle</t>
    </r>
  </si>
  <si>
    <r>
      <rPr>
        <rFont val="Arial"/>
        <color rgb="FF181A1B"/>
      </rPr>
      <t xml:space="preserve">Heirloom
</t>
    </r>
    <r>
      <rPr>
        <rFont val="Arial"/>
        <i/>
        <color rgb="FF181A1B"/>
      </rPr>
      <t>fully charged, catalyst</t>
    </r>
  </si>
  <si>
    <r>
      <rPr>
        <rFont val="Arial"/>
        <color rgb="FF181A1B"/>
      </rPr>
      <t xml:space="preserve">Tarrabah
</t>
    </r>
    <r>
      <rPr>
        <rFont val="Arial"/>
        <i/>
        <color rgb="FF181A1B"/>
      </rPr>
      <t>Ravenous Beast</t>
    </r>
  </si>
  <si>
    <r>
      <rPr>
        <rFont val="Arial"/>
        <color rgb="FF181A1B"/>
      </rPr>
      <t xml:space="preserve">Adaptive glaive
</t>
    </r>
    <r>
      <rPr>
        <rFont val="Arial"/>
        <i/>
        <color rgb="FF181A1B"/>
      </rPr>
      <t>no Backup Mag, projectile, Vorpal Weapon (Refusal of the Call)</t>
    </r>
  </si>
  <si>
    <t>6-6-6-6-6-3</t>
  </si>
  <si>
    <r>
      <rPr>
        <rFont val="Arial"/>
        <color rgb="FF181A1B"/>
      </rPr>
      <t xml:space="preserve">Tommy's Matchbook
</t>
    </r>
    <r>
      <rPr>
        <rFont val="Arial"/>
        <i/>
        <color rgb="FF181A1B"/>
      </rPr>
      <t>Ember of Ashes</t>
    </r>
  </si>
  <si>
    <r>
      <rPr>
        <rFont val="Arial"/>
        <color theme="1"/>
      </rPr>
      <t xml:space="preserve">Outbreak Perfected
</t>
    </r>
    <r>
      <rPr>
        <rFont val="Arial"/>
        <i/>
        <color theme="1"/>
      </rPr>
      <t>starts at 0 nanites, Rewind Rounds, Appended Mag</t>
    </r>
  </si>
  <si>
    <r>
      <rPr>
        <rFont val="Arial"/>
        <color rgb="FF181A1B"/>
      </rPr>
      <t xml:space="preserve">Precision bow
</t>
    </r>
    <r>
      <rPr>
        <rFont val="Arial"/>
        <i/>
        <color rgb="FF181A1B"/>
      </rPr>
      <t>Archer's Tempo, Chaos Reshaped (Non-Denouement), Guidance Ring</t>
    </r>
  </si>
  <si>
    <r>
      <rPr>
        <rFont val="Arial"/>
        <color theme="1"/>
      </rPr>
      <t xml:space="preserve">Barrow-Dyad
</t>
    </r>
    <r>
      <rPr>
        <rFont val="Arial"/>
        <i/>
        <color theme="1"/>
      </rPr>
      <t>Target Lock, Taken Ambition</t>
    </r>
  </si>
  <si>
    <r>
      <rPr>
        <rFont val="Arial"/>
        <color rgb="FF181A1B"/>
      </rPr>
      <t xml:space="preserve">Rat King
</t>
    </r>
    <r>
      <rPr>
        <rFont val="Arial"/>
        <i/>
        <color rgb="FF181A1B"/>
      </rPr>
      <t>Rat Pack x5</t>
    </r>
  </si>
  <si>
    <r>
      <rPr>
        <rFont val="Arial"/>
        <color theme="1"/>
      </rPr>
      <t xml:space="preserve">Lightweight grenade launcher
</t>
    </r>
    <r>
      <rPr>
        <rFont val="Arial"/>
        <i/>
        <color theme="1"/>
      </rPr>
      <t>Spike Grenades, Vorpal Weapon (Pardon Our Dust)</t>
    </r>
  </si>
  <si>
    <r>
      <rPr>
        <rFont val="Arial"/>
        <color rgb="FF181A1B"/>
      </rPr>
      <t xml:space="preserve">Hawkmoon
</t>
    </r>
    <r>
      <rPr>
        <rFont val="Arial"/>
        <i/>
        <color rgb="FF181A1B"/>
      </rPr>
      <t>successive mags, Paracausal Shot x7</t>
    </r>
  </si>
  <si>
    <t>HC</t>
  </si>
  <si>
    <t>2783ms reload</t>
  </si>
  <si>
    <t>48-48-48...</t>
  </si>
  <si>
    <r>
      <rPr>
        <rFont val="Arial"/>
        <color rgb="FF181A1B"/>
      </rPr>
      <t xml:space="preserve">Polaris Lance
</t>
    </r>
    <r>
      <rPr>
        <rFont val="Arial"/>
        <i/>
        <color rgb="FF181A1B"/>
      </rPr>
      <t>Ember of Ashes</t>
    </r>
  </si>
  <si>
    <r>
      <rPr>
        <rFont val="Arial"/>
        <color rgb="FF181A1B"/>
      </rPr>
      <t xml:space="preserve">Cerberus+1
</t>
    </r>
    <r>
      <rPr>
        <rFont val="Arial"/>
        <i/>
        <color rgb="FF181A1B"/>
      </rPr>
      <t>precision, point blank</t>
    </r>
  </si>
  <si>
    <r>
      <rPr>
        <rFont val="Arial"/>
        <color rgb="FF181A1B"/>
      </rPr>
      <t xml:space="preserve">Third Iteration
</t>
    </r>
    <r>
      <rPr>
        <rFont val="Arial"/>
        <i/>
        <color rgb="FF181A1B"/>
      </rPr>
      <t>16 marked shots</t>
    </r>
  </si>
  <si>
    <r>
      <rPr>
        <rFont val="Arial"/>
        <color rgb="FF181A1B"/>
      </rPr>
      <t xml:space="preserve">Finality's Auger
</t>
    </r>
    <r>
      <rPr>
        <rFont val="Arial"/>
        <i/>
        <color rgb="FF181A1B"/>
      </rPr>
      <t>assumes pre-loaded turret, painted target, Bait and Switch, Ruinscribe Turret Mode</t>
    </r>
  </si>
  <si>
    <t>tick</t>
  </si>
  <si>
    <r>
      <rPr>
        <rFont val="Arial"/>
        <color rgb="FF181A1B"/>
      </rPr>
      <t xml:space="preserve">Riskrunner
</t>
    </r>
    <r>
      <rPr>
        <rFont val="Arial"/>
        <i/>
        <color rgb="FF181A1B"/>
      </rPr>
      <t xml:space="preserve">Arc Conductor, </t>
    </r>
    <r>
      <rPr>
        <rFont val="Arial"/>
        <b/>
        <i/>
        <color rgb="FF181A1B"/>
      </rPr>
      <t>simulated</t>
    </r>
  </si>
  <si>
    <r>
      <rPr>
        <rFont val="Arial"/>
        <color rgb="FF181A1B"/>
      </rPr>
      <t xml:space="preserve">Graviton Spike
</t>
    </r>
    <r>
      <rPr>
        <rFont val="Arial"/>
        <i/>
        <color rgb="FF181A1B"/>
      </rPr>
      <t>alternating modes with 3 shot cycles, Temporal Alignment</t>
    </r>
  </si>
  <si>
    <r>
      <rPr>
        <rFont val="Arial"/>
        <color theme="1"/>
      </rPr>
      <t xml:space="preserve">Wave grenade launcher
</t>
    </r>
    <r>
      <rPr>
        <rFont val="Arial"/>
        <i/>
        <color theme="1"/>
      </rPr>
      <t>e. Elemental Honing x5 (New Pacific Epitaph), Lunafaction Boots, 3x Loader</t>
    </r>
  </si>
  <si>
    <r>
      <rPr>
        <rFont val="Arial"/>
        <color rgb="FF181A1B"/>
      </rPr>
      <t xml:space="preserve">Trinity Ghoul
</t>
    </r>
    <r>
      <rPr>
        <rFont val="Arial"/>
        <i/>
        <color rgb="FF181A1B"/>
      </rPr>
      <t>Guidance Ring</t>
    </r>
  </si>
  <si>
    <r>
      <rPr>
        <rFont val="Arial"/>
        <color rgb="FF181A1B"/>
      </rPr>
      <t xml:space="preserve">Third Iteration
</t>
    </r>
    <r>
      <rPr>
        <rFont val="Arial"/>
        <i/>
        <color rgb="FF181A1B"/>
      </rPr>
      <t>Amalgamation Round into 15 marked shots</t>
    </r>
  </si>
  <si>
    <r>
      <rPr>
        <rFont val="Arial"/>
        <color theme="1"/>
      </rPr>
      <t xml:space="preserve">Anarchy
</t>
    </r>
    <r>
      <rPr>
        <rFont val="Arial"/>
        <i/>
        <color theme="1"/>
      </rPr>
      <t>two traps</t>
    </r>
  </si>
  <si>
    <r>
      <rPr>
        <rFont val="Arial"/>
        <color rgb="FF181A1B"/>
      </rPr>
      <t xml:space="preserve">Lodestar
</t>
    </r>
    <r>
      <rPr>
        <rFont val="Arial"/>
        <i/>
        <color rgb="FF181A1B"/>
      </rPr>
      <t>ADS</t>
    </r>
  </si>
  <si>
    <t>75-75-75...</t>
  </si>
  <si>
    <r>
      <rPr>
        <rFont val="Arial"/>
        <color rgb="FF181A1B"/>
      </rPr>
      <t xml:space="preserve">Malfeasance
</t>
    </r>
    <r>
      <rPr>
        <rFont val="Arial"/>
        <i/>
        <color rgb="FF181A1B"/>
      </rPr>
      <t>successive mags, Vorpal Weapon</t>
    </r>
  </si>
  <si>
    <r>
      <rPr>
        <rFont val="Arial"/>
        <color theme="1"/>
      </rPr>
      <t xml:space="preserve">Divinity
</t>
    </r>
    <r>
      <rPr>
        <rFont val="Arial"/>
        <i/>
        <color theme="1"/>
      </rPr>
      <t>held down</t>
    </r>
  </si>
  <si>
    <t>194-194-82</t>
  </si>
  <si>
    <r>
      <rPr>
        <rFont val="Arial"/>
        <color rgb="FF181A1B"/>
      </rPr>
      <t xml:space="preserve">Hellion
</t>
    </r>
    <r>
      <rPr>
        <rFont val="Arial"/>
        <i/>
        <color rgb="FF181A1B"/>
      </rPr>
      <t>Consul's Pitch, spaced range, Ember of Ashes</t>
    </r>
  </si>
  <si>
    <t>turret</t>
  </si>
  <si>
    <r>
      <rPr>
        <rFont val="Arial"/>
        <color rgb="FF181A1B"/>
      </rPr>
      <t xml:space="preserve">Quicksilver Storm
</t>
    </r>
    <r>
      <rPr>
        <rFont val="Arial"/>
        <i/>
        <color rgb="FF181A1B"/>
      </rPr>
      <t>42 shot burst into 3 grenade cycle</t>
    </r>
  </si>
  <si>
    <r>
      <rPr>
        <rFont val="Arial"/>
        <color rgb="FF181A1B"/>
      </rPr>
      <t xml:space="preserve">The Last Word
</t>
    </r>
    <r>
      <rPr>
        <rFont val="Arial"/>
        <i/>
        <color rgb="FF181A1B"/>
      </rPr>
      <t>hip-fire, successive mags</t>
    </r>
  </si>
  <si>
    <r>
      <rPr>
        <rFont val="Arial"/>
        <color rgb="FF181A1B"/>
      </rPr>
      <t xml:space="preserve">Khvostov 7G-0X
</t>
    </r>
    <r>
      <rPr>
        <rFont val="Arial"/>
        <i/>
        <color rgb="FF181A1B"/>
      </rPr>
      <t>ricochetting bullets</t>
    </r>
  </si>
  <si>
    <r>
      <rPr>
        <rFont val="Arial"/>
        <color rgb="FF181A1B"/>
      </rPr>
      <t xml:space="preserve">Lodestar
</t>
    </r>
    <r>
      <rPr>
        <rFont val="Arial"/>
        <i/>
        <color rgb="FF181A1B"/>
      </rPr>
      <t>hip-fire</t>
    </r>
  </si>
  <si>
    <r>
      <rPr>
        <rFont val="Arial"/>
        <color rgb="FF181A1B"/>
      </rPr>
      <t xml:space="preserve">Storm's Keep
</t>
    </r>
    <r>
      <rPr>
        <rFont val="Arial"/>
        <i/>
        <color rgb="FF181A1B"/>
      </rPr>
      <t>max practical Bolt Charge rate</t>
    </r>
  </si>
  <si>
    <t>effect</t>
  </si>
  <si>
    <r>
      <rPr>
        <rFont val="Arial"/>
        <color rgb="FF181A1B"/>
      </rPr>
      <t xml:space="preserve">Ionic Sentry
</t>
    </r>
    <r>
      <rPr>
        <rFont val="Arial"/>
        <i/>
        <color rgb="FF181A1B"/>
      </rPr>
      <t>includes Bolt Charge, Spark of Frequency</t>
    </r>
  </si>
  <si>
    <r>
      <rPr>
        <rFont val="Arial"/>
        <color rgb="FF181A1B"/>
      </rPr>
      <t xml:space="preserve">MIDA Multi-Tool
</t>
    </r>
    <r>
      <rPr>
        <rFont val="Arial"/>
        <i/>
        <color rgb="FF181A1B"/>
      </rPr>
      <t>High-Power Ammo</t>
    </r>
  </si>
  <si>
    <t>16-16-16...</t>
  </si>
  <si>
    <r>
      <rPr>
        <rFont val="Arial"/>
        <color theme="1"/>
      </rPr>
      <t xml:space="preserve">Hellion
</t>
    </r>
    <r>
      <rPr>
        <rFont val="Arial"/>
        <i/>
        <color theme="1"/>
      </rPr>
      <t>Ember of Ashes</t>
    </r>
  </si>
  <si>
    <r>
      <rPr>
        <rFont val="Arial"/>
        <color theme="1"/>
      </rPr>
      <t xml:space="preserve">Area denial grenade launcher
</t>
    </r>
    <r>
      <rPr>
        <rFont val="Arial"/>
        <i/>
        <color theme="1"/>
      </rPr>
      <t>Elemental Honing x5 (Festival Flight)</t>
    </r>
  </si>
  <si>
    <r>
      <rPr>
        <rFont val="Arial"/>
        <color theme="1"/>
      </rPr>
      <t xml:space="preserve"> Arc Soul
</t>
    </r>
    <r>
      <rPr>
        <rFont val="Arial"/>
        <i/>
        <color theme="1"/>
      </rPr>
      <t>Amplified, Facet of Courage</t>
    </r>
  </si>
  <si>
    <r>
      <rPr>
        <rFont val="Arial"/>
        <color theme="1"/>
      </rPr>
      <t xml:space="preserve">Witherhoard
</t>
    </r>
    <r>
      <rPr>
        <rFont val="Arial"/>
        <i/>
        <color theme="1"/>
      </rPr>
      <t>ground</t>
    </r>
  </si>
  <si>
    <r>
      <rPr>
        <rFont val="Arial"/>
        <color theme="1"/>
      </rPr>
      <t xml:space="preserve">Witherhoard
</t>
    </r>
    <r>
      <rPr>
        <rFont val="Arial"/>
        <i/>
        <color theme="1"/>
      </rPr>
      <t>direct impact</t>
    </r>
  </si>
  <si>
    <r>
      <rPr>
        <rFont val="Arial"/>
        <color rgb="FF181A1B"/>
      </rPr>
      <t xml:space="preserve">Weaver's Call
</t>
    </r>
    <r>
      <rPr>
        <rFont val="Arial"/>
        <i/>
        <color rgb="FF181A1B"/>
      </rPr>
      <t>maximum practical rate, Thread of Evolution</t>
    </r>
  </si>
  <si>
    <r>
      <rPr>
        <rFont val="Arial"/>
        <color theme="1"/>
      </rPr>
      <t xml:space="preserve"> Arc Soul
</t>
    </r>
    <r>
      <rPr>
        <rFont val="Arial"/>
        <i/>
        <color theme="1"/>
      </rPr>
      <t>Facet of Courage</t>
    </r>
  </si>
  <si>
    <r>
      <rPr>
        <rFont val="Arial"/>
        <color theme="1"/>
      </rPr>
      <t xml:space="preserve">Unravel
</t>
    </r>
    <r>
      <rPr>
        <rFont val="Arial"/>
        <i/>
        <color theme="1"/>
      </rPr>
      <t>typical rate</t>
    </r>
  </si>
  <si>
    <r>
      <rPr>
        <rFont val="Arial"/>
        <color rgb="FF181A1B"/>
      </rPr>
      <t xml:space="preserve">Aggressive rocket launcher
</t>
    </r>
    <r>
      <rPr>
        <rFont val="Arial"/>
        <i/>
        <color rgb="FF181A1B"/>
      </rPr>
      <t>Timelost Magazine, Cluster Bomb + Elemental Honing x5 (Hezen Vengeance), Pack Hunter</t>
    </r>
  </si>
  <si>
    <t>2233ms reload</t>
  </si>
  <si>
    <r>
      <rPr>
        <rFont val="Arial"/>
        <color theme="1"/>
      </rPr>
      <t xml:space="preserve">Ergo Sum
</t>
    </r>
    <r>
      <rPr>
        <rFont val="Arial"/>
        <i/>
        <color theme="1"/>
      </rPr>
      <t>caster frame, The Perfect Fifth, Enduring Blade, 1H2L combo, Lucent Blades x3, Pack Hunter, Transcendent, fireteam scaling</t>
    </r>
  </si>
  <si>
    <r>
      <rPr>
        <rFont val="Arial"/>
        <color theme="1"/>
      </rPr>
      <t xml:space="preserve">Ergo Sum
</t>
    </r>
    <r>
      <rPr>
        <rFont val="Arial"/>
        <i/>
        <color theme="1"/>
      </rPr>
      <t>lightweight frame, Unplanned Reprieve, Enduring Blade, 1H2L combo, Lucent Blades x3, Pack Hunter, Transcendent, fireteam scaling</t>
    </r>
  </si>
  <si>
    <t>10 combos + 1H</t>
  </si>
  <si>
    <r>
      <rPr>
        <rFont val="Arial"/>
        <color theme="1"/>
      </rPr>
      <t xml:space="preserve">Ergo Sum
</t>
    </r>
    <r>
      <rPr>
        <rFont val="Arial"/>
        <i/>
        <color theme="1"/>
      </rPr>
      <t>vortex frame, Unplanned Reprieve, Enduring Blade, 1H2L combo, Lucent Blades x3, Pack Hunter, Transcendent, fireteam scaling</t>
    </r>
  </si>
  <si>
    <t>6 combos + 1H</t>
  </si>
  <si>
    <t>Ready</t>
  </si>
  <si>
    <t>Fire</t>
  </si>
  <si>
    <t>Stow</t>
  </si>
  <si>
    <r>
      <rPr>
        <rFont val="Arial"/>
        <b/>
        <color rgb="FFFFFFFF"/>
        <sz val="7.0"/>
      </rPr>
      <t xml:space="preserve">swap
</t>
    </r>
    <r>
      <rPr>
        <rFont val="Arial"/>
        <b/>
        <color rgb="FFFFFFFF"/>
      </rPr>
      <t>Time</t>
    </r>
  </si>
  <si>
    <r>
      <rPr>
        <rFont val="Arial"/>
        <b/>
        <color rgb="FFFFFFFF"/>
        <sz val="7.0"/>
      </rPr>
      <t xml:space="preserve">total
</t>
    </r>
    <r>
      <rPr>
        <rFont val="Arial"/>
        <b/>
        <color rgb="FFFFFFFF"/>
      </rPr>
      <t>Time</t>
    </r>
  </si>
  <si>
    <r>
      <rPr>
        <rFont val="Arial"/>
        <b/>
        <color rgb="FFFFFFFF"/>
        <sz val="7.0"/>
      </rPr>
      <t xml:space="preserve">swap
</t>
    </r>
    <r>
      <rPr>
        <rFont val="Arial"/>
        <b/>
        <color rgb="FFFFFFFF"/>
      </rPr>
      <t>DPS</t>
    </r>
  </si>
  <si>
    <r>
      <rPr>
        <rFont val="Arial"/>
        <b/>
        <color rgb="FFFFFFFF"/>
        <sz val="7.0"/>
      </rPr>
      <t>true</t>
    </r>
    <r>
      <rPr>
        <rFont val="Arial"/>
        <b/>
        <i/>
        <color rgb="FFFFFFFF"/>
      </rPr>
      <t xml:space="preserve">
</t>
    </r>
    <r>
      <rPr>
        <rFont val="Arial"/>
        <b/>
        <color rgb="FFFFFFFF"/>
      </rPr>
      <t>DPS</t>
    </r>
  </si>
  <si>
    <r>
      <rPr>
        <rFont val="Arial"/>
        <color theme="1"/>
      </rPr>
      <t xml:space="preserve">Golden Gun - Marksman
</t>
    </r>
    <r>
      <rPr>
        <rFont val="Arial"/>
        <i/>
        <color theme="1"/>
      </rPr>
      <t>Celestial Nighthawk, Radiant, Facet of Courage, pre-popped</t>
    </r>
  </si>
  <si>
    <t>super</t>
  </si>
  <si>
    <r>
      <rPr>
        <rFont val="Arial"/>
        <color theme="1"/>
      </rPr>
      <t xml:space="preserve">Still Hunt
</t>
    </r>
    <r>
      <rPr>
        <rFont val="Arial"/>
        <i/>
        <color theme="1"/>
      </rPr>
      <t>Cayde's Retribution, Celestial Nighthawk, pre-popped</t>
    </r>
  </si>
  <si>
    <r>
      <rPr>
        <rFont val="Arial"/>
        <color theme="1"/>
      </rPr>
      <t xml:space="preserve">Whirling Ovation
</t>
    </r>
    <r>
      <rPr>
        <rFont val="Arial"/>
        <i/>
        <color theme="1"/>
      </rPr>
      <t>pre-charged</t>
    </r>
  </si>
  <si>
    <r>
      <rPr>
        <rFont val="Arial"/>
        <color theme="1"/>
      </rPr>
      <t xml:space="preserve">Parasite
</t>
    </r>
    <r>
      <rPr>
        <rFont val="Arial"/>
        <i/>
        <color theme="1"/>
      </rPr>
      <t>Worm's Hunger x20</t>
    </r>
  </si>
  <si>
    <r>
      <rPr>
        <rFont val="Arial"/>
        <color rgb="FF181A1B"/>
      </rPr>
      <t xml:space="preserve">High-impact bow
</t>
    </r>
    <r>
      <rPr>
        <rFont val="Arial"/>
        <i/>
        <color rgb="FF181A1B"/>
      </rPr>
      <t>Heavy Bolts, High Ground x3 (A Good Shout), Moebius Quiver</t>
    </r>
  </si>
  <si>
    <t>swap</t>
  </si>
  <si>
    <r>
      <rPr>
        <rFont val="Arial"/>
        <color theme="1"/>
      </rPr>
      <t xml:space="preserve">Golden Gun - Marksman
</t>
    </r>
    <r>
      <rPr>
        <rFont val="Arial"/>
        <i/>
        <color theme="1"/>
      </rPr>
      <t>Celestial Nighthawk, Radiant, Facet of Courage</t>
    </r>
  </si>
  <si>
    <r>
      <rPr>
        <rFont val="Arial"/>
        <color theme="1"/>
      </rPr>
      <t xml:space="preserve">Blade Barrage
</t>
    </r>
    <r>
      <rPr>
        <rFont val="Arial"/>
        <i/>
        <color theme="1"/>
      </rPr>
      <t>Knock 'Em Down, Feast of Light x6</t>
    </r>
  </si>
  <si>
    <r>
      <rPr>
        <rFont val="Arial"/>
        <color theme="1"/>
      </rPr>
      <t xml:space="preserve">Izanagi's Burden
</t>
    </r>
    <r>
      <rPr>
        <rFont val="Arial"/>
        <i/>
        <color theme="1"/>
      </rPr>
      <t>excludes re-hone time</t>
    </r>
  </si>
  <si>
    <r>
      <rPr>
        <rFont val="Arial"/>
        <color rgb="FF181A1B"/>
      </rPr>
      <t xml:space="preserve">Grapple melee
</t>
    </r>
    <r>
      <rPr>
        <rFont val="Arial"/>
        <i/>
        <color rgb="FF181A1B"/>
      </rPr>
      <t>One-Two Punch, Biotic Enhancements, Combination Blow x3, Facet of Courage</t>
    </r>
  </si>
  <si>
    <r>
      <rPr>
        <rFont val="Arial"/>
        <color theme="1"/>
      </rPr>
      <t xml:space="preserve">Needlestorm
</t>
    </r>
    <r>
      <rPr>
        <rFont val="Arial"/>
        <i/>
        <color theme="1"/>
      </rPr>
      <t>Stylostixis, Thread of Evolution</t>
    </r>
  </si>
  <si>
    <r>
      <rPr>
        <rFont val="Arial"/>
        <color theme="1"/>
      </rPr>
      <t xml:space="preserve">Nova Bomb - Cataclysm
</t>
    </r>
    <r>
      <rPr>
        <rFont val="Arial"/>
        <i/>
        <color theme="1"/>
      </rPr>
      <t>Feast of Light x6, Facet of Courage</t>
    </r>
  </si>
  <si>
    <r>
      <rPr>
        <rFont val="Arial"/>
        <color theme="1"/>
      </rPr>
      <t xml:space="preserve">Grand Overture
</t>
    </r>
    <r>
      <rPr>
        <rFont val="Arial"/>
        <i/>
        <color theme="1"/>
      </rPr>
      <t>Missiles Loaded x20</t>
    </r>
  </si>
  <si>
    <r>
      <rPr>
        <rFont val="Arial"/>
        <color theme="1"/>
      </rPr>
      <t xml:space="preserve">Needlestorm
</t>
    </r>
    <r>
      <rPr>
        <rFont val="Arial"/>
        <i/>
        <color theme="1"/>
      </rPr>
      <t>Feast of Light x6</t>
    </r>
  </si>
  <si>
    <r>
      <rPr>
        <rFont val="Arial"/>
        <color theme="1"/>
      </rPr>
      <t xml:space="preserve">Golden Gun - Marksman
</t>
    </r>
    <r>
      <rPr>
        <rFont val="Arial"/>
        <i/>
        <color theme="1"/>
      </rPr>
      <t>Feast of Light x6, Radiant, Facet of Courage</t>
    </r>
  </si>
  <si>
    <r>
      <rPr>
        <rFont val="Arial"/>
        <color theme="1"/>
      </rPr>
      <t xml:space="preserve">Dynamic hand cannon - 180RPM special
</t>
    </r>
    <r>
      <rPr>
        <rFont val="Arial"/>
        <i/>
        <color theme="1"/>
      </rPr>
      <t>primed with 2 Crimson bursts, 15 shot burst, e. Precision Instrument (Uncivil Discourse), Accelerated Assault, Illegally Modded Holster</t>
    </r>
  </si>
  <si>
    <t>LP</t>
  </si>
  <si>
    <r>
      <rPr>
        <rFont val="Arial"/>
        <color theme="1"/>
      </rPr>
      <t xml:space="preserve">Blade Barrage
</t>
    </r>
    <r>
      <rPr>
        <rFont val="Arial"/>
        <i/>
        <color theme="1"/>
      </rPr>
      <t>Knock 'Em Down</t>
    </r>
  </si>
  <si>
    <r>
      <rPr>
        <rFont val="Arial"/>
        <color theme="1"/>
      </rPr>
      <t xml:space="preserve">Shadowshot: Moebius Quiver
</t>
    </r>
    <r>
      <rPr>
        <rFont val="Arial"/>
        <i/>
        <color theme="1"/>
      </rPr>
      <t>Feast of Light x6, full bow charge, both volleys, assumes no other debuff</t>
    </r>
  </si>
  <si>
    <r>
      <rPr>
        <rFont val="Arial"/>
        <color theme="1"/>
      </rPr>
      <t xml:space="preserve">Dynamic hand cannon - 180RPM special
</t>
    </r>
    <r>
      <rPr>
        <rFont val="Arial"/>
        <i/>
        <color theme="1"/>
      </rPr>
      <t>17 shot burst, e. Precision Instrument (Uncivil Discourse), Accelerated Assault, Illegally Modded Holster</t>
    </r>
  </si>
  <si>
    <r>
      <rPr>
        <rFont val="Arial"/>
        <color theme="1"/>
      </rPr>
      <t xml:space="preserve">Pinpoint slug shotgun
</t>
    </r>
    <r>
      <rPr>
        <rFont val="Arial"/>
        <i/>
        <color theme="1"/>
      </rPr>
      <t>Redirection + Elemental Honing x5 (Unvoiced), 1 shot</t>
    </r>
  </si>
  <si>
    <r>
      <rPr>
        <rFont val="Arial"/>
        <color theme="1"/>
      </rPr>
      <t xml:space="preserve">Needlestorm
</t>
    </r>
    <r>
      <rPr>
        <rFont val="Arial"/>
        <i/>
        <color theme="1"/>
      </rPr>
      <t>Thread of Evolution</t>
    </r>
  </si>
  <si>
    <r>
      <rPr>
        <rFont val="Arial"/>
        <color rgb="FF181A1B"/>
      </rPr>
      <t xml:space="preserve">Ice Breaker
</t>
    </r>
    <r>
      <rPr>
        <rFont val="Arial"/>
        <i/>
        <color rgb="FF181A1B"/>
      </rPr>
      <t>shatter ignition</t>
    </r>
  </si>
  <si>
    <r>
      <rPr>
        <rFont val="Arial"/>
        <color theme="1"/>
      </rPr>
      <t xml:space="preserve">Glacial Quake
</t>
    </r>
    <r>
      <rPr>
        <rFont val="Arial"/>
        <i/>
        <color theme="1"/>
      </rPr>
      <t>heavy attacks, Facet of Ruin, Feast of Light x6</t>
    </r>
  </si>
  <si>
    <r>
      <rPr>
        <rFont val="Arial"/>
        <color theme="1"/>
      </rPr>
      <t xml:space="preserve">Glacial Quake
</t>
    </r>
    <r>
      <rPr>
        <rFont val="Arial"/>
        <i/>
        <color theme="1"/>
      </rPr>
      <t>Howl of the Storm, Whisper of Fissures, Biotic Enhancements</t>
    </r>
  </si>
  <si>
    <r>
      <rPr>
        <rFont val="Arial"/>
        <color theme="1"/>
      </rPr>
      <t xml:space="preserve">Legend of Acrius
</t>
    </r>
    <r>
      <rPr>
        <rFont val="Arial"/>
        <i/>
        <color theme="1"/>
      </rPr>
      <t>body</t>
    </r>
  </si>
  <si>
    <r>
      <rPr>
        <rFont val="Arial"/>
        <color theme="1"/>
      </rPr>
      <t xml:space="preserve">Adaptive grenade launcher
</t>
    </r>
    <r>
      <rPr>
        <rFont val="Arial"/>
        <i/>
        <color theme="1"/>
      </rPr>
      <t>Sticky Grenades, e. Cascade Point + e. Explosive Light (Edge Transit), 7 shots</t>
    </r>
  </si>
  <si>
    <r>
      <rPr>
        <rFont val="Arial"/>
        <color theme="1"/>
      </rPr>
      <t xml:space="preserve">Nova Bomb - Cataclysm
</t>
    </r>
    <r>
      <rPr>
        <rFont val="Arial"/>
        <i/>
        <color theme="1"/>
      </rPr>
      <t>Facet of Courage</t>
    </r>
  </si>
  <si>
    <r>
      <rPr>
        <rFont val="Arial"/>
        <color theme="1"/>
      </rPr>
      <t xml:space="preserve">Grapple melee
</t>
    </r>
    <r>
      <rPr>
        <rFont val="Arial"/>
        <i/>
        <color theme="1"/>
      </rPr>
      <t>Banner of War, Biotic Enhancements, One-Two Punch</t>
    </r>
  </si>
  <si>
    <r>
      <rPr>
        <rFont val="Arial"/>
        <color theme="1"/>
      </rPr>
      <t xml:space="preserve">Rapid-fire grenade launcher
</t>
    </r>
    <r>
      <rPr>
        <rFont val="Arial"/>
        <i/>
        <color theme="1"/>
      </rPr>
      <t>Spike Grenades, e. Cascade Point + e. Explosive Light (VS Chill Inhibitor), 8 shots</t>
    </r>
  </si>
  <si>
    <r>
      <rPr>
        <rFont val="Arial"/>
        <color rgb="FF181A1B"/>
      </rPr>
      <t xml:space="preserve">New Land Beyond
</t>
    </r>
    <r>
      <rPr>
        <rFont val="Arial"/>
        <i/>
        <color rgb="FF181A1B"/>
      </rPr>
      <t>The Master x20, Kinetic Holster</t>
    </r>
  </si>
  <si>
    <r>
      <rPr>
        <rFont val="Arial"/>
        <color theme="1"/>
      </rPr>
      <t xml:space="preserve">Twilight Arsenal
</t>
    </r>
    <r>
      <rPr>
        <rFont val="Arial"/>
        <i/>
        <color theme="1"/>
      </rPr>
      <t>Feast of Light x6, Facet of Courage</t>
    </r>
  </si>
  <si>
    <r>
      <rPr>
        <rFont val="Arial"/>
        <color theme="1"/>
      </rPr>
      <t xml:space="preserve">Still Hunt
</t>
    </r>
    <r>
      <rPr>
        <rFont val="Arial"/>
        <i/>
        <color theme="1"/>
      </rPr>
      <t>Cayde's Retribution, pre-popped</t>
    </r>
  </si>
  <si>
    <r>
      <rPr>
        <rFont val="Arial"/>
        <color theme="1"/>
      </rPr>
      <t xml:space="preserve">Rapid-fire grenade launcher
</t>
    </r>
    <r>
      <rPr>
        <rFont val="Arial"/>
        <i/>
        <color theme="1"/>
      </rPr>
      <t>Spike Grenades, e. Cascade Point + Bait and Switch (VS Chill Inhibitor), 8 shots</t>
    </r>
  </si>
  <si>
    <r>
      <rPr>
        <rFont val="Arial"/>
        <color theme="1"/>
      </rPr>
      <t xml:space="preserve">The Fourth Horseman
</t>
    </r>
    <r>
      <rPr>
        <rFont val="Arial"/>
        <i/>
        <color theme="1"/>
      </rPr>
      <t>full mag, body</t>
    </r>
  </si>
  <si>
    <r>
      <rPr>
        <rFont val="Arial"/>
        <color theme="1"/>
      </rPr>
      <t xml:space="preserve">Shadowshot: Moebius Quiver
</t>
    </r>
    <r>
      <rPr>
        <rFont val="Arial"/>
        <i/>
        <color theme="1"/>
      </rPr>
      <t>Orpheus Rig, full bow charge, all 3 volleys, assumes no other debuff</t>
    </r>
  </si>
  <si>
    <r>
      <rPr>
        <rFont val="Arial"/>
        <color theme="1"/>
      </rPr>
      <t xml:space="preserve">Adaptive grenade launcher
</t>
    </r>
    <r>
      <rPr>
        <rFont val="Arial"/>
        <i/>
        <color theme="1"/>
      </rPr>
      <t>Spike Grenades, Cascade Point + Bait and Switch (Edge Transit), 8 shots</t>
    </r>
  </si>
  <si>
    <r>
      <rPr>
        <rFont val="Arial"/>
        <color theme="1"/>
      </rPr>
      <t xml:space="preserve">Tessellation
</t>
    </r>
    <r>
      <rPr>
        <rFont val="Arial"/>
        <i/>
        <color theme="1"/>
      </rPr>
      <t xml:space="preserve">Property: Irreducible, excludes re-proc time, </t>
    </r>
    <r>
      <rPr>
        <rFont val="Arial"/>
        <i/>
        <color rgb="FF181A1B"/>
      </rPr>
      <t>Transcendent but excludes 5%</t>
    </r>
  </si>
  <si>
    <r>
      <rPr>
        <rFont val="Arial"/>
        <color theme="1"/>
      </rPr>
      <t xml:space="preserve">Micro-missile grenade launcher
</t>
    </r>
    <r>
      <rPr>
        <rFont val="Arial"/>
        <i/>
        <color theme="1"/>
      </rPr>
      <t>Implosion Rounds, Recombination x10 (The Mountaintop), 1 shot</t>
    </r>
  </si>
  <si>
    <r>
      <rPr>
        <rFont val="Arial"/>
        <color theme="1"/>
      </rPr>
      <t xml:space="preserve">Shadowshot: Moebius Quiver
</t>
    </r>
    <r>
      <rPr>
        <rFont val="Arial"/>
        <i/>
        <color theme="1"/>
      </rPr>
      <t>Feast of Light x6, both volleys, assumes no other debuff</t>
    </r>
  </si>
  <si>
    <r>
      <rPr>
        <rFont val="Arial"/>
        <color theme="1"/>
      </rPr>
      <t xml:space="preserve">Glacial Quake
</t>
    </r>
    <r>
      <rPr>
        <rFont val="Arial"/>
        <i/>
        <color theme="1"/>
      </rPr>
      <t>heavy attacks, Whisper of Fissures</t>
    </r>
  </si>
  <si>
    <r>
      <rPr>
        <rFont val="Arial"/>
        <color theme="1"/>
      </rPr>
      <t xml:space="preserve">Conditional Finality
</t>
    </r>
    <r>
      <rPr>
        <rFont val="Arial"/>
        <i/>
        <color theme="1"/>
      </rPr>
      <t>body, average across both shots</t>
    </r>
  </si>
  <si>
    <r>
      <rPr>
        <rFont val="Arial"/>
        <color theme="1"/>
      </rPr>
      <t xml:space="preserve">Glacial Quake
</t>
    </r>
    <r>
      <rPr>
        <rFont val="Arial"/>
        <i/>
        <color theme="1"/>
      </rPr>
      <t>Howl of the Storm, Whisper of Fissures</t>
    </r>
  </si>
  <si>
    <r>
      <rPr>
        <rFont val="Arial"/>
        <color theme="1"/>
      </rPr>
      <t xml:space="preserve">Twilight Arsenal
</t>
    </r>
    <r>
      <rPr>
        <rFont val="Arial"/>
        <i/>
        <color theme="1"/>
      </rPr>
      <t>Facet of Courage</t>
    </r>
  </si>
  <si>
    <r>
      <rPr>
        <rFont val="Arial"/>
        <color theme="1"/>
      </rPr>
      <t xml:space="preserve">Thermite grenade
</t>
    </r>
    <r>
      <rPr>
        <rFont val="Arial"/>
        <i/>
        <color theme="1"/>
      </rPr>
      <t>Roaring Flames x3, Empowered Grenade x2, Ember of Ashes</t>
    </r>
  </si>
  <si>
    <r>
      <rPr>
        <rFont val="Arial"/>
        <color theme="1"/>
      </rPr>
      <t xml:space="preserve">Thundercrash
</t>
    </r>
    <r>
      <rPr>
        <rFont val="Arial"/>
        <i/>
        <color theme="1"/>
      </rPr>
      <t>Cuirass of the Falling Star, Facet of Courage</t>
    </r>
  </si>
  <si>
    <r>
      <rPr>
        <rFont val="Arial"/>
        <color rgb="FF181A1B"/>
      </rPr>
      <t xml:space="preserve">Slayer's Fang
</t>
    </r>
    <r>
      <rPr>
        <rFont val="Arial"/>
        <i/>
        <color rgb="FF181A1B"/>
      </rPr>
      <t>includes submunitions, Cascade Point, 6 shots</t>
    </r>
  </si>
  <si>
    <r>
      <rPr>
        <rFont val="Arial"/>
        <color theme="1"/>
      </rPr>
      <t xml:space="preserve">Aggressive rocket launcher
</t>
    </r>
    <r>
      <rPr>
        <rFont val="Arial"/>
        <i/>
        <color theme="1"/>
      </rPr>
      <t>Frame of Reference x5, e. Overflow + e. Reaper's Tithe (The When and Where), Pack Hunter, 3 shots</t>
    </r>
  </si>
  <si>
    <r>
      <rPr>
        <rFont val="Arial"/>
        <color theme="1"/>
      </rPr>
      <t xml:space="preserve">Duality
</t>
    </r>
    <r>
      <rPr>
        <rFont val="Arial"/>
        <i/>
        <color theme="1"/>
      </rPr>
      <t>precision</t>
    </r>
  </si>
  <si>
    <r>
      <rPr>
        <rFont val="Arial"/>
        <color theme="1"/>
      </rPr>
      <t xml:space="preserve">Still Hunt
</t>
    </r>
    <r>
      <rPr>
        <rFont val="Arial"/>
        <i/>
        <color theme="1"/>
      </rPr>
      <t>Cayde's Retribution, Celestial Nighthawk</t>
    </r>
  </si>
  <si>
    <r>
      <rPr>
        <rFont val="Arial"/>
        <color theme="1"/>
      </rPr>
      <t xml:space="preserve">Rapid-fire sniper
</t>
    </r>
    <r>
      <rPr>
        <rFont val="Arial"/>
        <i/>
        <color theme="1"/>
      </rPr>
      <t>Vorpal Weapon + Bait and Switch (Conspiracy Honed), 3 shots</t>
    </r>
  </si>
  <si>
    <r>
      <rPr>
        <rFont val="Arial"/>
        <color theme="1"/>
      </rPr>
      <t xml:space="preserve">Adaptive grenade launcher
</t>
    </r>
    <r>
      <rPr>
        <rFont val="Arial"/>
        <i/>
        <color theme="1"/>
      </rPr>
      <t>Spike Grenades, Cascade Point (Edge Transit), 8 shots</t>
    </r>
  </si>
  <si>
    <r>
      <rPr>
        <rFont val="Arial"/>
        <color theme="1"/>
      </rPr>
      <t xml:space="preserve">Izanagi's Burden
</t>
    </r>
    <r>
      <rPr>
        <rFont val="Arial"/>
        <i/>
        <color theme="1"/>
      </rPr>
      <t>includes re-hone time</t>
    </r>
  </si>
  <si>
    <r>
      <rPr>
        <rFont val="Arial"/>
        <color theme="1"/>
      </rPr>
      <t xml:space="preserve">Eriana's Vow
</t>
    </r>
    <r>
      <rPr>
        <rFont val="Arial"/>
        <i/>
        <color theme="1"/>
      </rPr>
      <t>primed with 3 heavy burst HC bursts, 7 shots, Illegally Modded Holster</t>
    </r>
  </si>
  <si>
    <r>
      <rPr>
        <rFont val="Arial"/>
        <color theme="1"/>
      </rPr>
      <t xml:space="preserve">Hammer of Sol
</t>
    </r>
    <r>
      <rPr>
        <rFont val="Arial"/>
        <i/>
        <color theme="1"/>
      </rPr>
      <t>Feast of Light x6, Facet of Courage, max distance</t>
    </r>
  </si>
  <si>
    <r>
      <rPr>
        <rFont val="Arial"/>
        <color theme="1"/>
      </rPr>
      <t xml:space="preserve">Glacial Quake
</t>
    </r>
    <r>
      <rPr>
        <rFont val="Arial"/>
        <i/>
        <color theme="1"/>
      </rPr>
      <t>light attacks, Prismatic, Facet of Ruin, Feast of Light x6, Knockout</t>
    </r>
  </si>
  <si>
    <r>
      <rPr>
        <rFont val="Arial"/>
        <color theme="1"/>
      </rPr>
      <t xml:space="preserve">The Last Word
</t>
    </r>
    <r>
      <rPr>
        <rFont val="Arial"/>
        <i/>
        <color theme="1"/>
      </rPr>
      <t>2 mags with Marksman reload, Illegally Modded Holster</t>
    </r>
  </si>
  <si>
    <r>
      <rPr>
        <rFont val="Arial"/>
        <color theme="1"/>
      </rPr>
      <t xml:space="preserve">Stormtrance
</t>
    </r>
    <r>
      <rPr>
        <rFont val="Arial"/>
        <i/>
        <color theme="1"/>
      </rPr>
      <t>Ascending Amplitude, Facet of Courage</t>
    </r>
  </si>
  <si>
    <r>
      <rPr>
        <rFont val="Arial"/>
        <color theme="1"/>
      </rPr>
      <t xml:space="preserve">Whirling Ovation
</t>
    </r>
    <r>
      <rPr>
        <rFont val="Arial"/>
        <i/>
        <color theme="1"/>
      </rPr>
      <t>max Anticipation</t>
    </r>
  </si>
  <si>
    <r>
      <rPr>
        <rFont val="Arial"/>
        <color theme="1"/>
      </rPr>
      <t xml:space="preserve">Daybreak
</t>
    </r>
    <r>
      <rPr>
        <rFont val="Arial"/>
        <i/>
        <color theme="1"/>
      </rPr>
      <t>Dawn Chorus, Ember of Ashes, grounded</t>
    </r>
  </si>
  <si>
    <r>
      <rPr>
        <rFont val="Arial"/>
        <color theme="1"/>
      </rPr>
      <t xml:space="preserve">Flechette Storm
</t>
    </r>
    <r>
      <rPr>
        <rFont val="Arial"/>
        <i/>
        <color theme="1"/>
      </rPr>
      <t>11 volleys, Banner of War, Wish-Dragon's Talons, Insatiable</t>
    </r>
  </si>
  <si>
    <r>
      <rPr>
        <rFont val="Arial"/>
        <color theme="1"/>
      </rPr>
      <t xml:space="preserve">Spread shot hand cannon
</t>
    </r>
    <r>
      <rPr>
        <rFont val="Arial"/>
        <i/>
        <color theme="1"/>
      </rPr>
      <t>e. Cascade Point + Vorpal Weapon (Aureus Neutralizer), 14 shot burst, Illegally Modded Holster</t>
    </r>
  </si>
  <si>
    <r>
      <rPr>
        <rFont val="Arial"/>
        <color theme="1"/>
      </rPr>
      <t xml:space="preserve">Aggressive shotgun
</t>
    </r>
    <r>
      <rPr>
        <rFont val="Arial"/>
        <i/>
        <color theme="1"/>
      </rPr>
      <t>body, Frenzy (Ragnhild-D)</t>
    </r>
    <r>
      <rPr>
        <rFont val="Arial"/>
        <color theme="1"/>
      </rPr>
      <t xml:space="preserve">, </t>
    </r>
    <r>
      <rPr>
        <rFont val="Arial"/>
        <i/>
        <color theme="1"/>
      </rPr>
      <t>1 shot</t>
    </r>
  </si>
  <si>
    <r>
      <rPr>
        <rFont val="Arial"/>
        <color theme="1"/>
      </rPr>
      <t xml:space="preserve">Double fire grenade launcher
</t>
    </r>
    <r>
      <rPr>
        <rFont val="Arial"/>
        <i/>
        <color theme="1"/>
      </rPr>
      <t>Spike Grenades, Bait and Switch (Wild Style), 1 shot</t>
    </r>
  </si>
  <si>
    <r>
      <rPr>
        <rFont val="Arial"/>
        <color theme="1"/>
      </rPr>
      <t xml:space="preserve">Storm's Edge
</t>
    </r>
    <r>
      <rPr>
        <rFont val="Arial"/>
        <i/>
        <color theme="1"/>
      </rPr>
      <t>Feast of Light x6, Facet of Courage, all three casts</t>
    </r>
  </si>
  <si>
    <r>
      <rPr>
        <rFont val="Arial"/>
        <color theme="1"/>
      </rPr>
      <t xml:space="preserve">Chaos Reach
</t>
    </r>
    <r>
      <rPr>
        <rFont val="Arial"/>
        <i/>
        <color theme="1"/>
      </rPr>
      <t>Geomag Stabilizers, Sol Invictus</t>
    </r>
  </si>
  <si>
    <r>
      <rPr>
        <rFont val="Arial"/>
        <color theme="1"/>
      </rPr>
      <t xml:space="preserve">Adaptive grenade launcher
</t>
    </r>
    <r>
      <rPr>
        <rFont val="Arial"/>
        <i/>
        <color theme="1"/>
      </rPr>
      <t>Spike Grenades, Bait and Switch (Edge Transit), 8 shots</t>
    </r>
  </si>
  <si>
    <r>
      <rPr>
        <rFont val="Arial"/>
        <color theme="1"/>
      </rPr>
      <t xml:space="preserve">Storm's Edge
</t>
    </r>
    <r>
      <rPr>
        <rFont val="Arial"/>
        <i/>
        <color theme="1"/>
      </rPr>
      <t>Feast of Light x6, Facet of Courage, per cast</t>
    </r>
  </si>
  <si>
    <r>
      <rPr>
        <rFont val="Arial"/>
        <color theme="1"/>
      </rPr>
      <t xml:space="preserve">Chaos Reach
</t>
    </r>
    <r>
      <rPr>
        <rFont val="Arial"/>
        <i/>
        <color theme="1"/>
      </rPr>
      <t>Geomag Stabilizers</t>
    </r>
  </si>
  <si>
    <r>
      <rPr>
        <rFont val="Arial"/>
        <color theme="1"/>
      </rPr>
      <t xml:space="preserve">The Prospector
</t>
    </r>
    <r>
      <rPr>
        <rFont val="Arial"/>
        <i/>
        <color theme="1"/>
      </rPr>
      <t>full mag</t>
    </r>
  </si>
  <si>
    <r>
      <rPr>
        <rFont val="Arial"/>
        <color theme="1"/>
      </rPr>
      <t xml:space="preserve">Fists of Havoc
</t>
    </r>
    <r>
      <rPr>
        <rFont val="Arial"/>
        <i/>
        <color theme="1"/>
      </rPr>
      <t>light heavy cycle, Biotic Enhancements</t>
    </r>
  </si>
  <si>
    <r>
      <rPr>
        <rFont val="Arial"/>
        <color theme="1"/>
      </rPr>
      <t xml:space="preserve">Bladefury
</t>
    </r>
    <r>
      <rPr>
        <rFont val="Arial"/>
        <i/>
        <color theme="1"/>
      </rPr>
      <t>HLLLHLLLLHLLLHL, Banner of War, Biotic Enhancements, Thread of Continuity</t>
    </r>
  </si>
  <si>
    <r>
      <rPr>
        <rFont val="Arial"/>
        <color theme="1"/>
      </rPr>
      <t xml:space="preserve">Adaptive rocket launcher
</t>
    </r>
    <r>
      <rPr>
        <rFont val="Arial"/>
        <i/>
        <color theme="1"/>
      </rPr>
      <t>Bait and Switch (Apex Predator), Pack Hunter, Reconstruction start, 2 shots</t>
    </r>
  </si>
  <si>
    <r>
      <rPr>
        <rFont val="Arial"/>
        <color theme="1"/>
      </rPr>
      <t xml:space="preserve">Pinpoint slug shotgun
</t>
    </r>
    <r>
      <rPr>
        <rFont val="Arial"/>
        <i/>
        <color theme="1"/>
      </rPr>
      <t>Frenzy (Sojourner's Tale), 1 shot</t>
    </r>
  </si>
  <si>
    <r>
      <rPr>
        <rFont val="Arial"/>
        <color theme="1"/>
      </rPr>
      <t xml:space="preserve">Rapid-fire shotgun
</t>
    </r>
    <r>
      <rPr>
        <rFont val="Arial"/>
        <i/>
        <color theme="1"/>
      </rPr>
      <t>body, Cascade Point (IKELOS_SG_V1.0.3), 8 shots</t>
    </r>
  </si>
  <si>
    <r>
      <rPr>
        <rFont val="Arial"/>
        <color rgb="FF181A1B"/>
      </rPr>
      <t xml:space="preserve">Sentinel Shield
</t>
    </r>
    <r>
      <rPr>
        <rFont val="Arial"/>
        <i/>
        <color rgb="FF181A1B"/>
      </rPr>
      <t>Biotic Enhancements, Controlled Demolition, aerial lights</t>
    </r>
  </si>
  <si>
    <r>
      <rPr>
        <rFont val="Arial"/>
        <color theme="1"/>
      </rPr>
      <t xml:space="preserve">Rapid-fire shotgun
</t>
    </r>
    <r>
      <rPr>
        <rFont val="Arial"/>
        <i/>
        <color theme="1"/>
      </rPr>
      <t>body, e. Surrounded (IKELOS_SG_V1.0.3), 8 shots</t>
    </r>
  </si>
  <si>
    <r>
      <rPr>
        <rFont val="Arial"/>
        <color theme="1"/>
      </rPr>
      <t xml:space="preserve">Eriana's Vow
</t>
    </r>
    <r>
      <rPr>
        <rFont val="Arial"/>
        <i/>
        <color theme="1"/>
      </rPr>
      <t>1 mag, Illegally Modded Holster</t>
    </r>
  </si>
  <si>
    <r>
      <rPr>
        <rFont val="Arial"/>
        <color rgb="FF181A1B"/>
      </rPr>
      <t xml:space="preserve">Choir of One
</t>
    </r>
    <r>
      <rPr>
        <rFont val="Arial"/>
        <i/>
        <color rgb="FF181A1B"/>
      </rPr>
      <t>projectile mode, one mag, no reload</t>
    </r>
  </si>
  <si>
    <r>
      <rPr>
        <rFont val="Arial"/>
        <color theme="1"/>
      </rPr>
      <t xml:space="preserve">Winter's Wrath
</t>
    </r>
    <r>
      <rPr>
        <rFont val="Arial"/>
        <i/>
        <color theme="1"/>
      </rPr>
      <t>Feast of Light x6, light-heavy cycle, Facet of Ruin</t>
    </r>
  </si>
  <si>
    <r>
      <rPr>
        <rFont val="Arial"/>
        <color theme="1"/>
      </rPr>
      <t xml:space="preserve">Grapple melee
</t>
    </r>
    <r>
      <rPr>
        <rFont val="Arial"/>
        <i/>
        <color theme="1"/>
      </rPr>
      <t>One-Two Punch</t>
    </r>
  </si>
  <si>
    <r>
      <rPr>
        <rFont val="Arial"/>
        <color theme="1"/>
      </rPr>
      <t xml:space="preserve">Bequest
</t>
    </r>
    <r>
      <rPr>
        <rFont val="Arial"/>
        <i/>
        <color theme="1"/>
      </rPr>
      <t>heavy attack, Jagged Edge, En Garde, Pack Hunter</t>
    </r>
  </si>
  <si>
    <r>
      <rPr>
        <rFont val="Arial"/>
        <color theme="1"/>
      </rPr>
      <t xml:space="preserve">Malfeasance
</t>
    </r>
    <r>
      <rPr>
        <rFont val="Arial"/>
        <i/>
        <color theme="1"/>
      </rPr>
      <t>17 shot burst, blighted, Illegally Modded Holster</t>
    </r>
  </si>
  <si>
    <r>
      <rPr>
        <rFont val="Arial"/>
        <color rgb="FF181A1B"/>
      </rPr>
      <t xml:space="preserve">Bladefury
</t>
    </r>
    <r>
      <rPr>
        <rFont val="Arial"/>
        <i/>
        <color rgb="FF181A1B"/>
      </rPr>
      <t>HLLLLL, Banner of War, Biotic Enhancements, Thread of Continuity</t>
    </r>
  </si>
  <si>
    <r>
      <rPr>
        <rFont val="Arial"/>
        <color theme="1"/>
      </rPr>
      <t xml:space="preserve">Winter's Wrath
</t>
    </r>
    <r>
      <rPr>
        <rFont val="Arial"/>
        <i/>
        <color theme="1"/>
      </rPr>
      <t>Feast of Light x6, light-heavy cancel cycle, Facet of Ruin</t>
    </r>
  </si>
  <si>
    <r>
      <rPr>
        <rFont val="Arial"/>
        <color theme="1"/>
      </rPr>
      <t xml:space="preserve">Shadowshot: Moebius Quiver
</t>
    </r>
    <r>
      <rPr>
        <rFont val="Arial"/>
        <i/>
        <color theme="1"/>
      </rPr>
      <t>Orpheus Rig, all 3 volleys, assumes no other debuff</t>
    </r>
  </si>
  <si>
    <r>
      <rPr>
        <rFont val="Arial"/>
        <color theme="1"/>
      </rPr>
      <t xml:space="preserve">Magnetic grenade
</t>
    </r>
    <r>
      <rPr>
        <rFont val="Arial"/>
        <i/>
        <color theme="1"/>
      </rPr>
      <t>Chaos Accelerant</t>
    </r>
  </si>
  <si>
    <r>
      <rPr>
        <rFont val="Arial"/>
        <color theme="1"/>
      </rPr>
      <t xml:space="preserve">Lightning Surge
</t>
    </r>
    <r>
      <rPr>
        <rFont val="Arial"/>
        <i/>
        <color theme="1"/>
      </rPr>
      <t>Biotic Enhancements, Facet of Courage</t>
    </r>
  </si>
  <si>
    <r>
      <rPr>
        <rFont val="Arial"/>
        <color rgb="FF181A1B"/>
      </rPr>
      <t xml:space="preserve">Hawkmoon
</t>
    </r>
    <r>
      <rPr>
        <rFont val="Arial"/>
        <i/>
        <color rgb="FF181A1B"/>
      </rPr>
      <t>primed with 3 heavy burst HC bursts, 9 shots, Paracausal Shot, Illegally Modded Holster</t>
    </r>
  </si>
  <si>
    <r>
      <rPr>
        <rFont val="Arial"/>
        <color theme="1"/>
      </rPr>
      <t xml:space="preserve">Heavy burst hand cannon
</t>
    </r>
    <r>
      <rPr>
        <rFont val="Arial"/>
        <i/>
        <color theme="1"/>
      </rPr>
      <t>e. Precision Instrument (Agape), 13 bursts, Illegally Modded Holster</t>
    </r>
  </si>
  <si>
    <r>
      <rPr>
        <rFont val="Arial"/>
        <color theme="1"/>
      </rPr>
      <t xml:space="preserve">Silkstrike
</t>
    </r>
    <r>
      <rPr>
        <rFont val="Arial"/>
        <i/>
        <color theme="1"/>
      </rPr>
      <t>light attack spam, Feast of Light x6</t>
    </r>
  </si>
  <si>
    <r>
      <rPr>
        <rFont val="Arial"/>
        <color theme="1"/>
      </rPr>
      <t xml:space="preserve">Thundercrash
</t>
    </r>
    <r>
      <rPr>
        <rFont val="Arial"/>
        <i/>
        <color theme="1"/>
      </rPr>
      <t>Facet of Courage</t>
    </r>
  </si>
  <si>
    <r>
      <rPr>
        <rFont val="Arial"/>
        <color theme="1"/>
      </rPr>
      <t xml:space="preserve">Micro-missile grenade launcher
</t>
    </r>
    <r>
      <rPr>
        <rFont val="Arial"/>
        <i/>
        <color theme="1"/>
      </rPr>
      <t>Implosion Rounds, Elemental Honing x5 (Theodolite), 1 shot</t>
    </r>
  </si>
  <si>
    <r>
      <rPr>
        <rFont val="Arial"/>
        <color theme="1"/>
      </rPr>
      <t xml:space="preserve">Aggressive sniper
</t>
    </r>
    <r>
      <rPr>
        <rFont val="Arial"/>
        <i/>
        <color theme="1"/>
      </rPr>
      <t>Firing Line (Occluded Finality), 1 shot</t>
    </r>
  </si>
  <si>
    <r>
      <rPr>
        <rFont val="Arial"/>
        <color rgb="FF181A1B"/>
      </rPr>
      <t xml:space="preserve">Hawkmoon
</t>
    </r>
    <r>
      <rPr>
        <rFont val="Arial"/>
        <i/>
        <color rgb="FF181A1B"/>
      </rPr>
      <t>9 shots, Paracausal Shot, Illegally Modded Holster</t>
    </r>
  </si>
  <si>
    <r>
      <rPr>
        <rFont val="Arial"/>
        <color theme="1"/>
      </rPr>
      <t>Song of Flame</t>
    </r>
    <r>
      <rPr>
        <rFont val="Arial"/>
        <color theme="1"/>
        <u/>
      </rPr>
      <t xml:space="preserve">
</t>
    </r>
    <r>
      <rPr>
        <rFont val="Arial"/>
        <i/>
        <color theme="1"/>
      </rPr>
      <t>Feast of Light x6, wisp/snap cycling, Facet of Courage</t>
    </r>
  </si>
  <si>
    <r>
      <rPr>
        <rFont val="Arial"/>
        <color theme="1"/>
      </rPr>
      <t xml:space="preserve">Lightweight shotgun
</t>
    </r>
    <r>
      <rPr>
        <rFont val="Arial"/>
        <i/>
        <color theme="1"/>
      </rPr>
      <t>body, Vorpal Weapon (Xenoclast IV), 1 shot</t>
    </r>
  </si>
  <si>
    <r>
      <rPr>
        <rFont val="Arial"/>
        <color theme="1"/>
      </rPr>
      <t xml:space="preserve">Stormtrance
</t>
    </r>
    <r>
      <rPr>
        <rFont val="Arial"/>
        <i/>
        <color theme="1"/>
      </rPr>
      <t>Feast of Light x6, Facet of Courage</t>
    </r>
  </si>
  <si>
    <r>
      <rPr>
        <rFont val="Arial"/>
        <color theme="1"/>
      </rPr>
      <t xml:space="preserve">Still Hunt
</t>
    </r>
    <r>
      <rPr>
        <rFont val="Arial"/>
        <i/>
        <color theme="1"/>
      </rPr>
      <t>Cayde's Retribution</t>
    </r>
  </si>
  <si>
    <r>
      <rPr>
        <rFont val="Arial"/>
        <color theme="1"/>
      </rPr>
      <t xml:space="preserve">Spectral Blades
</t>
    </r>
    <r>
      <rPr>
        <rFont val="Arial"/>
        <i/>
        <color theme="1"/>
      </rPr>
      <t>light attack spam, Feast of Light x6</t>
    </r>
  </si>
  <si>
    <r>
      <rPr>
        <rFont val="Arial"/>
        <color theme="1"/>
      </rPr>
      <t xml:space="preserve">Burning Maul
</t>
    </r>
    <r>
      <rPr>
        <rFont val="Arial"/>
        <i/>
        <color theme="1"/>
      </rPr>
      <t>heavy attacks, Roaring Flames x3, Sol Invictus, Ember of Ashes, Biotic Enhancements</t>
    </r>
  </si>
  <si>
    <r>
      <rPr>
        <rFont val="Arial"/>
        <color theme="1"/>
      </rPr>
      <t xml:space="preserve">Adaptive rocket launcher
</t>
    </r>
    <r>
      <rPr>
        <rFont val="Arial"/>
        <i/>
        <color theme="1"/>
      </rPr>
      <t>Bait and Switch (Apex Predator), Pack Hunter, 1 shot</t>
    </r>
  </si>
  <si>
    <r>
      <rPr>
        <rFont val="Arial"/>
        <color theme="1"/>
      </rPr>
      <t xml:space="preserve">Thermite grenade
</t>
    </r>
    <r>
      <rPr>
        <rFont val="Arial"/>
        <i/>
        <color theme="1"/>
      </rPr>
      <t>Ember of Ashes</t>
    </r>
  </si>
  <si>
    <r>
      <rPr>
        <rFont val="Arial"/>
        <color theme="1"/>
      </rPr>
      <t xml:space="preserve">Arc Staff
</t>
    </r>
    <r>
      <rPr>
        <rFont val="Arial"/>
        <i/>
        <color theme="1"/>
      </rPr>
      <t>Raiden Flux</t>
    </r>
  </si>
  <si>
    <r>
      <rPr>
        <rFont val="Arial"/>
        <color theme="1"/>
      </rPr>
      <t xml:space="preserve">Malfeasance
</t>
    </r>
    <r>
      <rPr>
        <rFont val="Arial"/>
        <i/>
        <color theme="1"/>
      </rPr>
      <t>17 shot burst, Illegally Modded Holster</t>
    </r>
  </si>
  <si>
    <r>
      <rPr>
        <rFont val="Arial"/>
        <color theme="1"/>
      </rPr>
      <t xml:space="preserve">Rapid-fire slug shotgun
</t>
    </r>
    <r>
      <rPr>
        <rFont val="Arial"/>
        <i/>
        <color theme="1"/>
      </rPr>
      <t>e. Precision Instrument (Trachinus), 8 shots</t>
    </r>
  </si>
  <si>
    <r>
      <rPr>
        <rFont val="Arial"/>
        <color theme="1"/>
      </rPr>
      <t>Song of Flame</t>
    </r>
    <r>
      <rPr>
        <rFont val="Arial"/>
        <color theme="1"/>
        <u/>
      </rPr>
      <t xml:space="preserve">
</t>
    </r>
    <r>
      <rPr>
        <rFont val="Arial"/>
        <i/>
        <color theme="1"/>
      </rPr>
      <t>Claws of Ahamkara + Necrotic Grip, snap spam, Facet of Courage</t>
    </r>
  </si>
  <si>
    <r>
      <rPr>
        <rFont val="Arial"/>
        <color theme="1"/>
      </rPr>
      <t xml:space="preserve">Winter's Wrath
</t>
    </r>
    <r>
      <rPr>
        <rFont val="Arial"/>
        <i/>
        <color theme="1"/>
      </rPr>
      <t>Ballidorse Wrathweavers, light-heavy cancel cycle, Whisper of Fissures</t>
    </r>
  </si>
  <si>
    <r>
      <rPr>
        <rFont val="Arial"/>
        <color theme="1"/>
      </rPr>
      <t xml:space="preserve">Caster sword
</t>
    </r>
    <r>
      <rPr>
        <rFont val="Arial"/>
        <i/>
        <color theme="1"/>
      </rPr>
      <t>heavy attack, Jagged Edge, En Garde (Ill Omen), Pack Hunter</t>
    </r>
  </si>
  <si>
    <r>
      <rPr>
        <rFont val="Arial"/>
        <color theme="1"/>
      </rPr>
      <t xml:space="preserve">Winter's Wrath
</t>
    </r>
    <r>
      <rPr>
        <rFont val="Arial"/>
        <i/>
        <color theme="1"/>
      </rPr>
      <t>Ballidorse Wrathweavers, light-heavy cycle, Whisper of Fissures</t>
    </r>
  </si>
  <si>
    <r>
      <rPr>
        <rFont val="Arial"/>
        <color theme="1"/>
      </rPr>
      <t xml:space="preserve">Fists of Havoc
</t>
    </r>
    <r>
      <rPr>
        <rFont val="Arial"/>
        <i/>
        <color theme="1"/>
      </rPr>
      <t>heavy attacks, Biotic Enhancements</t>
    </r>
  </si>
  <si>
    <r>
      <rPr>
        <rFont val="Arial"/>
        <color theme="1"/>
      </rPr>
      <t xml:space="preserve">Precision hand cannon
</t>
    </r>
    <r>
      <rPr>
        <rFont val="Arial"/>
        <i/>
        <color theme="1"/>
      </rPr>
      <t>17 shot burst, e. Precision Instrument (Sightline Survey), Illegally Modded Holster</t>
    </r>
  </si>
  <si>
    <r>
      <rPr>
        <rFont val="Arial"/>
        <color theme="1"/>
      </rPr>
      <t xml:space="preserve">Exodus Rockets
</t>
    </r>
    <r>
      <rPr>
        <rFont val="Arial"/>
        <i/>
        <color theme="1"/>
      </rPr>
      <t>one volley, Thruster</t>
    </r>
  </si>
  <si>
    <r>
      <rPr>
        <rFont val="Arial"/>
        <color theme="1"/>
      </rPr>
      <t xml:space="preserve">Crimson
</t>
    </r>
    <r>
      <rPr>
        <rFont val="Arial"/>
        <i/>
        <color theme="1"/>
      </rPr>
      <t>1 mag, Illegally Modded Holster</t>
    </r>
  </si>
  <si>
    <r>
      <rPr>
        <rFont val="Arial"/>
        <color rgb="FF181A1B"/>
      </rPr>
      <t xml:space="preserve">Sentinel Shield
</t>
    </r>
    <r>
      <rPr>
        <rFont val="Arial"/>
        <i/>
        <color rgb="FF181A1B"/>
      </rPr>
      <t>Biotic Enhancements, Controlled Demolition, grounded spam</t>
    </r>
  </si>
  <si>
    <r>
      <rPr>
        <rFont val="Arial"/>
        <color theme="1"/>
      </rPr>
      <t xml:space="preserve">Tessellation
</t>
    </r>
    <r>
      <rPr>
        <rFont val="Arial"/>
        <i/>
        <color theme="1"/>
      </rPr>
      <t>Property: Irreducible, includes re-proc time, Transcendent but excludes 5%</t>
    </r>
  </si>
  <si>
    <r>
      <rPr>
        <rFont val="Arial"/>
        <color rgb="FF181A1B"/>
      </rPr>
      <t xml:space="preserve">Choir of One
</t>
    </r>
    <r>
      <rPr>
        <rFont val="Arial"/>
        <i/>
        <color rgb="FF181A1B"/>
      </rPr>
      <t>projectile mode, one mag, reload</t>
    </r>
  </si>
  <si>
    <r>
      <rPr>
        <rFont val="Arial"/>
        <color theme="1"/>
      </rPr>
      <t xml:space="preserve">Scatter grenade
</t>
    </r>
    <r>
      <rPr>
        <rFont val="Arial"/>
        <i/>
        <color theme="1"/>
      </rPr>
      <t>Chaos Accelerant</t>
    </r>
  </si>
  <si>
    <r>
      <rPr>
        <rFont val="Arial"/>
        <color theme="1"/>
      </rPr>
      <t xml:space="preserve">Solar grenade
</t>
    </r>
    <r>
      <rPr>
        <rFont val="Arial"/>
        <i/>
        <color theme="1"/>
      </rPr>
      <t>four grenades, melee kill included, Sunbracers, Touch of Flame, Ember of Ashes</t>
    </r>
  </si>
  <si>
    <r>
      <rPr>
        <rFont val="Arial"/>
        <color theme="1"/>
      </rPr>
      <t xml:space="preserve">Gathering Storm
</t>
    </r>
    <r>
      <rPr>
        <rFont val="Arial"/>
        <i/>
        <color theme="1"/>
      </rPr>
      <t>Feast of Light x6</t>
    </r>
  </si>
  <si>
    <r>
      <rPr>
        <rFont val="Arial"/>
        <color theme="1"/>
      </rPr>
      <t xml:space="preserve">Final Warning
</t>
    </r>
    <r>
      <rPr>
        <rFont val="Arial"/>
        <i/>
        <color theme="1"/>
      </rPr>
      <t>15 shot half charge auto into tap fire burst, catalyst</t>
    </r>
  </si>
  <si>
    <r>
      <rPr>
        <rFont val="Arial"/>
        <color theme="1"/>
      </rPr>
      <t xml:space="preserve">Burning Maul
</t>
    </r>
    <r>
      <rPr>
        <rFont val="Arial"/>
        <i/>
        <color theme="1"/>
      </rPr>
      <t>Pyrogale Gauntlets, Roaring Flames x3, Sol Invictus</t>
    </r>
  </si>
  <si>
    <r>
      <rPr>
        <rFont val="Arial"/>
        <color theme="1"/>
      </rPr>
      <t xml:space="preserve">Gjallarhorn
</t>
    </r>
    <r>
      <rPr>
        <rFont val="Arial"/>
        <i/>
        <color theme="1"/>
      </rPr>
      <t>2 shots</t>
    </r>
  </si>
  <si>
    <r>
      <rPr>
        <rFont val="Arial"/>
        <color theme="1"/>
      </rPr>
      <t xml:space="preserve">Tripmine grenade
</t>
    </r>
    <r>
      <rPr>
        <rFont val="Arial"/>
        <i/>
        <color theme="1"/>
      </rPr>
      <t>Young Ahamkara's Spine, Ember of Ashes</t>
    </r>
  </si>
  <si>
    <r>
      <rPr>
        <rFont val="Arial"/>
        <color theme="1"/>
      </rPr>
      <t xml:space="preserve">Whirling Ovation
</t>
    </r>
    <r>
      <rPr>
        <rFont val="Arial"/>
        <i/>
        <color theme="1"/>
      </rPr>
      <t>no Anticipation</t>
    </r>
  </si>
  <si>
    <r>
      <rPr>
        <rFont val="Arial"/>
        <color theme="1"/>
      </rPr>
      <t xml:space="preserve">Rapid-fire sniper
</t>
    </r>
    <r>
      <rPr>
        <rFont val="Arial"/>
        <i/>
        <color theme="1"/>
      </rPr>
      <t>e. Kinetic Tremors + Elemental Honing x5 (Praedyth's Revenge), 2 shots</t>
    </r>
  </si>
  <si>
    <r>
      <rPr>
        <rFont val="Arial"/>
        <color theme="1"/>
      </rPr>
      <t xml:space="preserve">Hammer of Sol
</t>
    </r>
    <r>
      <rPr>
        <rFont val="Arial"/>
        <i/>
        <color theme="1"/>
      </rPr>
      <t>Roaring Flames x3, Sol Invictus, Ember of Ashes, Biotic Enhancements</t>
    </r>
  </si>
  <si>
    <r>
      <rPr>
        <rFont val="Arial"/>
        <color theme="1"/>
      </rPr>
      <t xml:space="preserve">Twilight Arsenal
</t>
    </r>
    <r>
      <rPr>
        <rFont val="Arial"/>
        <i/>
        <color theme="1"/>
      </rPr>
      <t>axe heavy attack</t>
    </r>
  </si>
  <si>
    <t>Flux grenade</t>
  </si>
  <si>
    <r>
      <rPr>
        <rFont val="Arial"/>
        <color theme="1"/>
      </rPr>
      <t xml:space="preserve">Rapid-fire fusion
</t>
    </r>
    <r>
      <rPr>
        <rFont val="Arial"/>
        <i/>
        <color theme="1"/>
      </rPr>
      <t>Charge MW, Accelerated Coils, Vorpal Weapon (Cartesian Coordinate), 1 shot</t>
    </r>
  </si>
  <si>
    <t>Scatter grenade</t>
  </si>
  <si>
    <r>
      <rPr>
        <rFont val="Arial"/>
        <color theme="1"/>
      </rPr>
      <t xml:space="preserve">Gjallarhorn
</t>
    </r>
    <r>
      <rPr>
        <rFont val="Arial"/>
        <i/>
        <color theme="1"/>
      </rPr>
      <t>1 shot</t>
    </r>
  </si>
  <si>
    <r>
      <rPr>
        <rFont val="Arial"/>
        <color theme="1"/>
      </rPr>
      <t xml:space="preserve">Incinerator Snap
</t>
    </r>
    <r>
      <rPr>
        <rFont val="Arial"/>
        <i/>
        <color theme="1"/>
      </rPr>
      <t>Ember of Ashes</t>
    </r>
  </si>
  <si>
    <r>
      <rPr>
        <rFont val="Arial"/>
        <color rgb="FF181A1B"/>
      </rPr>
      <t xml:space="preserve">Axion Bolt
</t>
    </r>
    <r>
      <rPr>
        <rFont val="Arial"/>
        <i/>
        <color rgb="FF181A1B"/>
      </rPr>
      <t>Chaos Accelerant</t>
    </r>
  </si>
  <si>
    <r>
      <rPr>
        <rFont val="Arial"/>
        <color theme="1"/>
      </rPr>
      <t xml:space="preserve">Electrified Snare
</t>
    </r>
    <r>
      <rPr>
        <rFont val="Arial"/>
        <i/>
        <color theme="1"/>
      </rPr>
      <t>Facet of Courage</t>
    </r>
  </si>
  <si>
    <r>
      <rPr>
        <rFont val="Arial"/>
        <color theme="1"/>
      </rPr>
      <t>Song of Flame</t>
    </r>
    <r>
      <rPr>
        <rFont val="Arial"/>
        <color theme="1"/>
        <u/>
      </rPr>
      <t xml:space="preserve">
</t>
    </r>
    <r>
      <rPr>
        <rFont val="Arial"/>
        <i/>
        <color theme="1"/>
      </rPr>
      <t>snap spam</t>
    </r>
  </si>
  <si>
    <r>
      <rPr>
        <rFont val="Arial"/>
        <color theme="1"/>
      </rPr>
      <t xml:space="preserve">Fusion grenade
</t>
    </r>
    <r>
      <rPr>
        <rFont val="Arial"/>
        <i/>
        <color theme="1"/>
      </rPr>
      <t>Touch of Flame, Ember of Ashes</t>
    </r>
  </si>
  <si>
    <r>
      <rPr>
        <rFont val="Arial"/>
        <color theme="1"/>
      </rPr>
      <t xml:space="preserve">Threadling grenade
</t>
    </r>
    <r>
      <rPr>
        <rFont val="Arial"/>
        <i/>
        <color theme="1"/>
      </rPr>
      <t>Thread of Evolution</t>
    </r>
  </si>
  <si>
    <r>
      <rPr>
        <rFont val="Arial"/>
        <color theme="1"/>
      </rPr>
      <t xml:space="preserve">Throwing Hammer
</t>
    </r>
    <r>
      <rPr>
        <rFont val="Arial"/>
        <i/>
        <color theme="1"/>
      </rPr>
      <t>Roaring Flames x3, Biotic Enhancements</t>
    </r>
  </si>
  <si>
    <r>
      <rPr>
        <rFont val="Arial"/>
        <color theme="1"/>
      </rPr>
      <t xml:space="preserve">Cloudstrike
</t>
    </r>
    <r>
      <rPr>
        <rFont val="Arial"/>
        <i/>
        <color theme="1"/>
      </rPr>
      <t>3 shots</t>
    </r>
  </si>
  <si>
    <r>
      <rPr>
        <rFont val="Arial"/>
        <color theme="1"/>
      </rPr>
      <t xml:space="preserve">Silence and Squall
</t>
    </r>
    <r>
      <rPr>
        <rFont val="Arial"/>
        <i/>
        <color theme="1"/>
      </rPr>
      <t>Feast of Light x6, Facet of Ruin</t>
    </r>
  </si>
  <si>
    <r>
      <rPr>
        <rFont val="Arial"/>
        <color theme="1"/>
      </rPr>
      <t xml:space="preserve">Tripmine grenade
</t>
    </r>
    <r>
      <rPr>
        <rFont val="Arial"/>
        <i/>
        <color theme="1"/>
      </rPr>
      <t>Ember of Ashes</t>
    </r>
  </si>
  <si>
    <r>
      <rPr>
        <rFont val="Arial"/>
        <color theme="1"/>
      </rPr>
      <t xml:space="preserve">Silence and Squall
</t>
    </r>
    <r>
      <rPr>
        <rFont val="Arial"/>
        <i/>
        <color theme="1"/>
      </rPr>
      <t>Whisper of Fissures, Whisper of Durance, Feast of Light x6</t>
    </r>
  </si>
  <si>
    <t>Threadling grenade</t>
  </si>
  <si>
    <r>
      <rPr>
        <rFont val="Arial"/>
        <color theme="1"/>
      </rPr>
      <t xml:space="preserve">Twilight Arsenal
</t>
    </r>
    <r>
      <rPr>
        <rFont val="Arial"/>
        <i/>
        <color theme="1"/>
      </rPr>
      <t>axe light attack spam</t>
    </r>
  </si>
  <si>
    <r>
      <rPr>
        <rFont val="Arial"/>
        <color theme="1"/>
      </rPr>
      <t xml:space="preserve">Pulse grenade
</t>
    </r>
    <r>
      <rPr>
        <rFont val="Arial"/>
        <i/>
        <color theme="1"/>
      </rPr>
      <t>Touch of Thunder, Spark of Magnitude</t>
    </r>
    <r>
      <rPr>
        <rFont val="Arial"/>
        <i/>
        <color rgb="FF181A1B"/>
      </rPr>
      <t>, Empowered Grenade x2</t>
    </r>
  </si>
  <si>
    <r>
      <rPr>
        <rFont val="Arial"/>
        <color theme="1"/>
      </rPr>
      <t xml:space="preserve">Dragon's Breath
</t>
    </r>
    <r>
      <rPr>
        <rFont val="Arial"/>
        <i/>
        <color theme="1"/>
      </rPr>
      <t>Ember of Ashes</t>
    </r>
  </si>
  <si>
    <r>
      <rPr>
        <rFont val="Arial"/>
        <color theme="1"/>
      </rPr>
      <t xml:space="preserve">Void wall
</t>
    </r>
    <r>
      <rPr>
        <rFont val="Arial"/>
        <i/>
        <color theme="1"/>
      </rPr>
      <t>Echo of Remnants</t>
    </r>
  </si>
  <si>
    <r>
      <rPr>
        <rFont val="Arial"/>
        <color rgb="FF181A1B"/>
      </rPr>
      <t xml:space="preserve">Finality's Auger
</t>
    </r>
    <r>
      <rPr>
        <rFont val="Arial"/>
        <i/>
        <color rgb="FF181A1B"/>
      </rPr>
      <t>assumes pre-loaded turret, painted target, Bait and Switch, Ruinscribe Turret Mode</t>
    </r>
  </si>
  <si>
    <r>
      <rPr>
        <rFont val="Arial"/>
        <color theme="1"/>
      </rPr>
      <t xml:space="preserve">Silence and Squall
</t>
    </r>
    <r>
      <rPr>
        <rFont val="Arial"/>
        <i/>
        <color theme="1"/>
      </rPr>
      <t>Facet of Ruin</t>
    </r>
  </si>
  <si>
    <r>
      <rPr>
        <rFont val="Arial"/>
        <color theme="1"/>
      </rPr>
      <t xml:space="preserve">Anarchy
</t>
    </r>
    <r>
      <rPr>
        <rFont val="Arial"/>
        <i/>
        <color theme="1"/>
      </rPr>
      <t>two traps</t>
    </r>
  </si>
  <si>
    <r>
      <rPr>
        <rFont val="Arial"/>
        <color theme="1"/>
      </rPr>
      <t xml:space="preserve">Silence and Squall
</t>
    </r>
    <r>
      <rPr>
        <rFont val="Arial"/>
        <i/>
        <color theme="1"/>
      </rPr>
      <t>Whisper of Fissures, Whisper of Durance</t>
    </r>
  </si>
  <si>
    <r>
      <rPr>
        <rFont val="Arial"/>
        <color theme="1"/>
      </rPr>
      <t xml:space="preserve">Pulse grenade
</t>
    </r>
    <r>
      <rPr>
        <rFont val="Arial"/>
        <i/>
        <color theme="1"/>
      </rPr>
      <t>Facet of Courage</t>
    </r>
  </si>
  <si>
    <r>
      <rPr>
        <rFont val="Arial"/>
        <color rgb="FF181A1B"/>
      </rPr>
      <t xml:space="preserve">High-impact bow
</t>
    </r>
    <r>
      <rPr>
        <rFont val="Arial"/>
        <i/>
        <color rgb="FF181A1B"/>
      </rPr>
      <t>Charged Bolts, e. Aggregate Charge (Submersion), Guidance Ring x3</t>
    </r>
  </si>
  <si>
    <r>
      <rPr>
        <rFont val="Arial"/>
        <color theme="1"/>
      </rPr>
      <t xml:space="preserve">Storm grenade
</t>
    </r>
    <r>
      <rPr>
        <rFont val="Arial"/>
        <i/>
        <color theme="1"/>
      </rPr>
      <t>Touch of Thunder, Spark of Magnitude, Empowered Grenade x2</t>
    </r>
  </si>
  <si>
    <r>
      <rPr>
        <rFont val="Arial"/>
        <color theme="1"/>
      </rPr>
      <t xml:space="preserve">Vortex grenade
</t>
    </r>
    <r>
      <rPr>
        <rFont val="Arial"/>
        <i/>
        <color theme="1"/>
      </rPr>
      <t>Facet of Courage</t>
    </r>
  </si>
  <si>
    <r>
      <rPr>
        <rFont val="Arial"/>
        <color theme="1"/>
      </rPr>
      <t xml:space="preserve">Solar grenade
</t>
    </r>
    <r>
      <rPr>
        <rFont val="Arial"/>
        <i/>
        <color theme="1"/>
      </rPr>
      <t>Sunbracers, Touch of Flame, Ember of Ashes</t>
    </r>
  </si>
  <si>
    <r>
      <rPr>
        <rFont val="Arial"/>
        <color theme="1"/>
      </rPr>
      <t xml:space="preserve">Hellion
</t>
    </r>
    <r>
      <rPr>
        <rFont val="Arial"/>
        <i/>
        <color theme="1"/>
      </rPr>
      <t>Ember of Ashes</t>
    </r>
  </si>
  <si>
    <r>
      <rPr>
        <rFont val="Arial"/>
        <color theme="1"/>
      </rPr>
      <t xml:space="preserve">Solar grenade
</t>
    </r>
    <r>
      <rPr>
        <rFont val="Arial"/>
        <i/>
        <color theme="1"/>
      </rPr>
      <t>Ember of Ashes</t>
    </r>
  </si>
  <si>
    <r>
      <rPr>
        <rFont val="Arial"/>
        <color rgb="FF181A1B"/>
      </rPr>
      <t xml:space="preserve">High-impact bow
</t>
    </r>
    <r>
      <rPr>
        <rFont val="Arial"/>
        <i/>
        <color rgb="FF181A1B"/>
      </rPr>
      <t>Charged Bolts, e. Aggregate Charge x3 (Submersion)</t>
    </r>
  </si>
  <si>
    <r>
      <rPr>
        <rFont val="Arial"/>
        <color theme="1"/>
      </rPr>
      <t xml:space="preserve">Hailfire Spike
</t>
    </r>
    <r>
      <rPr>
        <rFont val="Arial"/>
        <i/>
        <color theme="1"/>
      </rPr>
      <t>Facet of Courage, Facet of Ruin</t>
    </r>
  </si>
  <si>
    <r>
      <rPr>
        <rFont val="Arial"/>
        <color theme="1"/>
      </rPr>
      <t xml:space="preserve">Area denial grenade launcher
</t>
    </r>
    <r>
      <rPr>
        <rFont val="Arial"/>
        <i/>
        <color theme="1"/>
      </rPr>
      <t>Elemental Honing x5 (Festival Flight), 1 shot</t>
    </r>
  </si>
  <si>
    <r>
      <rPr>
        <rFont val="Arial"/>
        <color theme="1"/>
      </rPr>
      <t xml:space="preserve">Witherhoard
</t>
    </r>
    <r>
      <rPr>
        <rFont val="Arial"/>
        <i/>
        <color theme="1"/>
      </rPr>
      <t>direct impact</t>
    </r>
  </si>
  <si>
    <r>
      <rPr>
        <rFont val="Arial"/>
        <color theme="1"/>
      </rPr>
      <t xml:space="preserve">Freezing Singularity
</t>
    </r>
    <r>
      <rPr>
        <rFont val="Arial"/>
        <i/>
        <color theme="1"/>
      </rPr>
      <t>Facet of Courage, Facet of Ruin</t>
    </r>
  </si>
  <si>
    <r>
      <rPr>
        <rFont val="Arial"/>
        <color theme="1"/>
      </rPr>
      <t xml:space="preserve">Witherhoard
</t>
    </r>
    <r>
      <rPr>
        <rFont val="Arial"/>
        <i/>
        <color theme="1"/>
      </rPr>
      <t>ground</t>
    </r>
  </si>
  <si>
    <r>
      <rPr>
        <rFont val="Arial"/>
        <color theme="1"/>
      </rPr>
      <t xml:space="preserve">Solar grenade
</t>
    </r>
    <r>
      <rPr>
        <rFont val="Arial"/>
        <i/>
        <color theme="1"/>
      </rPr>
      <t>Touch of Flame, Ember of Ashes</t>
    </r>
  </si>
  <si>
    <r>
      <rPr>
        <rFont val="Arial"/>
        <color theme="1"/>
      </rPr>
      <t xml:space="preserve">Storm grenade
</t>
    </r>
    <r>
      <rPr>
        <rFont val="Arial"/>
        <i/>
        <color theme="1"/>
      </rPr>
      <t>Facet of Courage</t>
    </r>
  </si>
  <si>
    <r>
      <rPr>
        <rFont val="Arial"/>
        <color theme="1"/>
      </rPr>
      <t xml:space="preserve">Ergo Sum
</t>
    </r>
    <r>
      <rPr>
        <rFont val="Arial"/>
        <i/>
        <color theme="1"/>
      </rPr>
      <t>caster frame, heavy attack, The Perfect Fifth, Ember of Ashes, Pack Hunter</t>
    </r>
  </si>
  <si>
    <r>
      <rPr>
        <rFont val="Arial"/>
        <b/>
        <color rgb="FFFFFFFF"/>
        <sz val="7.0"/>
      </rPr>
      <t xml:space="preserve">peak
</t>
    </r>
    <r>
      <rPr>
        <rFont val="Arial"/>
        <b/>
        <color rgb="FFFFFFFF"/>
      </rPr>
      <t>Rate</t>
    </r>
  </si>
  <si>
    <r>
      <rPr>
        <rFont val="Arial"/>
        <b/>
        <color rgb="FFFFFFFF"/>
        <sz val="7.0"/>
      </rPr>
      <t>TFS</t>
    </r>
    <r>
      <rPr>
        <rFont val="Arial"/>
        <b/>
        <color rgb="FFFFFFFF"/>
      </rPr>
      <t xml:space="preserve">
Total</t>
    </r>
  </si>
  <si>
    <r>
      <rPr>
        <rFont val="Arial"/>
        <b/>
        <color rgb="FFFFFFFF"/>
        <sz val="7.0"/>
      </rPr>
      <t>TFS</t>
    </r>
    <r>
      <rPr>
        <rFont val="Arial"/>
        <b/>
        <color rgb="FFFFFFFF"/>
      </rPr>
      <t xml:space="preserve">
DPS</t>
    </r>
  </si>
  <si>
    <r>
      <rPr>
        <rFont val="Arial"/>
        <b/>
        <color rgb="FFFFFFFF"/>
        <sz val="7.0"/>
      </rPr>
      <t>diff</t>
    </r>
    <r>
      <rPr>
        <rFont val="Arial"/>
        <b/>
        <color rgb="FFFFFFFF"/>
      </rPr>
      <t xml:space="preserve">
Total</t>
    </r>
  </si>
  <si>
    <r>
      <rPr>
        <rFont val="Arial"/>
        <b/>
        <color rgb="FFFFFFFF"/>
        <sz val="7.0"/>
      </rPr>
      <t>diff</t>
    </r>
    <r>
      <rPr>
        <rFont val="Arial"/>
        <b/>
        <color rgb="FFFFFFFF"/>
      </rPr>
      <t xml:space="preserve">
DPS</t>
    </r>
  </si>
  <si>
    <r>
      <rPr>
        <rFont val="Arial"/>
        <color rgb="FF181A1B"/>
      </rPr>
      <t xml:space="preserve">High-impact bow
</t>
    </r>
    <r>
      <rPr>
        <rFont val="Arial"/>
        <i/>
        <color rgb="FF181A1B"/>
      </rPr>
      <t>Heavy Bolts, Accelerated Assault, Envious Arsenal + High Ground (A Good Shout), Guidance Ring x3, Moebius Quiver, assumes reduction to 75%</t>
    </r>
  </si>
  <si>
    <r>
      <rPr>
        <rFont val="Arial"/>
        <color theme="1"/>
      </rPr>
      <t xml:space="preserve">Leviathan's Breath
</t>
    </r>
    <r>
      <rPr>
        <rFont val="Arial"/>
        <i/>
        <color theme="1"/>
      </rPr>
      <t>Archer's Tempo, Moebius Quiver, Argent Quiver</t>
    </r>
  </si>
  <si>
    <r>
      <rPr>
        <rFont val="Arial"/>
        <color rgb="FF181A1B"/>
      </rPr>
      <t xml:space="preserve">High-impact bow
</t>
    </r>
    <r>
      <rPr>
        <rFont val="Arial"/>
        <i/>
        <color rgb="FF181A1B"/>
      </rPr>
      <t xml:space="preserve">Heavy Bolts, Accelerated Assault, Envious Arsenal + High Ground (A Good Shout), Moebius Quiver, </t>
    </r>
    <r>
      <rPr>
        <rFont val="Arial"/>
        <i/>
        <color theme="1"/>
      </rPr>
      <t>assumes reduction to 75%</t>
    </r>
  </si>
  <si>
    <r>
      <rPr>
        <rFont val="Arial"/>
        <color rgb="FF181A1B"/>
      </rPr>
      <t xml:space="preserve">Adaptive rocket launcher
</t>
    </r>
    <r>
      <rPr>
        <rFont val="Arial"/>
        <i/>
        <color rgb="FF181A1B"/>
      </rPr>
      <t>Timelost Magazine, Cluster Bomb + Elemental Honing x5 (Hezen Vengeance), Pack Hunter</t>
    </r>
    <r>
      <rPr>
        <rFont val="Arial"/>
        <i/>
        <color theme="1"/>
      </rPr>
      <t>, Argent Ordnance, assumes normal clusters, simulates Sentinel Shield reload</t>
    </r>
  </si>
  <si>
    <t>9</t>
  </si>
  <si>
    <r>
      <rPr>
        <rFont val="Arial"/>
        <color theme="1"/>
      </rPr>
      <t>Winterbite</t>
    </r>
    <r>
      <rPr>
        <rFont val="Arial"/>
        <i/>
        <color theme="1"/>
      </rPr>
      <t xml:space="preserve">
</t>
    </r>
    <r>
      <rPr>
        <rFont val="Arial"/>
        <i/>
        <color rgb="FF181A1B"/>
      </rPr>
      <t>melee, 2L1H cancel combo, Combination Blow x3, Triton Vice, excludes shatter damage, No Bell</t>
    </r>
  </si>
  <si>
    <r>
      <rPr>
        <rFont val="Arial"/>
        <color rgb="FF181A1B"/>
      </rPr>
      <t xml:space="preserve">High-impact bow
</t>
    </r>
    <r>
      <rPr>
        <rFont val="Arial"/>
        <i/>
        <color rgb="FF181A1B"/>
      </rPr>
      <t>Heavy Bolts, Accelerated Assault, Envious Arsenal + High Ground (A Good Shout), Guidance Ring x3</t>
    </r>
  </si>
  <si>
    <r>
      <rPr>
        <rFont val="Arial"/>
        <color theme="1"/>
      </rPr>
      <t xml:space="preserve">Aggressive rocket launcher
</t>
    </r>
    <r>
      <rPr>
        <rFont val="Arial"/>
        <i/>
        <color theme="1"/>
      </rPr>
      <t>Slideshot + e. Surrounded (Crux Termination IV), Pack Hunter, Argent Ordnance</t>
    </r>
  </si>
  <si>
    <r>
      <rPr>
        <rFont val="Arial"/>
        <color rgb="FF181A1B"/>
      </rPr>
      <t xml:space="preserve">Adaptive rocket launcher
</t>
    </r>
    <r>
      <rPr>
        <rFont val="Arial"/>
        <i/>
        <color rgb="FF181A1B"/>
      </rPr>
      <t>Timelost Magazine, Cluster Bomb + Elemental Honing x5 (Hezen Vengeance), Pack Hunter</t>
    </r>
    <r>
      <rPr>
        <rFont val="Arial"/>
        <i/>
        <color theme="1"/>
      </rPr>
      <t>, Argent Ordnance, assumes normal clusters</t>
    </r>
  </si>
  <si>
    <r>
      <rPr>
        <rFont val="Arial"/>
        <color rgb="FF181A1B"/>
      </rPr>
      <t xml:space="preserve">Adaptive rocket launcher
</t>
    </r>
    <r>
      <rPr>
        <rFont val="Arial"/>
        <i/>
        <color rgb="FF181A1B"/>
      </rPr>
      <t>Timelost Magazine, Envious Arsenal + Elemental Honing x5 (Hezen Vengeance), Pack Hunter</t>
    </r>
    <r>
      <rPr>
        <rFont val="Arial"/>
        <i/>
        <color theme="1"/>
      </rPr>
      <t>, Argent Ordnance</t>
    </r>
  </si>
  <si>
    <r>
      <rPr>
        <rFont val="Arial"/>
        <color theme="1"/>
      </rPr>
      <t xml:space="preserve">Truth
</t>
    </r>
    <r>
      <rPr>
        <rFont val="Arial"/>
        <i/>
        <color theme="1"/>
      </rPr>
      <t>assumes 30% perk, assume 0.6x fire recovery delay, Argent Ordnance, simulates Sentinel Shield reload</t>
    </r>
  </si>
  <si>
    <t>3-3-3-3-3-3-2</t>
  </si>
  <si>
    <r>
      <rPr>
        <rFont val="Arial"/>
        <color rgb="FF181A1B"/>
      </rPr>
      <t xml:space="preserve">Grapple melee
</t>
    </r>
    <r>
      <rPr>
        <rFont val="Arial"/>
        <i/>
        <color rgb="FF181A1B"/>
      </rPr>
      <t>One-Two Punch, Biotic Enhancements, Combination Blow x3, Facet of Courage, assumes stat buffs become additive with normal buffs</t>
    </r>
  </si>
  <si>
    <r>
      <rPr>
        <rFont val="Arial"/>
        <color rgb="FF181A1B"/>
      </rPr>
      <t xml:space="preserve">High-impact bow
</t>
    </r>
    <r>
      <rPr>
        <rFont val="Arial"/>
        <i/>
        <color rgb="FF181A1B"/>
      </rPr>
      <t>Heavy Bolts, Accelerated Assault, Envious Arsenal + High Ground (A Good Shout)</t>
    </r>
  </si>
  <si>
    <r>
      <rPr>
        <rFont val="Arial"/>
        <color theme="1"/>
      </rPr>
      <t xml:space="preserve">Disruption sniper
</t>
    </r>
    <r>
      <rPr>
        <rFont val="Arial"/>
        <i/>
        <color theme="1"/>
      </rPr>
      <t>Aggregate Charge x3 (Refurbished A499)</t>
    </r>
    <r>
      <rPr>
        <rFont val="Arial"/>
        <i/>
        <color rgb="FF181A1B"/>
      </rPr>
      <t>, Accelerated Assault, Networked Targeting x5, Kinetic Synthesis, Sniper's Meditation, approximate</t>
    </r>
  </si>
  <si>
    <r>
      <rPr>
        <rFont val="Arial"/>
        <color theme="1"/>
      </rPr>
      <t xml:space="preserve">Adaptive rocket launcher
</t>
    </r>
    <r>
      <rPr>
        <rFont val="Arial"/>
        <i/>
        <color theme="1"/>
      </rPr>
      <t>Clown Cartridge + Elemental Honing x5 (The When and Where), Pack Hunter, Argent Ordnance</t>
    </r>
  </si>
  <si>
    <r>
      <rPr>
        <rFont val="Arial"/>
        <color theme="1"/>
      </rPr>
      <t xml:space="preserve">Pinpoint slug shotgun
</t>
    </r>
    <r>
      <rPr>
        <rFont val="Arial"/>
        <i/>
        <color theme="1"/>
      </rPr>
      <t>Assault Mag, e. Redirection x30 + Elemental Honing x5 (Unvoiced), reload cancelling</t>
    </r>
  </si>
  <si>
    <r>
      <rPr>
        <rFont val="Arial"/>
        <color rgb="FF181A1B"/>
      </rPr>
      <t xml:space="preserve">High-impact rocket launcher
</t>
    </r>
    <r>
      <rPr>
        <rFont val="Arial"/>
        <i/>
        <color rgb="FF181A1B"/>
      </rPr>
      <t>Envious Arsenal + Bait and Switch (Tomorrow's Answer), Pack Hunter, Argent Ordnance</t>
    </r>
  </si>
  <si>
    <r>
      <rPr>
        <rFont val="Arial"/>
        <color rgb="FF181A1B"/>
      </rPr>
      <t xml:space="preserve">Throwing Hammer
</t>
    </r>
    <r>
      <rPr>
        <rFont val="Arial"/>
        <i/>
        <color rgb="FF181A1B"/>
      </rPr>
      <t>One-Two Punch, Biotic Enhancements, Roaring Flames x3, includes &lt;101 Weapons rapid-fire shotgun</t>
    </r>
  </si>
  <si>
    <r>
      <rPr>
        <rFont val="Arial"/>
        <color theme="1"/>
      </rPr>
      <t xml:space="preserve">Ergo Sum
</t>
    </r>
    <r>
      <rPr>
        <rFont val="Arial"/>
        <i/>
        <color theme="1"/>
      </rPr>
      <t>lightweight frame, Unplanned Reprieve, Enduring Blade, 1H2L combo, Lucent Blades x3, Pack Hunter, Transcendent, fireteam scaling, Argent Blade</t>
    </r>
  </si>
  <si>
    <r>
      <rPr>
        <rFont val="Arial"/>
        <color rgb="FF181A1B"/>
      </rPr>
      <t xml:space="preserve">Fusion grenade
</t>
    </r>
    <r>
      <rPr>
        <rFont val="Arial"/>
        <i/>
        <color rgb="FF181A1B"/>
      </rPr>
      <t>Death Throes x5, Touch of Flame, Ember of Ashes, Feel the Flame</t>
    </r>
  </si>
  <si>
    <r>
      <rPr>
        <rFont val="Arial"/>
        <color rgb="FF181A1B"/>
      </rPr>
      <t xml:space="preserve">Flux grenade
</t>
    </r>
    <r>
      <rPr>
        <rFont val="Arial"/>
        <i/>
        <color rgb="FF181A1B"/>
      </rPr>
      <t>Death Throes x5, Feel the Flame</t>
    </r>
  </si>
  <si>
    <r>
      <rPr>
        <rFont val="Arial"/>
        <color rgb="FF181A1B"/>
      </rPr>
      <t xml:space="preserve">Throwing Hammer
</t>
    </r>
    <r>
      <rPr>
        <rFont val="Arial"/>
        <i/>
        <color rgb="FF181A1B"/>
      </rPr>
      <t>Biotic Enhancements, Roaring Flames x3, max range</t>
    </r>
  </si>
  <si>
    <r>
      <rPr>
        <rFont val="Arial"/>
        <color theme="1"/>
      </rPr>
      <t xml:space="preserve">Still Hunt
</t>
    </r>
    <r>
      <rPr>
        <rFont val="Arial"/>
        <i/>
        <color theme="1"/>
      </rPr>
      <t>pre-popped into 6 shot cycle, Celestial Nighthawk, Sniper's Meditation</t>
    </r>
  </si>
  <si>
    <r>
      <rPr>
        <rFont val="Arial"/>
        <color rgb="FF181A1B"/>
      </rPr>
      <t xml:space="preserve">Dynamic sniper - 140RPM special
</t>
    </r>
    <r>
      <rPr>
        <rFont val="Arial"/>
        <i/>
        <color rgb="FF181A1B"/>
      </rPr>
      <t>Ionized Heatsink, Dynamic Heat Limiter, Vorpal + Bait and Switch (Conspiracy Honed), Networked Targeting x5, Sniper's Meditation</t>
    </r>
  </si>
  <si>
    <r>
      <rPr>
        <rFont val="Arial"/>
        <color rgb="FF181A1B"/>
      </rPr>
      <t xml:space="preserve">Wolfsbane
</t>
    </r>
    <r>
      <rPr>
        <rFont val="Arial"/>
        <i/>
        <color rgb="FF181A1B"/>
      </rPr>
      <t>swapping after HLLHLLHLLHLLH, Honed Edge + Jagged Edge, Burning Ambition, 10 lights to regenerate, Argent Blade</t>
    </r>
  </si>
  <si>
    <r>
      <rPr>
        <rFont val="Arial"/>
        <color rgb="FF181A1B"/>
      </rPr>
      <t xml:space="preserve">Praxic Blade
</t>
    </r>
    <r>
      <rPr>
        <rFont val="Arial"/>
        <i/>
        <color rgb="FF181A1B"/>
      </rPr>
      <t xml:space="preserve">throw spam with double hits, Lucent Blades x3, Offensive Form, Forceful Blade III, Gyro Core (solar), </t>
    </r>
    <r>
      <rPr>
        <rFont val="Arial"/>
        <b/>
        <i/>
        <color rgb="FF181A1B"/>
      </rPr>
      <t>simulated</t>
    </r>
  </si>
  <si>
    <r>
      <rPr>
        <rFont val="Arial"/>
        <color rgb="FF181A1B"/>
      </rPr>
      <t xml:space="preserve">Wolfsbane
</t>
    </r>
    <r>
      <rPr>
        <rFont val="Arial"/>
        <i/>
        <color rgb="FF181A1B"/>
      </rPr>
      <t>swapping after HLLHLLHLLHLLH, Honed Edge + Jagged Edge, Burning Ambition, 10 lights to regenerate, Outbreak Perfected max nanites</t>
    </r>
  </si>
  <si>
    <r>
      <rPr>
        <rFont val="Arial"/>
        <color rgb="FF181A1B"/>
      </rPr>
      <t xml:space="preserve">Izanagi's Burden
</t>
    </r>
    <r>
      <rPr>
        <rFont val="Arial"/>
        <i/>
        <color rgb="FF181A1B"/>
      </rPr>
      <t>includes rehone time, hone before rally</t>
    </r>
  </si>
  <si>
    <r>
      <rPr>
        <rFont val="Arial"/>
        <color theme="1"/>
      </rPr>
      <t xml:space="preserve">Ergo Sum
</t>
    </r>
    <r>
      <rPr>
        <rFont val="Arial"/>
        <i/>
        <color theme="1"/>
      </rPr>
      <t>vortex frame, Unplanned Reprieve, Enduring Blade, 1H2L combo, Lucent Blades x3, Pack Hunter, Transcendent, fireteam scaling</t>
    </r>
  </si>
  <si>
    <r>
      <rPr>
        <rFont val="Arial"/>
        <color rgb="FF181A1B"/>
      </rPr>
      <t xml:space="preserve">Aggressive sniper
</t>
    </r>
    <r>
      <rPr>
        <rFont val="Arial"/>
        <i/>
        <color rgb="FF181A1B"/>
      </rPr>
      <t>Extended Mag, Accelerated Assault, Triple Tap + Elemental Honing x5 (Something Something), Networked Targeting x5, Kinetic Synthesis, Sniper's Meditation</t>
    </r>
  </si>
  <si>
    <r>
      <rPr>
        <rFont val="Arial"/>
        <color theme="1"/>
      </rPr>
      <t xml:space="preserve">Legend of Acrius
</t>
    </r>
    <r>
      <rPr>
        <rFont val="Arial"/>
        <i/>
        <color theme="1"/>
      </rPr>
      <t>body, Trench Barrel</t>
    </r>
  </si>
  <si>
    <r>
      <rPr>
        <rFont val="Arial"/>
        <color theme="1"/>
      </rPr>
      <t xml:space="preserve">Truth
</t>
    </r>
    <r>
      <rPr>
        <rFont val="Arial"/>
        <i/>
        <color theme="1"/>
      </rPr>
      <t>assumes 30% perk, assume 0.6x fire recovery delay, Argent Ordnance</t>
    </r>
  </si>
  <si>
    <r>
      <rPr>
        <rFont val="Arial"/>
        <color theme="1"/>
      </rPr>
      <t xml:space="preserve">Merciless
</t>
    </r>
    <r>
      <rPr>
        <rFont val="Arial"/>
        <i/>
        <color theme="1"/>
      </rPr>
      <t>Impetus, two kills</t>
    </r>
  </si>
  <si>
    <r>
      <rPr>
        <rFont val="Arial"/>
        <color theme="1"/>
      </rPr>
      <t xml:space="preserve">Rapid-fire grenade launcher
</t>
    </r>
    <r>
      <rPr>
        <rFont val="Arial"/>
        <i/>
        <color theme="1"/>
      </rPr>
      <t>no Backup Mag, Spike Grenades, Envious Assassin + e. Surrounded (Koraxis's Distress)</t>
    </r>
  </si>
  <si>
    <r>
      <rPr>
        <rFont val="Arial"/>
        <color theme="1"/>
      </rPr>
      <t xml:space="preserve">Disruption sniper
</t>
    </r>
    <r>
      <rPr>
        <rFont val="Arial"/>
        <i/>
        <color theme="1"/>
      </rPr>
      <t>Aggregate Charge x3 (Refurbished A499)</t>
    </r>
  </si>
  <si>
    <r>
      <rPr>
        <rFont val="Arial"/>
        <color theme="1"/>
      </rPr>
      <t xml:space="preserve">Rapid-fire sniper
</t>
    </r>
    <r>
      <rPr>
        <rFont val="Arial"/>
        <i/>
        <color theme="1"/>
      </rPr>
      <t>Tactical Mag, Timelost Magazine, e. Fourth Time's the Charm + Elemental Honing x5 (Praedyth's Revenge), Networked Targeting x5, Kinetic Synthesis, Sniper's Meditation</t>
    </r>
  </si>
  <si>
    <r>
      <rPr>
        <rFont val="Arial"/>
        <color theme="1"/>
      </rPr>
      <t xml:space="preserve">Ergo Sum
</t>
    </r>
    <r>
      <rPr>
        <rFont val="Arial"/>
        <i/>
        <color theme="1"/>
      </rPr>
      <t>caster frame, The Perfect Fifth, Enduring Blade, 1H2L combo, Lucent Blades x3, Pack Hunter, Transcendent, fireteam scaling</t>
    </r>
  </si>
  <si>
    <r>
      <rPr>
        <rFont val="Arial"/>
        <color theme="1"/>
      </rPr>
      <t xml:space="preserve">Aggressive sniper
</t>
    </r>
    <r>
      <rPr>
        <rFont val="Arial"/>
        <i/>
        <color theme="1"/>
      </rPr>
      <t>Extended Mag, Reconstruction + e. Redirection x30 (Succession)</t>
    </r>
    <r>
      <rPr>
        <rFont val="Arial"/>
        <i/>
        <color rgb="FF181A1B"/>
      </rPr>
      <t>, Networked Targeting x5</t>
    </r>
  </si>
  <si>
    <r>
      <rPr>
        <rFont val="Arial"/>
        <color rgb="FF181A1B"/>
      </rPr>
      <t xml:space="preserve">Pulse grenade
</t>
    </r>
    <r>
      <rPr>
        <rFont val="Arial"/>
        <i/>
        <color rgb="FF181A1B"/>
      </rPr>
      <t>Empowered Grenade x2, Touch of Thunder, Spark of Magnitude, Feel the Flame</t>
    </r>
  </si>
  <si>
    <r>
      <rPr>
        <rFont val="Arial"/>
        <color theme="1"/>
      </rPr>
      <t xml:space="preserve">Hierarchy of Needs
</t>
    </r>
    <r>
      <rPr>
        <rFont val="Arial"/>
        <i/>
        <color theme="1"/>
      </rPr>
      <t>Guidance Ring x3, includes ignition every other shot, assumed base scaling</t>
    </r>
  </si>
  <si>
    <r>
      <rPr>
        <rFont val="Arial"/>
        <color rgb="FF181A1B"/>
      </rPr>
      <t xml:space="preserve">Solar grenade
</t>
    </r>
    <r>
      <rPr>
        <rFont val="Arial"/>
        <i/>
        <color rgb="FF181A1B"/>
      </rPr>
      <t>Sunbracers, Touch of Flame, Ember of Ashes, repeated activations</t>
    </r>
  </si>
  <si>
    <r>
      <rPr>
        <rFont val="Arial"/>
        <color rgb="FF181A1B"/>
      </rPr>
      <t xml:space="preserve">High-impact bow
</t>
    </r>
    <r>
      <rPr>
        <rFont val="Arial"/>
        <i/>
        <color rgb="FF181A1B"/>
      </rPr>
      <t>Heavy Bolts, e. Aggregate Charge x3 (Submersion), Guidance Ring x3</t>
    </r>
  </si>
  <si>
    <r>
      <rPr>
        <rFont val="Arial"/>
        <color rgb="FF181A1B"/>
      </rPr>
      <t xml:space="preserve">The Chaperone
</t>
    </r>
    <r>
      <rPr>
        <rFont val="Arial"/>
        <i/>
        <color rgb="FF181A1B"/>
      </rPr>
      <t>The Roadborn, Triple Tap, Kinetic Synthesis</t>
    </r>
  </si>
  <si>
    <r>
      <rPr>
        <rFont val="Arial"/>
        <color rgb="FF181A1B"/>
      </rPr>
      <t xml:space="preserve">Grapple melee
</t>
    </r>
    <r>
      <rPr>
        <rFont val="Arial"/>
        <i/>
        <color rgb="FF181A1B"/>
      </rPr>
      <t>One-Two Punch, Banner of War, Biotic Enhancements</t>
    </r>
    <r>
      <rPr>
        <rFont val="Arial"/>
        <color rgb="FF181A1B"/>
      </rPr>
      <t xml:space="preserve">, </t>
    </r>
    <r>
      <rPr>
        <rFont val="Arial"/>
        <i/>
        <color rgb="FF181A1B"/>
      </rPr>
      <t>assumes stat buffs become additive with normal buffs</t>
    </r>
  </si>
  <si>
    <r>
      <rPr>
        <rFont val="Arial"/>
        <color rgb="FF181A1B"/>
      </rPr>
      <t xml:space="preserve">New Land Beyond
</t>
    </r>
    <r>
      <rPr>
        <rFont val="Arial"/>
        <i/>
        <color rgb="FF181A1B"/>
      </rPr>
      <t>starts at The Master x20, sprint cancelling, Rally Barricade, Kinetic Synthesis, Sniper's Meditation</t>
    </r>
  </si>
  <si>
    <r>
      <rPr>
        <rFont val="Arial"/>
        <color theme="1"/>
      </rPr>
      <t xml:space="preserve">Bequest
</t>
    </r>
    <r>
      <rPr>
        <rFont val="Arial"/>
        <i/>
        <color theme="1"/>
      </rPr>
      <t>1H2L combo, Jagged Edge, Relentless Strikes + e. Surrounded, Lucent Blades x3, Pack Hunter</t>
    </r>
  </si>
  <si>
    <r>
      <rPr>
        <rFont val="Arial"/>
        <color theme="1"/>
      </rPr>
      <t xml:space="preserve">Wave frame sword
</t>
    </r>
    <r>
      <rPr>
        <rFont val="Arial"/>
        <i/>
        <color theme="1"/>
      </rPr>
      <t>Adept Mag, 1H2L combo, Jagged Edge, Relentless Strikes + e. Surrounded (Summum Bonum), Lucent Blades x3, Pack Hunter</t>
    </r>
  </si>
  <si>
    <r>
      <rPr>
        <rFont val="Arial"/>
        <color theme="1"/>
      </rPr>
      <t xml:space="preserve">Adaptive glaive
</t>
    </r>
    <r>
      <rPr>
        <rFont val="Arial"/>
        <i/>
        <color theme="1"/>
      </rPr>
      <t>melee, 2L1H cancel combo, Combination Blow x3, Banner of War, Triton Vice, Close to Melee (Unexpected Resurgence)</t>
    </r>
  </si>
  <si>
    <r>
      <rPr>
        <rFont val="Arial"/>
        <color theme="1"/>
      </rPr>
      <t xml:space="preserve">The Fourth Horseman
</t>
    </r>
    <r>
      <rPr>
        <rFont val="Arial"/>
        <i/>
        <color theme="1"/>
      </rPr>
      <t>body</t>
    </r>
  </si>
  <si>
    <r>
      <rPr>
        <rFont val="Arial"/>
        <color theme="1"/>
      </rPr>
      <t xml:space="preserve">Wave frame sword
</t>
    </r>
    <r>
      <rPr>
        <rFont val="Arial"/>
        <i/>
        <color theme="1"/>
      </rPr>
      <t>1H2L combo, Jagged Edge, Relentless Strikes + e. Elemental Honing x5 (Synanceia), Pack Hunter</t>
    </r>
  </si>
  <si>
    <r>
      <rPr>
        <rFont val="Arial"/>
        <color theme="1"/>
      </rPr>
      <t xml:space="preserve">Lord of Wolves
</t>
    </r>
    <r>
      <rPr>
        <rFont val="Arial"/>
        <i/>
        <color theme="1"/>
      </rPr>
      <t>Release the Wolves, hip-fire, precision, includes ignition</t>
    </r>
  </si>
  <si>
    <r>
      <rPr>
        <rFont val="Arial"/>
        <color theme="1"/>
      </rPr>
      <t xml:space="preserve">Adaptive grenade launcher
</t>
    </r>
    <r>
      <rPr>
        <rFont val="Arial"/>
        <i/>
        <color theme="1"/>
      </rPr>
      <t>Spike Grenades, Envious Arsenal + Bait and Switch (Bitter/Sweet)</t>
    </r>
  </si>
  <si>
    <r>
      <rPr>
        <rFont val="Arial"/>
        <color theme="1"/>
      </rPr>
      <t xml:space="preserve">Leviathan's Breath
</t>
    </r>
    <r>
      <rPr>
        <rFont val="Arial"/>
        <i/>
        <color theme="1"/>
      </rPr>
      <t>Archer's Tempo</t>
    </r>
  </si>
  <si>
    <r>
      <rPr>
        <rFont val="Arial"/>
        <color theme="1"/>
      </rPr>
      <t xml:space="preserve">Wave frame sword
</t>
    </r>
    <r>
      <rPr>
        <rFont val="Arial"/>
        <i/>
        <color theme="1"/>
      </rPr>
      <t>heavy spam, Jagged Edge, Relentless Strikes + e. Elemental Honing x5 (Synanceia), Lucent Blades, Pack Hunter</t>
    </r>
  </si>
  <si>
    <r>
      <rPr>
        <rFont val="Arial"/>
        <color rgb="FF181A1B"/>
      </rPr>
      <t xml:space="preserve">Dynamic sniper - 140RPM special
</t>
    </r>
    <r>
      <rPr>
        <rFont val="Arial"/>
        <i/>
        <color rgb="FF181A1B"/>
      </rPr>
      <t>Ionized Heatsink, Dynamic Heat Limiter, Vorpal + Bait and Switch (Conspiracy Honed)</t>
    </r>
  </si>
  <si>
    <r>
      <rPr>
        <rFont val="Arial"/>
        <color rgb="FF181A1B"/>
      </rPr>
      <t xml:space="preserve">Throwing Hammer
</t>
    </r>
    <r>
      <rPr>
        <rFont val="Arial"/>
        <i/>
        <color rgb="FF181A1B"/>
      </rPr>
      <t>One-Two Punch, Forgemaster, Perfect Recall, Roaring Flames x3, close range recall, includes &lt;101 Weapons rapid-fire shotgun</t>
    </r>
  </si>
  <si>
    <r>
      <rPr>
        <rFont val="Arial"/>
        <color theme="1"/>
      </rPr>
      <t xml:space="preserve">Deathbringer
</t>
    </r>
    <r>
      <rPr>
        <rFont val="Arial"/>
        <i/>
        <color theme="1"/>
      </rPr>
      <t>realistic projectile height</t>
    </r>
  </si>
  <si>
    <r>
      <rPr>
        <rFont val="Arial"/>
        <color rgb="FF181A1B"/>
      </rPr>
      <t xml:space="preserve">Duality
</t>
    </r>
    <r>
      <rPr>
        <rFont val="Arial"/>
        <i/>
        <color rgb="FF181A1B"/>
      </rPr>
      <t>3 pellet shots into On Black Wings x3 slugs</t>
    </r>
  </si>
  <si>
    <r>
      <rPr>
        <rFont val="Arial"/>
        <color theme="1"/>
      </rPr>
      <t xml:space="preserve">Rapid-fire grenade launcher
</t>
    </r>
    <r>
      <rPr>
        <rFont val="Arial"/>
        <i/>
        <color theme="1"/>
      </rPr>
      <t>Bandolier, Spike Grenades, Envious Arsenal + Bait and Switch (Outrageous Fortune)</t>
    </r>
  </si>
  <si>
    <r>
      <rPr>
        <rFont val="Arial"/>
        <color theme="1"/>
      </rPr>
      <t xml:space="preserve">Adaptive burst linear fusion rifle
</t>
    </r>
    <r>
      <rPr>
        <rFont val="Arial"/>
        <i/>
        <color theme="1"/>
      </rPr>
      <t>no Backup Mag, Accelerated Coils, Charge MW, e. Rewind Rounds + e. Surrounded (Briar's Contempt)</t>
    </r>
  </si>
  <si>
    <r>
      <rPr>
        <rFont val="Arial"/>
        <color theme="1"/>
      </rPr>
      <t xml:space="preserve">Rapid-fire shotgun
</t>
    </r>
    <r>
      <rPr>
        <rFont val="Arial"/>
        <i/>
        <color theme="1"/>
      </rPr>
      <t>body, e. Overflow + e. Surrounded (Until Its Return)</t>
    </r>
  </si>
  <si>
    <r>
      <rPr>
        <rFont val="Arial"/>
        <color theme="1"/>
      </rPr>
      <t xml:space="preserve">Caster sword
</t>
    </r>
    <r>
      <rPr>
        <rFont val="Arial"/>
        <i/>
        <color theme="1"/>
      </rPr>
      <t>1H2L combo, Jagged Edge, Relentless Strikes + e. Surrounded (Ill Omen), Lucent Blades x3, Pack Hunter</t>
    </r>
  </si>
  <si>
    <r>
      <rPr>
        <rFont val="Arial"/>
        <color theme="1"/>
      </rPr>
      <t xml:space="preserve">Lightweight shotgun
</t>
    </r>
    <r>
      <rPr>
        <rFont val="Arial"/>
        <i/>
        <color theme="1"/>
      </rPr>
      <t>body, Assault Mag, Elemental Honing x5 (Starscape Null), reload cancelling</t>
    </r>
  </si>
  <si>
    <r>
      <rPr>
        <rFont val="Arial"/>
        <color theme="1"/>
      </rPr>
      <t xml:space="preserve">Bequest
</t>
    </r>
    <r>
      <rPr>
        <rFont val="Arial"/>
        <i/>
        <color theme="1"/>
      </rPr>
      <t>light attacks, Jagged Edge, Relentless Strikes + e. Surrounded, Pack Hunter</t>
    </r>
  </si>
  <si>
    <r>
      <rPr>
        <rFont val="Arial"/>
        <color theme="1"/>
      </rPr>
      <t xml:space="preserve">Heartshadow
</t>
    </r>
    <r>
      <rPr>
        <rFont val="Arial"/>
        <i/>
        <color theme="1"/>
      </rPr>
      <t>heavy attacks, Shot in the Dark, Lucent Blades x3</t>
    </r>
  </si>
  <si>
    <r>
      <rPr>
        <rFont val="Arial"/>
        <color theme="1"/>
      </rPr>
      <t xml:space="preserve">Whisper of the Worm
</t>
    </r>
    <r>
      <rPr>
        <rFont val="Arial"/>
        <i/>
        <color theme="1"/>
      </rPr>
      <t>Whispered Breathing</t>
    </r>
  </si>
  <si>
    <r>
      <rPr>
        <rFont val="Arial"/>
        <color theme="1"/>
      </rPr>
      <t xml:space="preserve">Compressed wave grenade launcher
</t>
    </r>
    <r>
      <rPr>
        <rFont val="Arial"/>
        <i/>
        <color theme="1"/>
      </rPr>
      <t>Envious Assassin + Vorpal Weapon (Dimensional Hypotrochoid)</t>
    </r>
  </si>
  <si>
    <r>
      <rPr>
        <rFont val="Arial"/>
        <color theme="1"/>
      </rPr>
      <t xml:space="preserve">Adaptive sword
</t>
    </r>
    <r>
      <rPr>
        <rFont val="Arial"/>
        <i/>
        <color theme="1"/>
      </rPr>
      <t>1H2L combo, Jagged Edge, Relentless Strikes + Whirlwind Blade (The Other Half), Lucent Blades x3, Pack Hunter</t>
    </r>
  </si>
  <si>
    <r>
      <rPr>
        <rFont val="Arial"/>
        <color theme="1"/>
      </rPr>
      <t xml:space="preserve">Double fire grenade launcher
</t>
    </r>
    <r>
      <rPr>
        <rFont val="Arial"/>
        <i/>
        <color theme="1"/>
      </rPr>
      <t xml:space="preserve">Spike Grenades, Slideshot + Frenzy (Wilderflight), </t>
    </r>
    <r>
      <rPr>
        <rFont val="Arial"/>
        <b/>
        <i/>
        <color theme="1"/>
      </rPr>
      <t>simulated</t>
    </r>
  </si>
  <si>
    <r>
      <rPr>
        <rFont val="Arial"/>
        <color theme="1"/>
      </rPr>
      <t xml:space="preserve">Lightweight sword
</t>
    </r>
    <r>
      <rPr>
        <rFont val="Arial"/>
        <i/>
        <color theme="1"/>
      </rPr>
      <t>light attacks, Jagged Edge, Vorpal Weapon + Whirlwind Blade (Sullen Claw), Pack Hunter</t>
    </r>
  </si>
  <si>
    <r>
      <rPr>
        <rFont val="Arial"/>
        <color rgb="FF181A1B"/>
      </rPr>
      <t xml:space="preserve">Storm grenade
</t>
    </r>
    <r>
      <rPr>
        <rFont val="Arial"/>
        <i/>
        <color rgb="FF181A1B"/>
      </rPr>
      <t>Empowered Grenade x2, Touch of Thunder, Spark of Magnitude, Feel the Flame</t>
    </r>
  </si>
  <si>
    <r>
      <rPr>
        <rFont val="Arial"/>
        <color theme="1"/>
      </rPr>
      <t xml:space="preserve">Caster sword
</t>
    </r>
    <r>
      <rPr>
        <rFont val="Arial"/>
        <i/>
        <color theme="1"/>
      </rPr>
      <t>1H2L combo, Jagged Edge, Relentless Strikes + Whirlwind Blade (Ill Omen), Lucent Blades x3, Pack Hunter</t>
    </r>
  </si>
  <si>
    <r>
      <rPr>
        <rFont val="Arial"/>
        <color theme="1"/>
      </rPr>
      <t xml:space="preserve">The Queenbreaker
</t>
    </r>
    <r>
      <rPr>
        <rFont val="Arial"/>
        <i/>
        <color theme="1"/>
      </rPr>
      <t>Rewind Rounds, Combat Sights</t>
    </r>
  </si>
  <si>
    <r>
      <rPr>
        <rFont val="Arial"/>
        <color theme="1"/>
      </rPr>
      <t xml:space="preserve">Choir of One
</t>
    </r>
    <r>
      <rPr>
        <rFont val="Arial"/>
        <i/>
        <color theme="1"/>
      </rPr>
      <t>projectile mode, point blank</t>
    </r>
  </si>
  <si>
    <r>
      <rPr>
        <rFont val="Arial"/>
        <color rgb="FF181A1B"/>
      </rPr>
      <t xml:space="preserve">Slayer's Fang
</t>
    </r>
    <r>
      <rPr>
        <rFont val="Arial"/>
        <i/>
        <color rgb="FF181A1B"/>
      </rPr>
      <t>Assault Mag, includes submunitions</t>
    </r>
  </si>
  <si>
    <t>9-9-9-1</t>
  </si>
  <si>
    <r>
      <rPr>
        <rFont val="Arial"/>
        <color theme="1"/>
      </rPr>
      <t xml:space="preserve">Precision linear fusion rifle
</t>
    </r>
    <r>
      <rPr>
        <rFont val="Arial"/>
        <i/>
        <color theme="1"/>
      </rPr>
      <t>Accelerated Coils, Charge MW, e. Fourth Time's the Charm + e. Bait and Switch (Cataclysmic)</t>
    </r>
  </si>
  <si>
    <t>10-12-12-12-8</t>
  </si>
  <si>
    <r>
      <rPr>
        <rFont val="Arial"/>
        <color theme="1"/>
      </rPr>
      <t xml:space="preserve">Precision shotgun
</t>
    </r>
    <r>
      <rPr>
        <rFont val="Arial"/>
        <i/>
        <color theme="1"/>
      </rPr>
      <t>body, no Backup Mag, Assault Mag, Reconstruction + Trench Barrel (Prophet of Doom), reload cancelling</t>
    </r>
  </si>
  <si>
    <r>
      <rPr>
        <rFont val="Arial"/>
        <color theme="1"/>
      </rPr>
      <t xml:space="preserve">The Lament
</t>
    </r>
    <r>
      <rPr>
        <rFont val="Arial"/>
        <i/>
        <color theme="1"/>
      </rPr>
      <t>2L1H1R combo, Lucent Blades x3, approximate</t>
    </r>
  </si>
  <si>
    <r>
      <rPr>
        <rFont val="Arial"/>
        <color theme="1"/>
      </rPr>
      <t xml:space="preserve">Euphony
</t>
    </r>
    <r>
      <rPr>
        <rFont val="Arial"/>
        <i/>
        <color theme="1"/>
      </rPr>
      <t>starts at 0 stacks, Thread of Evolution, includes Threadlings</t>
    </r>
  </si>
  <si>
    <r>
      <rPr>
        <rFont val="Arial"/>
        <color rgb="FF181A1B"/>
      </rPr>
      <t xml:space="preserve">New Land Beyond
</t>
    </r>
    <r>
      <rPr>
        <rFont val="Arial"/>
        <i/>
        <color rgb="FF181A1B"/>
      </rPr>
      <t>starts at The Master x20, Rally Barricade</t>
    </r>
  </si>
  <si>
    <r>
      <rPr>
        <rFont val="Arial"/>
        <color theme="1"/>
      </rPr>
      <t xml:space="preserve">Adaptive burst linear fusion rifle
</t>
    </r>
    <r>
      <rPr>
        <rFont val="Arial"/>
        <i/>
        <color theme="1"/>
      </rPr>
      <t>no Backup Mag, Charge MW, Accelerated Coils, Charge MW, e. Rewind Rounds + e. Bait and Switch (Scintillation)</t>
    </r>
  </si>
  <si>
    <r>
      <rPr>
        <rFont val="Arial"/>
        <color theme="1"/>
      </rPr>
      <t xml:space="preserve">Aggressive shotgun
</t>
    </r>
    <r>
      <rPr>
        <rFont val="Arial"/>
        <i/>
        <color theme="1"/>
      </rPr>
      <t>body, Assault Mag, Timelost Magazine, e. Rewind Rounds + Trench Barrel (Found Verdict)</t>
    </r>
  </si>
  <si>
    <r>
      <rPr>
        <rFont val="Arial"/>
        <color theme="1"/>
      </rPr>
      <t xml:space="preserve">One Thousand Voices
</t>
    </r>
    <r>
      <rPr>
        <rFont val="Arial"/>
        <i/>
        <color theme="1"/>
      </rPr>
      <t>Ember of Ashes</t>
    </r>
  </si>
  <si>
    <r>
      <rPr>
        <rFont val="Arial"/>
        <color rgb="FF181A1B"/>
      </rPr>
      <t xml:space="preserve">Praxic Blade
</t>
    </r>
    <r>
      <rPr>
        <rFont val="Arial"/>
        <i/>
        <color rgb="FF181A1B"/>
      </rPr>
      <t>3L1H combo, Offensive Form, Forceful Blade III, Impact Core (solar), spam, Kinetic Synthesis</t>
    </r>
  </si>
  <si>
    <r>
      <rPr>
        <rFont val="Arial"/>
        <color theme="1"/>
      </rPr>
      <t xml:space="preserve">D.A.R.C.I.
</t>
    </r>
    <r>
      <rPr>
        <rFont val="Arial"/>
        <i/>
        <color theme="1"/>
      </rPr>
      <t>Networked Targeting x5, Target Acquired</t>
    </r>
  </si>
  <si>
    <r>
      <rPr>
        <rFont val="Arial"/>
        <color theme="1"/>
      </rPr>
      <t xml:space="preserve">Lightweight sword
</t>
    </r>
    <r>
      <rPr>
        <rFont val="Arial"/>
        <i/>
        <color theme="1"/>
      </rPr>
      <t>light attacks, Jagged Edge, Relentless Strikes + Whirlwind Blade (Goldtusk), Pack Hunter</t>
    </r>
  </si>
  <si>
    <r>
      <rPr>
        <rFont val="Arial"/>
        <color theme="1"/>
      </rPr>
      <t xml:space="preserve">Adaptive sword
</t>
    </r>
    <r>
      <rPr>
        <rFont val="Arial"/>
        <i/>
        <color theme="1"/>
      </rPr>
      <t>light attacks, Jagged Edge, Relentless Strikes + Whirlwind Blade (The Other Half), Pack Hunter</t>
    </r>
  </si>
  <si>
    <r>
      <rPr>
        <rFont val="Arial"/>
        <color theme="1"/>
      </rPr>
      <t xml:space="preserve">Two-Tailed Fox
</t>
    </r>
    <r>
      <rPr>
        <rFont val="Arial"/>
        <i/>
        <color theme="1"/>
      </rPr>
      <t>Ember of Ashes</t>
    </r>
  </si>
  <si>
    <r>
      <rPr>
        <rFont val="Arial"/>
        <color theme="1"/>
      </rPr>
      <t xml:space="preserve">Aggressive sword
</t>
    </r>
    <r>
      <rPr>
        <rFont val="Arial"/>
        <i/>
        <color theme="1"/>
      </rPr>
      <t>light attacks, Jagged Edge, Relentless Strikes + Whirlwind Blade (Crown-Splitter), Pack Hunter</t>
    </r>
  </si>
  <si>
    <r>
      <rPr>
        <rFont val="Arial"/>
        <color theme="1"/>
      </rPr>
      <t xml:space="preserve">Pinpoint slug shotgun
</t>
    </r>
    <r>
      <rPr>
        <rFont val="Arial"/>
        <i/>
        <color theme="1"/>
      </rPr>
      <t>Assault Mag, e. Fourth Time's the Charm + Elemental Honing x5 (Unvoiced), reload cancelling</t>
    </r>
  </si>
  <si>
    <r>
      <rPr>
        <rFont val="Arial"/>
        <color theme="1"/>
      </rPr>
      <t xml:space="preserve">Euphony
</t>
    </r>
    <r>
      <rPr>
        <rFont val="Arial"/>
        <i/>
        <color theme="1"/>
      </rPr>
      <t>starts at 0 stacks, includes Threadlings</t>
    </r>
  </si>
  <si>
    <r>
      <rPr>
        <rFont val="Arial"/>
        <color rgb="FF181A1B"/>
      </rPr>
      <t xml:space="preserve">Praxic Blade
</t>
    </r>
    <r>
      <rPr>
        <rFont val="Arial"/>
        <i/>
        <color rgb="FF181A1B"/>
      </rPr>
      <t>3L1H combo, Offensive Form, Forceful Blade III, Impact Core (solar), Ember of Ashes, spaced ignitions</t>
    </r>
  </si>
  <si>
    <r>
      <rPr>
        <rFont val="Arial"/>
        <color rgb="FF181A1B"/>
      </rPr>
      <t xml:space="preserve">High-impact bow
</t>
    </r>
    <r>
      <rPr>
        <rFont val="Arial"/>
        <i/>
        <color rgb="FF181A1B"/>
      </rPr>
      <t>Charged Bolts, e. Aggregate Charge x3 (Submersion)</t>
    </r>
  </si>
  <si>
    <r>
      <rPr>
        <rFont val="Arial"/>
        <color rgb="FF181A1B"/>
      </rPr>
      <t xml:space="preserve">New Malpais
</t>
    </r>
    <r>
      <rPr>
        <rFont val="Arial"/>
        <i/>
        <color rgb="FF181A1B"/>
      </rPr>
      <t>assumes suspend tick every 3 shots</t>
    </r>
  </si>
  <si>
    <r>
      <rPr>
        <rFont val="Arial"/>
        <color theme="1"/>
      </rPr>
      <t xml:space="preserve">Thunderlord
</t>
    </r>
    <r>
      <rPr>
        <rFont val="Arial"/>
        <i/>
        <color theme="1"/>
      </rPr>
      <t>assumes only one reload post-nerf</t>
    </r>
  </si>
  <si>
    <t>2833ms reload</t>
  </si>
  <si>
    <r>
      <rPr>
        <rFont val="Arial"/>
        <color theme="1"/>
      </rPr>
      <t xml:space="preserve">Adaptive sniper
</t>
    </r>
    <r>
      <rPr>
        <rFont val="Arial"/>
        <i/>
        <color theme="1"/>
      </rPr>
      <t>Appended Mag, Fourth Time's the Charm + Firing Line (Fugue-55), Networked Targeting x5</t>
    </r>
  </si>
  <si>
    <r>
      <rPr>
        <rFont val="Arial"/>
        <color theme="1"/>
      </rPr>
      <t xml:space="preserve">Rapid-fire slug shotgun
</t>
    </r>
    <r>
      <rPr>
        <rFont val="Arial"/>
        <i/>
        <color theme="1"/>
      </rPr>
      <t>Rapid Hit + e. Precision Instrument (Trachinus), reload cancelling</t>
    </r>
  </si>
  <si>
    <r>
      <rPr>
        <rFont val="Arial"/>
        <color rgb="FF181A1B"/>
      </rPr>
      <t xml:space="preserve">Aggressive sniper
</t>
    </r>
    <r>
      <rPr>
        <rFont val="Arial"/>
        <i/>
        <color rgb="FF181A1B"/>
      </rPr>
      <t>Extended Mag, Reconstruction + Chaos Reshaped x2 (Critical Anomaly), Networked Targeting x5</t>
    </r>
  </si>
  <si>
    <r>
      <rPr>
        <rFont val="Arial"/>
        <color rgb="FF181A1B"/>
      </rPr>
      <t xml:space="preserve">New Land Beyond
</t>
    </r>
    <r>
      <rPr>
        <rFont val="Arial"/>
        <i/>
        <color rgb="FF181A1B"/>
      </rPr>
      <t>starts at The Master x0, Rally Barricade, manual reloads until The Grandmaster</t>
    </r>
  </si>
  <si>
    <r>
      <rPr>
        <rFont val="Arial"/>
        <color rgb="FF181A1B"/>
      </rPr>
      <t xml:space="preserve">Heavy burst shotgun
</t>
    </r>
    <r>
      <rPr>
        <rFont val="Arial"/>
        <i/>
        <color rgb="FF181A1B"/>
      </rPr>
      <t>Appended Mag, e. High-Impact Reserves + Bait and Switch (Pure Recollection), reload cancelling</t>
    </r>
  </si>
  <si>
    <r>
      <rPr>
        <rFont val="Arial"/>
        <color rgb="FF181A1B"/>
      </rPr>
      <t xml:space="preserve">Rapid-fire sniper
</t>
    </r>
    <r>
      <rPr>
        <rFont val="Arial"/>
        <i/>
        <color rgb="FF181A1B"/>
      </rPr>
      <t>Tactical Mag, Frame of Reference x5, e. Fourth Time's the Charm + Redirection x30 (Lance Ephemeral), Networked Targeting x5</t>
    </r>
  </si>
  <si>
    <r>
      <rPr>
        <rFont val="Arial"/>
        <color theme="1"/>
      </rPr>
      <t xml:space="preserve">The Lament
</t>
    </r>
    <r>
      <rPr>
        <rFont val="Arial"/>
        <i/>
        <color theme="1"/>
      </rPr>
      <t>3L1H2R combo, Lucent Blades x3</t>
    </r>
  </si>
  <si>
    <r>
      <rPr>
        <rFont val="Arial"/>
        <color theme="1"/>
      </rPr>
      <t xml:space="preserve">The Prospector
</t>
    </r>
    <r>
      <rPr>
        <rFont val="Arial"/>
        <i/>
        <color theme="1"/>
      </rPr>
      <t>typical boss model</t>
    </r>
  </si>
  <si>
    <r>
      <rPr>
        <rFont val="Arial"/>
        <color theme="1"/>
      </rPr>
      <t xml:space="preserve">The Lament
</t>
    </r>
    <r>
      <rPr>
        <rFont val="Arial"/>
        <i/>
        <color theme="1"/>
      </rPr>
      <t>4L1H3R combo, Lucent Blades x3</t>
    </r>
  </si>
  <si>
    <r>
      <rPr>
        <rFont val="Arial"/>
        <color theme="1"/>
      </rPr>
      <t xml:space="preserve">The Queenbreaker
</t>
    </r>
    <r>
      <rPr>
        <rFont val="Arial"/>
        <i/>
        <color theme="1"/>
      </rPr>
      <t>Rewind Rounds, Marksman Sights</t>
    </r>
  </si>
  <si>
    <r>
      <rPr>
        <rFont val="Arial"/>
        <color theme="1"/>
      </rPr>
      <t xml:space="preserve">Rapid-fire shotgun
</t>
    </r>
    <r>
      <rPr>
        <rFont val="Arial"/>
        <i/>
        <color theme="1"/>
      </rPr>
      <t>body, e. Overflow + Vorpal Weapon (Until Its Return)</t>
    </r>
  </si>
  <si>
    <r>
      <rPr>
        <rFont val="Arial"/>
        <color theme="1"/>
      </rPr>
      <t xml:space="preserve">Black Talon
</t>
    </r>
    <r>
      <rPr>
        <rFont val="Arial"/>
        <i/>
        <color theme="1"/>
      </rPr>
      <t>2H2L combo, Lucent Blades x3, assumes only one catalyst stack</t>
    </r>
  </si>
  <si>
    <r>
      <rPr>
        <rFont val="Arial"/>
        <color theme="1"/>
      </rPr>
      <t xml:space="preserve">Ager's Scepter
</t>
    </r>
    <r>
      <rPr>
        <rFont val="Arial"/>
        <i/>
        <color theme="1"/>
      </rPr>
      <t>Will Given Form, Facet of Command</t>
    </r>
  </si>
  <si>
    <r>
      <rPr>
        <rFont val="Arial"/>
        <color theme="1"/>
      </rPr>
      <t xml:space="preserve">Cloudstrike
</t>
    </r>
    <r>
      <rPr>
        <rFont val="Arial"/>
        <i/>
        <color rgb="FF181A1B"/>
      </rPr>
      <t>Triple Tap</t>
    </r>
  </si>
  <si>
    <r>
      <rPr>
        <rFont val="Arial"/>
        <color rgb="FF181A1B"/>
      </rPr>
      <t xml:space="preserve">Dead Messenger
</t>
    </r>
    <r>
      <rPr>
        <rFont val="Arial"/>
        <i/>
        <color rgb="FF181A1B"/>
      </rPr>
      <t>The Fundamentals</t>
    </r>
  </si>
  <si>
    <r>
      <rPr>
        <rFont val="Arial"/>
        <color theme="1"/>
      </rPr>
      <t xml:space="preserve">Touch of Malice
</t>
    </r>
    <r>
      <rPr>
        <rFont val="Arial"/>
        <i/>
        <color theme="1"/>
      </rPr>
      <t>final round, blighted, Precision Instrument</t>
    </r>
  </si>
  <si>
    <r>
      <rPr>
        <rFont val="Arial"/>
        <color theme="1"/>
      </rPr>
      <t xml:space="preserve">Precision shotgun
</t>
    </r>
    <r>
      <rPr>
        <rFont val="Arial"/>
        <i/>
        <color theme="1"/>
      </rPr>
      <t>body, no Backup Mag, Assault Mag, e. Bait and Switch (Deadlock), reload cancelling</t>
    </r>
  </si>
  <si>
    <r>
      <rPr>
        <rFont val="Arial"/>
        <color theme="1"/>
      </rPr>
      <t xml:space="preserve">Grand Overture
</t>
    </r>
    <r>
      <rPr>
        <rFont val="Arial"/>
        <i/>
        <color theme="1"/>
      </rPr>
      <t>volleys when available</t>
    </r>
  </si>
  <si>
    <r>
      <rPr>
        <rFont val="Arial"/>
        <color theme="1"/>
      </rPr>
      <t xml:space="preserve">Microcosm
</t>
    </r>
    <r>
      <rPr>
        <rFont val="Arial"/>
        <i/>
        <color theme="1"/>
      </rPr>
      <t>Paracausal Imbuement</t>
    </r>
  </si>
  <si>
    <r>
      <rPr>
        <rFont val="Arial"/>
        <color theme="1"/>
      </rPr>
      <t xml:space="preserve">Lightweight shotgun
</t>
    </r>
    <r>
      <rPr>
        <rFont val="Arial"/>
        <i/>
        <color theme="1"/>
      </rPr>
      <t>body, Assault Mag, Reconstruction + Trench Barrel (Starscape Null), reload cancelling</t>
    </r>
  </si>
  <si>
    <t>14-1-1-1-1</t>
  </si>
  <si>
    <r>
      <rPr>
        <rFont val="Arial"/>
        <color theme="1"/>
      </rPr>
      <t xml:space="preserve">Still Hunt
</t>
    </r>
    <r>
      <rPr>
        <rFont val="Arial"/>
        <i/>
        <color theme="1"/>
      </rPr>
      <t>pre-popped into 6 shot cycle</t>
    </r>
  </si>
  <si>
    <t>13-13-13</t>
  </si>
  <si>
    <r>
      <rPr>
        <rFont val="Arial"/>
        <color rgb="FF181A1B"/>
      </rPr>
      <t xml:space="preserve">Finality's Auger
</t>
    </r>
    <r>
      <rPr>
        <rFont val="Arial"/>
        <i/>
        <color rgb="FF181A1B"/>
      </rPr>
      <t>Bait and Switch, Linear Fusion Mode</t>
    </r>
  </si>
  <si>
    <r>
      <rPr>
        <rFont val="Arial"/>
        <color theme="1"/>
      </rPr>
      <t xml:space="preserve">Rapid-fire shotgun
</t>
    </r>
    <r>
      <rPr>
        <rFont val="Arial"/>
        <i/>
        <color theme="1"/>
      </rPr>
      <t>body, Cast No Shadows, Trench Barrel (Perfect Paradox), melee reloads</t>
    </r>
  </si>
  <si>
    <r>
      <rPr>
        <rFont val="Arial"/>
        <color rgb="FF181A1B"/>
      </rPr>
      <t xml:space="preserve">Throwing Hammer
</t>
    </r>
    <r>
      <rPr>
        <rFont val="Arial"/>
        <i/>
        <color rgb="FF181A1B"/>
      </rPr>
      <t>One-Two Punch, Forgemaster, Perfect Recall, Roaring Flames x3, includes &lt;101 Weapons rapid-fire shotgun</t>
    </r>
  </si>
  <si>
    <r>
      <rPr>
        <rFont val="Arial"/>
        <color rgb="FF181A1B"/>
      </rPr>
      <t xml:space="preserve">Micro-missile pulse rifle
</t>
    </r>
    <r>
      <rPr>
        <rFont val="Arial"/>
        <i/>
        <color rgb="FF181A1B"/>
      </rPr>
      <t>Appended Mag, Rewind Rounds + Elemental Honing x5, Accelerated Assault (Psi Aeterna IV)</t>
    </r>
  </si>
  <si>
    <r>
      <rPr>
        <rFont val="Arial"/>
        <color rgb="FF181A1B"/>
      </rPr>
      <t xml:space="preserve">Riskrunner
</t>
    </r>
    <r>
      <rPr>
        <rFont val="Arial"/>
        <i/>
        <color rgb="FF181A1B"/>
      </rPr>
      <t xml:space="preserve">Arc Conductor, Peacekeepers, </t>
    </r>
    <r>
      <rPr>
        <rFont val="Arial"/>
        <b/>
        <i/>
        <color rgb="FF181A1B"/>
      </rPr>
      <t>simulated</t>
    </r>
  </si>
  <si>
    <r>
      <rPr>
        <rFont val="Arial"/>
        <color theme="1"/>
      </rPr>
      <t xml:space="preserve">Conditional Finality
</t>
    </r>
    <r>
      <rPr>
        <rFont val="Arial"/>
        <i/>
        <color theme="1"/>
      </rPr>
      <t>body, average across both shots</t>
    </r>
  </si>
  <si>
    <r>
      <rPr>
        <rFont val="Arial"/>
        <color theme="1"/>
      </rPr>
      <t xml:space="preserve">Izanagi's Burden
</t>
    </r>
    <r>
      <rPr>
        <rFont val="Arial"/>
        <i/>
        <color theme="1"/>
      </rPr>
      <t>includes rehone time, hone before rally</t>
    </r>
  </si>
  <si>
    <r>
      <rPr>
        <rFont val="Arial"/>
        <color theme="1"/>
      </rPr>
      <t xml:space="preserve">Ex Diris
</t>
    </r>
    <r>
      <rPr>
        <rFont val="Arial"/>
        <i/>
        <color theme="1"/>
      </rPr>
      <t>Corrupted Nucleosynthesis</t>
    </r>
  </si>
  <si>
    <r>
      <rPr>
        <rFont val="Arial"/>
        <color theme="1"/>
      </rPr>
      <t xml:space="preserve">Winterbite
</t>
    </r>
    <r>
      <rPr>
        <rFont val="Arial"/>
        <i/>
        <color theme="1"/>
      </rPr>
      <t>projectile</t>
    </r>
  </si>
  <si>
    <r>
      <rPr>
        <rFont val="Arial"/>
        <color rgb="FF181A1B"/>
      </rPr>
      <t xml:space="preserve">Heavy burst shotgun
</t>
    </r>
    <r>
      <rPr>
        <rFont val="Arial"/>
        <i/>
        <color rgb="FF181A1B"/>
      </rPr>
      <t>Appended Mag, Fourth Time's the Charm + e. Aggregate Charge x3 (Arcane Embrace)</t>
    </r>
  </si>
  <si>
    <r>
      <rPr>
        <rFont val="Arial"/>
        <color rgb="FF181A1B"/>
      </rPr>
      <t xml:space="preserve">Praxic Blade
</t>
    </r>
    <r>
      <rPr>
        <rFont val="Arial"/>
        <i/>
        <color rgb="FF181A1B"/>
      </rPr>
      <t>3L1H combo, Offensive Form, Forceful Blade III</t>
    </r>
  </si>
  <si>
    <r>
      <rPr>
        <rFont val="Arial"/>
        <color theme="1"/>
      </rPr>
      <t xml:space="preserve">Parasite
</t>
    </r>
    <r>
      <rPr>
        <rFont val="Arial"/>
        <i/>
        <color theme="1"/>
      </rPr>
      <t>x20 first shot</t>
    </r>
  </si>
  <si>
    <r>
      <rPr>
        <rFont val="Arial"/>
        <color theme="1"/>
      </rPr>
      <t xml:space="preserve">High-impact fusion rifle
</t>
    </r>
    <r>
      <rPr>
        <rFont val="Arial"/>
        <i/>
        <color theme="1"/>
      </rPr>
      <t>Accelerated Coils, Charge MW, Envious Assassin + Controlled Burst (The Eremite)</t>
    </r>
  </si>
  <si>
    <r>
      <rPr>
        <rFont val="Arial"/>
        <color theme="1"/>
      </rPr>
      <t xml:space="preserve">Bastion
</t>
    </r>
    <r>
      <rPr>
        <rFont val="Arial"/>
        <i/>
        <color theme="1"/>
      </rPr>
      <t>Saint's Fury, includes melee time</t>
    </r>
  </si>
  <si>
    <r>
      <rPr>
        <rFont val="Arial"/>
        <color theme="1"/>
      </rPr>
      <t xml:space="preserve">Rapid-fire fusion rifle
</t>
    </r>
    <r>
      <rPr>
        <rFont val="Arial"/>
        <i/>
        <color theme="1"/>
      </rPr>
      <t>Bandolier, Accelerated Coils, Charge MW, Auto-Loading Holster + Controlled Burst, Accelerated Assault (Riptide)</t>
    </r>
  </si>
  <si>
    <t>9-9-4</t>
  </si>
  <si>
    <r>
      <rPr>
        <rFont val="Arial"/>
        <color theme="1"/>
      </rPr>
      <t xml:space="preserve">Adaptive fusion rifle
</t>
    </r>
    <r>
      <rPr>
        <rFont val="Arial"/>
        <i/>
        <color theme="1"/>
      </rPr>
      <t>Accelerated Coils, Charge MW, e. Rewind Rounds + Controlled Burst (Techeun Force)</t>
    </r>
  </si>
  <si>
    <r>
      <rPr>
        <rFont val="Arial"/>
        <color theme="1"/>
      </rPr>
      <t xml:space="preserve">Precision fusion rifle
</t>
    </r>
    <r>
      <rPr>
        <rFont val="Arial"/>
        <i/>
        <color theme="1"/>
      </rPr>
      <t>no Backup Mag, Accelerated Coils, Charge MW, Reconstruction + Controlled Burst (Axial Lacuna)</t>
    </r>
  </si>
  <si>
    <r>
      <rPr>
        <rFont val="Arial"/>
        <color theme="1"/>
      </rPr>
      <t xml:space="preserve">Outbreak Perfected
</t>
    </r>
    <r>
      <rPr>
        <rFont val="Arial"/>
        <i/>
        <color theme="1"/>
      </rPr>
      <t>starts at max nanites, Rewind Rounds, Appended Mag, approximate</t>
    </r>
  </si>
  <si>
    <r>
      <rPr>
        <rFont val="Arial"/>
        <color theme="1"/>
      </rPr>
      <t xml:space="preserve">Barrow-Dyad
</t>
    </r>
    <r>
      <rPr>
        <rFont val="Arial"/>
        <i/>
        <color theme="1"/>
      </rPr>
      <t>Target Lock, Taken Ambition, Peacekeepers</t>
    </r>
  </si>
  <si>
    <r>
      <rPr>
        <rFont val="Arial"/>
        <color theme="1"/>
      </rPr>
      <t xml:space="preserve">Final Warning
</t>
    </r>
    <r>
      <rPr>
        <rFont val="Arial"/>
        <i/>
        <color theme="1"/>
      </rPr>
      <t>15 shot half charge auto into tap fire burst, catalyst</t>
    </r>
  </si>
  <si>
    <r>
      <rPr>
        <rFont val="Arial"/>
        <color theme="1"/>
      </rPr>
      <t xml:space="preserve">Tessellation
</t>
    </r>
    <r>
      <rPr>
        <rFont val="Arial"/>
        <i/>
        <color theme="1"/>
      </rPr>
      <t xml:space="preserve">full grenade uptime, Property: Irreducible, Transcendent but excludes 5%, </t>
    </r>
    <r>
      <rPr>
        <rFont val="Arial"/>
        <b/>
        <i/>
        <color theme="1"/>
      </rPr>
      <t>simulated</t>
    </r>
  </si>
  <si>
    <r>
      <rPr>
        <rFont val="Arial"/>
        <color theme="1"/>
      </rPr>
      <t xml:space="preserve">Aggressive sniper
</t>
    </r>
    <r>
      <rPr>
        <rFont val="Arial"/>
        <i/>
        <color theme="1"/>
      </rPr>
      <t>Appended Mag, Triple Tap + Fourth Time's the Charm (Keen Thistle</t>
    </r>
    <r>
      <rPr>
        <rFont val="Arial"/>
        <i/>
        <color rgb="FF181A1B"/>
      </rPr>
      <t>), Networked Targeting x5</t>
    </r>
  </si>
  <si>
    <r>
      <rPr>
        <rFont val="Arial"/>
        <color rgb="FF181A1B"/>
      </rPr>
      <t xml:space="preserve">Aggressive fusion rifle
</t>
    </r>
    <r>
      <rPr>
        <rFont val="Arial"/>
        <i/>
        <color rgb="FF181A1B"/>
      </rPr>
      <t>Accelerated Coils, Charge MW, Reconstruction + e. Bait and Switch (Finite Maybe)</t>
    </r>
  </si>
  <si>
    <r>
      <rPr>
        <rFont val="Arial"/>
        <color theme="1"/>
      </rPr>
      <t xml:space="preserve">Rapid-fire machine gun
</t>
    </r>
    <r>
      <rPr>
        <rFont val="Arial"/>
        <i/>
        <color theme="1"/>
      </rPr>
      <t>no Backup Mag, Tactical Mag, e. Fourth Time's the Charm + e. Target Lock (Retrofit Escapade)</t>
    </r>
  </si>
  <si>
    <r>
      <rPr>
        <rFont val="Arial"/>
        <color theme="1"/>
      </rPr>
      <t xml:space="preserve">Salvation's Grip
</t>
    </r>
    <r>
      <rPr>
        <rFont val="Arial"/>
        <i/>
        <color theme="1"/>
      </rPr>
      <t>uncharged</t>
    </r>
  </si>
  <si>
    <r>
      <rPr>
        <rFont val="Arial"/>
        <color theme="1"/>
      </rPr>
      <t xml:space="preserve">Aggressive machine gun
</t>
    </r>
    <r>
      <rPr>
        <rFont val="Arial"/>
        <i/>
        <color theme="1"/>
      </rPr>
      <t>Appended Mag, Envious Assassin + e. Target Lock (Pro Memoria)</t>
    </r>
  </si>
  <si>
    <r>
      <rPr>
        <rFont val="Arial"/>
        <color theme="1"/>
      </rPr>
      <t xml:space="preserve">Vortex sword
</t>
    </r>
    <r>
      <rPr>
        <rFont val="Arial"/>
        <i/>
        <color theme="1"/>
      </rPr>
      <t>1H2L combo, Jagged Edge, Relentless Strikes + Whirlwind Blade (Falling Guillotine), Lucent Blades x3, Pack Hunter</t>
    </r>
  </si>
  <si>
    <r>
      <rPr>
        <rFont val="Arial"/>
        <color rgb="FF181A1B"/>
      </rPr>
      <t xml:space="preserve">Tarrabah
</t>
    </r>
    <r>
      <rPr>
        <rFont val="Arial"/>
        <i/>
        <color rgb="FF181A1B"/>
      </rPr>
      <t>Ravenous Beast, Peacekeepers</t>
    </r>
  </si>
  <si>
    <r>
      <rPr>
        <rFont val="Arial"/>
        <color rgb="FF181A1B"/>
      </rPr>
      <t xml:space="preserve">Whirling Ovation
</t>
    </r>
    <r>
      <rPr>
        <rFont val="Arial"/>
        <i/>
        <color rgb="FF181A1B"/>
      </rPr>
      <t>no Anticipation, fully charged</t>
    </r>
  </si>
  <si>
    <r>
      <rPr>
        <rFont val="Arial"/>
        <color rgb="FF181A1B"/>
      </rPr>
      <t xml:space="preserve">Adaptive SMG
</t>
    </r>
    <r>
      <rPr>
        <rFont val="Arial"/>
        <i/>
        <color rgb="FF181A1B"/>
      </rPr>
      <t>no Backup Mag, Extended Mag, e. Rewind Rounds + e. Target Lock (Antedate), Peacekeepers</t>
    </r>
  </si>
  <si>
    <r>
      <rPr>
        <rFont val="Arial"/>
        <color theme="1"/>
      </rPr>
      <t xml:space="preserve">Choir of One
</t>
    </r>
    <r>
      <rPr>
        <rFont val="Arial"/>
        <i/>
        <color theme="1"/>
      </rPr>
      <t>hitscan mode, precision</t>
    </r>
  </si>
  <si>
    <r>
      <rPr>
        <rFont val="Arial"/>
        <color theme="1"/>
      </rPr>
      <t xml:space="preserve">Adaptive machine gun
</t>
    </r>
    <r>
      <rPr>
        <rFont val="Arial"/>
        <i/>
        <color theme="1"/>
      </rPr>
      <t>Appended Mag, e. Fourth Time's the Charm + e. Target Lock (Hammerhead)</t>
    </r>
  </si>
  <si>
    <r>
      <rPr>
        <rFont val="Arial"/>
        <color theme="1"/>
      </rPr>
      <t xml:space="preserve">The Wardcliff Coil
</t>
    </r>
    <r>
      <rPr>
        <rFont val="Arial"/>
        <i/>
        <color theme="1"/>
      </rPr>
      <t>includes Bolt Charge</t>
    </r>
  </si>
  <si>
    <r>
      <rPr>
        <rFont val="Arial"/>
        <color theme="1"/>
      </rPr>
      <t xml:space="preserve">Trace rifle
</t>
    </r>
    <r>
      <rPr>
        <rFont val="Arial"/>
        <i/>
        <color theme="1"/>
      </rPr>
      <t>e. Rewind Rounds + e. Target Lock (Acasia's Dejection), Cenotaph Mask</t>
    </r>
  </si>
  <si>
    <r>
      <rPr>
        <rFont val="Arial"/>
        <color theme="1"/>
      </rPr>
      <t xml:space="preserve">Micro-missile grenade launcher
</t>
    </r>
    <r>
      <rPr>
        <rFont val="Arial"/>
        <i/>
        <color theme="1"/>
      </rPr>
      <t>Implosion Rounds, Reconstruction + Elemental Honing x5 (Theodolite)</t>
    </r>
  </si>
  <si>
    <r>
      <rPr>
        <rFont val="Arial"/>
        <color theme="1"/>
      </rPr>
      <t xml:space="preserve">High-impact machine gun
</t>
    </r>
    <r>
      <rPr>
        <rFont val="Arial"/>
        <i/>
        <color theme="1"/>
      </rPr>
      <t>Tactical Mag, Fourth Time's the Charm + e. Target Lock (Archon's Thunder)</t>
    </r>
  </si>
  <si>
    <r>
      <rPr>
        <rFont val="Arial"/>
        <color theme="1"/>
      </rPr>
      <t xml:space="preserve">Rapid-fire glaive
</t>
    </r>
    <r>
      <rPr>
        <rFont val="Arial"/>
        <i/>
        <color theme="1"/>
      </rPr>
      <t>no Backup Mag, projectile, Redirection x30 (Greasy Luck)</t>
    </r>
  </si>
  <si>
    <r>
      <rPr>
        <rFont val="Arial"/>
        <color rgb="FF181A1B"/>
      </rPr>
      <t xml:space="preserve">Heirloom
</t>
    </r>
    <r>
      <rPr>
        <rFont val="Arial"/>
        <i/>
        <color rgb="FF181A1B"/>
      </rPr>
      <t>fully charged, catalyst, approximate</t>
    </r>
  </si>
  <si>
    <r>
      <rPr>
        <rFont val="Arial"/>
        <color theme="1"/>
      </rPr>
      <t xml:space="preserve">Double fire grenade launcher
</t>
    </r>
    <r>
      <rPr>
        <rFont val="Arial"/>
        <i/>
        <color theme="1"/>
      </rPr>
      <t>Spike Grenades, Envious Assassin + Bait and Switch (Wild Style)</t>
    </r>
  </si>
  <si>
    <r>
      <rPr>
        <rFont val="Arial"/>
        <color theme="1"/>
      </rPr>
      <t xml:space="preserve">Dragon's Breath
</t>
    </r>
    <r>
      <rPr>
        <rFont val="Arial"/>
        <i/>
        <color theme="1"/>
      </rPr>
      <t>auto-loaded, Composite Propellant x5</t>
    </r>
  </si>
  <si>
    <r>
      <rPr>
        <rFont val="Arial"/>
        <color rgb="FF181A1B"/>
      </rPr>
      <t xml:space="preserve">Heirloom
</t>
    </r>
    <r>
      <rPr>
        <rFont val="Arial"/>
        <i/>
        <color rgb="FF181A1B"/>
      </rPr>
      <t>1 charge, catalyst</t>
    </r>
  </si>
  <si>
    <r>
      <rPr>
        <rFont val="Arial"/>
        <color theme="1"/>
      </rPr>
      <t xml:space="preserve">Rapid-fire glaive
</t>
    </r>
    <r>
      <rPr>
        <rFont val="Arial"/>
        <i/>
        <color theme="1"/>
      </rPr>
      <t>no Backup Mag, projectile, Chaos Reshaped x2 (Forthcoming Deviance)</t>
    </r>
  </si>
  <si>
    <r>
      <rPr>
        <rFont val="Arial"/>
        <color theme="1"/>
      </rPr>
      <t xml:space="preserve">Osteo Striga
</t>
    </r>
    <r>
      <rPr>
        <rFont val="Arial"/>
        <i/>
        <color theme="1"/>
      </rPr>
      <t>Peacekeepers</t>
    </r>
  </si>
  <si>
    <r>
      <rPr>
        <rFont val="Arial"/>
        <color rgb="FF181A1B"/>
      </rPr>
      <t xml:space="preserve">Ticuu's Divination
</t>
    </r>
    <r>
      <rPr>
        <rFont val="Arial"/>
        <i/>
        <color rgb="FF181A1B"/>
      </rPr>
      <t>alternating modes, Causality Arrows x6, Guidance Ring</t>
    </r>
  </si>
  <si>
    <r>
      <rPr>
        <rFont val="Arial"/>
        <color theme="1"/>
      </rPr>
      <t xml:space="preserve">Vortex sword
</t>
    </r>
    <r>
      <rPr>
        <rFont val="Arial"/>
        <i/>
        <color theme="1"/>
      </rPr>
      <t>1H2L combo, Jagged Edge, Frenzy + Whirlwind Blade (Falling Guillotine), Lucent Blades x3, Pack Hunter</t>
    </r>
  </si>
  <si>
    <t>11 combos + 1H</t>
  </si>
  <si>
    <r>
      <rPr>
        <rFont val="Arial"/>
        <color theme="1"/>
      </rPr>
      <t xml:space="preserve">Edge of Concurrence
</t>
    </r>
    <r>
      <rPr>
        <rFont val="Arial"/>
        <i/>
        <color theme="1"/>
      </rPr>
      <t>pre-stacked, Lightning Seeker into six shot cycle</t>
    </r>
  </si>
  <si>
    <r>
      <rPr>
        <rFont val="Arial"/>
        <color theme="1"/>
      </rPr>
      <t xml:space="preserve">Vexcalibur
</t>
    </r>
    <r>
      <rPr>
        <rFont val="Arial"/>
        <i/>
        <color theme="1"/>
      </rPr>
      <t>projectile</t>
    </r>
  </si>
  <si>
    <r>
      <rPr>
        <rFont val="Arial"/>
        <color rgb="FF181A1B"/>
      </rPr>
      <t xml:space="preserve">Heirloom
</t>
    </r>
    <r>
      <rPr>
        <rFont val="Arial"/>
        <i/>
        <color rgb="FF181A1B"/>
      </rPr>
      <t>uncharged</t>
    </r>
  </si>
  <si>
    <r>
      <rPr>
        <rFont val="Arial"/>
        <color rgb="FF181A1B"/>
      </rPr>
      <t xml:space="preserve">Heirloom
</t>
    </r>
    <r>
      <rPr>
        <rFont val="Arial"/>
        <i/>
        <color rgb="FF181A1B"/>
      </rPr>
      <t>2 charges, catalyst</t>
    </r>
  </si>
  <si>
    <r>
      <rPr>
        <rFont val="Arial"/>
        <color theme="1"/>
      </rPr>
      <t xml:space="preserve">Revision Zero
</t>
    </r>
    <r>
      <rPr>
        <rFont val="Arial"/>
        <i/>
        <color theme="1"/>
      </rPr>
      <t>4 burst cycle into 6 Hunter's Trace shots, Extended Mag, Fourth Time's the Charm, Vorpal Weapon</t>
    </r>
  </si>
  <si>
    <r>
      <rPr>
        <rFont val="Arial"/>
        <color theme="1"/>
      </rPr>
      <t xml:space="preserve">Salvation's Grip
</t>
    </r>
    <r>
      <rPr>
        <rFont val="Arial"/>
        <i/>
        <color theme="1"/>
      </rPr>
      <t>charged</t>
    </r>
  </si>
  <si>
    <r>
      <rPr>
        <rFont val="Arial"/>
        <color theme="1"/>
      </rPr>
      <t xml:space="preserve">Revision Zero
</t>
    </r>
    <r>
      <rPr>
        <rFont val="Arial"/>
        <i/>
        <color theme="1"/>
      </rPr>
      <t>2 burst cycle into 6 Hunter's Trace shots, Extended Mag, Fourth Time's the Charm, Vorpal Weapon</t>
    </r>
  </si>
  <si>
    <r>
      <rPr>
        <rFont val="Arial"/>
        <color theme="1"/>
      </rPr>
      <t xml:space="preserve">Hierarchy of Needs
</t>
    </r>
    <r>
      <rPr>
        <rFont val="Arial"/>
        <i/>
        <color theme="1"/>
      </rPr>
      <t>Guidance Ring</t>
    </r>
  </si>
  <si>
    <r>
      <rPr>
        <rFont val="Arial"/>
        <color theme="1"/>
      </rPr>
      <t xml:space="preserve">Micro-missile sidearm
</t>
    </r>
    <r>
      <rPr>
        <rFont val="Arial"/>
        <i/>
        <color theme="1"/>
      </rPr>
      <t>precision, no Backup Mag, e. Redirection x30 (Returned Memory)</t>
    </r>
  </si>
  <si>
    <r>
      <rPr>
        <rFont val="Arial"/>
        <color rgb="FF181A1B"/>
      </rPr>
      <t xml:space="preserve">Aggressive glaive
</t>
    </r>
    <r>
      <rPr>
        <rFont val="Arial"/>
        <i/>
        <color rgb="FF181A1B"/>
      </rPr>
      <t>no Backup Mag, projectile, Vorpal Weapon (Rake Angle)</t>
    </r>
  </si>
  <si>
    <r>
      <rPr>
        <rFont val="Arial"/>
        <color theme="1"/>
      </rPr>
      <t xml:space="preserve">Micro-missile sidearm
</t>
    </r>
    <r>
      <rPr>
        <rFont val="Arial"/>
        <i/>
        <color theme="1"/>
      </rPr>
      <t>precision, High-Explosive Ordnance, e. Bait and Switch (Tinasha's Mastery)</t>
    </r>
  </si>
  <si>
    <r>
      <rPr>
        <rFont val="Arial"/>
        <color theme="1"/>
      </rPr>
      <t xml:space="preserve">Touch of Malice
</t>
    </r>
    <r>
      <rPr>
        <rFont val="Arial"/>
        <i/>
        <color theme="1"/>
      </rPr>
      <t>blight into 15 shot cycle</t>
    </r>
  </si>
  <si>
    <r>
      <rPr>
        <rFont val="Arial"/>
        <color rgb="FF181A1B"/>
      </rPr>
      <t xml:space="preserve">Tarrabah
</t>
    </r>
    <r>
      <rPr>
        <rFont val="Arial"/>
        <i/>
        <color rgb="FF181A1B"/>
      </rPr>
      <t>Ravenous Beast</t>
    </r>
  </si>
  <si>
    <r>
      <rPr>
        <rFont val="Arial"/>
        <color rgb="FF181A1B"/>
      </rPr>
      <t xml:space="preserve">Adaptive glaive
</t>
    </r>
    <r>
      <rPr>
        <rFont val="Arial"/>
        <i/>
        <color rgb="FF181A1B"/>
      </rPr>
      <t>no Backup Mag, projectile, Vorpal Weapon (Refusal of the Call)</t>
    </r>
  </si>
  <si>
    <r>
      <rPr>
        <rFont val="Arial"/>
        <color theme="1"/>
      </rPr>
      <t xml:space="preserve">Anarchy
</t>
    </r>
    <r>
      <rPr>
        <rFont val="Arial"/>
        <i/>
        <color theme="1"/>
      </rPr>
      <t>two traps, approximate</t>
    </r>
  </si>
  <si>
    <r>
      <rPr>
        <rFont val="Arial"/>
        <color rgb="FF181A1B"/>
      </rPr>
      <t xml:space="preserve">Tommy's Matchbook
</t>
    </r>
    <r>
      <rPr>
        <rFont val="Arial"/>
        <i/>
        <color rgb="FF181A1B"/>
      </rPr>
      <t>Ember of Ashes</t>
    </r>
  </si>
  <si>
    <r>
      <rPr>
        <rFont val="Arial"/>
        <color theme="1"/>
      </rPr>
      <t xml:space="preserve">Outbreak Perfected
</t>
    </r>
    <r>
      <rPr>
        <rFont val="Arial"/>
        <i/>
        <color theme="1"/>
      </rPr>
      <t>starts at 0 nanites, Rewind Rounds, Appended Mag</t>
    </r>
  </si>
  <si>
    <r>
      <rPr>
        <rFont val="Arial"/>
        <color rgb="FF181A1B"/>
      </rPr>
      <t xml:space="preserve">Precision bow
</t>
    </r>
    <r>
      <rPr>
        <rFont val="Arial"/>
        <i/>
        <color rgb="FF181A1B"/>
      </rPr>
      <t>Archer's Tempo, Chaos Reshaped (Non-Denouement), Guidance Ring</t>
    </r>
  </si>
  <si>
    <r>
      <rPr>
        <rFont val="Arial"/>
        <color theme="1"/>
      </rPr>
      <t xml:space="preserve">Barrow-Dyad
</t>
    </r>
    <r>
      <rPr>
        <rFont val="Arial"/>
        <i/>
        <color theme="1"/>
      </rPr>
      <t>Target Lock, Taken Ambition</t>
    </r>
  </si>
  <si>
    <r>
      <rPr>
        <rFont val="Arial"/>
        <color rgb="FF181A1B"/>
      </rPr>
      <t xml:space="preserve">Rat King
</t>
    </r>
    <r>
      <rPr>
        <rFont val="Arial"/>
        <i/>
        <color rgb="FF181A1B"/>
      </rPr>
      <t>Rat Pack x5</t>
    </r>
  </si>
  <si>
    <r>
      <rPr>
        <rFont val="Arial"/>
        <color theme="1"/>
      </rPr>
      <t xml:space="preserve">Lightweight grenade launcher
</t>
    </r>
    <r>
      <rPr>
        <rFont val="Arial"/>
        <i/>
        <color theme="1"/>
      </rPr>
      <t>Spike Grenades, Vorpal Weapon (Pardon Our Dust)</t>
    </r>
  </si>
  <si>
    <r>
      <rPr>
        <rFont val="Arial"/>
        <color rgb="FF181A1B"/>
      </rPr>
      <t xml:space="preserve">Hawkmoon
</t>
    </r>
    <r>
      <rPr>
        <rFont val="Arial"/>
        <i/>
        <color rgb="FF181A1B"/>
      </rPr>
      <t>successive mags, Paracausal Shot x7</t>
    </r>
  </si>
  <si>
    <r>
      <rPr>
        <rFont val="Arial"/>
        <color rgb="FF181A1B"/>
      </rPr>
      <t xml:space="preserve">Polaris Lance
</t>
    </r>
    <r>
      <rPr>
        <rFont val="Arial"/>
        <i/>
        <color rgb="FF181A1B"/>
      </rPr>
      <t>Ember of Ashes</t>
    </r>
  </si>
  <si>
    <r>
      <rPr>
        <rFont val="Arial"/>
        <color rgb="FF181A1B"/>
      </rPr>
      <t xml:space="preserve">Cerberus+1
</t>
    </r>
    <r>
      <rPr>
        <rFont val="Arial"/>
        <i/>
        <color rgb="FF181A1B"/>
      </rPr>
      <t>precision, point blank</t>
    </r>
  </si>
  <si>
    <r>
      <rPr>
        <rFont val="Arial"/>
        <color rgb="FF181A1B"/>
      </rPr>
      <t xml:space="preserve">Third Iteration
</t>
    </r>
    <r>
      <rPr>
        <rFont val="Arial"/>
        <i/>
        <color rgb="FF181A1B"/>
      </rPr>
      <t>16 marked shots</t>
    </r>
  </si>
  <si>
    <r>
      <rPr>
        <rFont val="Arial"/>
        <color rgb="FF181A1B"/>
      </rPr>
      <t xml:space="preserve">Finality's Auger
</t>
    </r>
    <r>
      <rPr>
        <rFont val="Arial"/>
        <i/>
        <color rgb="FF181A1B"/>
      </rPr>
      <t>assumes pre-loaded turret, painted target, Bait and Switch, Ruinscribe Turret Mode</t>
    </r>
  </si>
  <si>
    <r>
      <rPr>
        <rFont val="Arial"/>
        <color theme="1"/>
      </rPr>
      <t xml:space="preserve">Divinity
</t>
    </r>
    <r>
      <rPr>
        <rFont val="Arial"/>
        <i/>
        <color theme="1"/>
      </rPr>
      <t>held down, approximate</t>
    </r>
  </si>
  <si>
    <r>
      <rPr>
        <rFont val="Arial"/>
        <color rgb="FF181A1B"/>
      </rPr>
      <t xml:space="preserve">Riskrunner
</t>
    </r>
    <r>
      <rPr>
        <rFont val="Arial"/>
        <i/>
        <color rgb="FF181A1B"/>
      </rPr>
      <t xml:space="preserve">Arc Conductor, </t>
    </r>
    <r>
      <rPr>
        <rFont val="Arial"/>
        <b/>
        <i/>
        <color rgb="FF181A1B"/>
      </rPr>
      <t>simulated</t>
    </r>
  </si>
  <si>
    <r>
      <rPr>
        <rFont val="Arial"/>
        <color rgb="FF181A1B"/>
      </rPr>
      <t xml:space="preserve">Graviton Spike
</t>
    </r>
    <r>
      <rPr>
        <rFont val="Arial"/>
        <i/>
        <color rgb="FF181A1B"/>
      </rPr>
      <t>alternating modes with 3 shot cycles, Temporal Alignment</t>
    </r>
  </si>
  <si>
    <r>
      <rPr>
        <rFont val="Arial"/>
        <color theme="1"/>
      </rPr>
      <t xml:space="preserve">Wave grenade launcher
</t>
    </r>
    <r>
      <rPr>
        <rFont val="Arial"/>
        <i/>
        <color theme="1"/>
      </rPr>
      <t>e. Elemental Honing x5 (New Pacific Epitaph), Lunafaction Boots, 3x Loader</t>
    </r>
  </si>
  <si>
    <r>
      <rPr>
        <rFont val="Arial"/>
        <color rgb="FF181A1B"/>
      </rPr>
      <t xml:space="preserve">Trinity Ghoul
</t>
    </r>
    <r>
      <rPr>
        <rFont val="Arial"/>
        <i/>
        <color rgb="FF181A1B"/>
      </rPr>
      <t>Guidance Ring</t>
    </r>
  </si>
  <si>
    <r>
      <rPr>
        <rFont val="Arial"/>
        <color rgb="FF181A1B"/>
      </rPr>
      <t xml:space="preserve">Third Iteration
</t>
    </r>
    <r>
      <rPr>
        <rFont val="Arial"/>
        <i/>
        <color rgb="FF181A1B"/>
      </rPr>
      <t>Amalgamation Round into 15 marked shots</t>
    </r>
  </si>
  <si>
    <r>
      <rPr>
        <rFont val="Arial"/>
        <color rgb="FF181A1B"/>
      </rPr>
      <t xml:space="preserve">Lodestar
</t>
    </r>
    <r>
      <rPr>
        <rFont val="Arial"/>
        <i/>
        <color rgb="FF181A1B"/>
      </rPr>
      <t>ADS</t>
    </r>
  </si>
  <si>
    <r>
      <rPr>
        <rFont val="Arial"/>
        <color rgb="FF181A1B"/>
      </rPr>
      <t xml:space="preserve">Malfeasance
</t>
    </r>
    <r>
      <rPr>
        <rFont val="Arial"/>
        <i/>
        <color rgb="FF181A1B"/>
      </rPr>
      <t>successive mags, Vorpal Weapon</t>
    </r>
  </si>
  <si>
    <r>
      <rPr>
        <rFont val="Arial"/>
        <color rgb="FF181A1B"/>
      </rPr>
      <t xml:space="preserve">Hellion
</t>
    </r>
    <r>
      <rPr>
        <rFont val="Arial"/>
        <i/>
        <color rgb="FF181A1B"/>
      </rPr>
      <t>Consul's Pitch, spaced range, Ember of Ashes</t>
    </r>
  </si>
  <si>
    <r>
      <rPr>
        <rFont val="Arial"/>
        <color rgb="FF181A1B"/>
      </rPr>
      <t xml:space="preserve">Quicksilver Storm
</t>
    </r>
    <r>
      <rPr>
        <rFont val="Arial"/>
        <i/>
        <color rgb="FF181A1B"/>
      </rPr>
      <t>42 shot burst into 3 grenade cycle</t>
    </r>
  </si>
  <si>
    <r>
      <rPr>
        <rFont val="Arial"/>
        <color rgb="FF181A1B"/>
      </rPr>
      <t xml:space="preserve">The Last Word
</t>
    </r>
    <r>
      <rPr>
        <rFont val="Arial"/>
        <i/>
        <color rgb="FF181A1B"/>
      </rPr>
      <t>hip-fire, successive mags</t>
    </r>
  </si>
  <si>
    <r>
      <rPr>
        <rFont val="Arial"/>
        <color rgb="FF181A1B"/>
      </rPr>
      <t xml:space="preserve">Khvostov 7G-0X
</t>
    </r>
    <r>
      <rPr>
        <rFont val="Arial"/>
        <i/>
        <color rgb="FF181A1B"/>
      </rPr>
      <t>ricochetting bullets</t>
    </r>
  </si>
  <si>
    <r>
      <rPr>
        <rFont val="Arial"/>
        <color rgb="FF181A1B"/>
      </rPr>
      <t xml:space="preserve">Lodestar
</t>
    </r>
    <r>
      <rPr>
        <rFont val="Arial"/>
        <i/>
        <color rgb="FF181A1B"/>
      </rPr>
      <t>hip-fire</t>
    </r>
  </si>
  <si>
    <r>
      <rPr>
        <rFont val="Arial"/>
        <color rgb="FF181A1B"/>
      </rPr>
      <t xml:space="preserve">Storm's Keep
</t>
    </r>
    <r>
      <rPr>
        <rFont val="Arial"/>
        <i/>
        <color rgb="FF181A1B"/>
      </rPr>
      <t>max practical Bolt Charge rate</t>
    </r>
  </si>
  <si>
    <r>
      <rPr>
        <rFont val="Arial"/>
        <color rgb="FF181A1B"/>
      </rPr>
      <t xml:space="preserve">Ionic Sentry
</t>
    </r>
    <r>
      <rPr>
        <rFont val="Arial"/>
        <i/>
        <color rgb="FF181A1B"/>
      </rPr>
      <t>includes Bolt Charge, Spark of Frequency</t>
    </r>
  </si>
  <si>
    <r>
      <rPr>
        <rFont val="Arial"/>
        <color rgb="FF181A1B"/>
      </rPr>
      <t xml:space="preserve">MIDA Multi-Tool
</t>
    </r>
    <r>
      <rPr>
        <rFont val="Arial"/>
        <i/>
        <color rgb="FF181A1B"/>
      </rPr>
      <t>High-Power Ammo</t>
    </r>
  </si>
  <si>
    <r>
      <rPr>
        <rFont val="Arial"/>
        <color theme="1"/>
      </rPr>
      <t xml:space="preserve">Hellion
</t>
    </r>
    <r>
      <rPr>
        <rFont val="Arial"/>
        <i/>
        <color theme="1"/>
      </rPr>
      <t>Ember of Ashes</t>
    </r>
  </si>
  <si>
    <r>
      <rPr>
        <rFont val="Arial"/>
        <color theme="1"/>
      </rPr>
      <t xml:space="preserve">Area denial grenade launcher
</t>
    </r>
    <r>
      <rPr>
        <rFont val="Arial"/>
        <i/>
        <color theme="1"/>
      </rPr>
      <t>Elemental Honing x5 (Festival Flight)</t>
    </r>
  </si>
  <si>
    <r>
      <rPr>
        <rFont val="Arial"/>
        <color theme="1"/>
      </rPr>
      <t xml:space="preserve"> Arc Soul
</t>
    </r>
    <r>
      <rPr>
        <rFont val="Arial"/>
        <i/>
        <color theme="1"/>
      </rPr>
      <t>Amplified, Facet of Courage</t>
    </r>
  </si>
  <si>
    <r>
      <rPr>
        <rFont val="Arial"/>
        <color theme="1"/>
      </rPr>
      <t xml:space="preserve">Witherhoard
</t>
    </r>
    <r>
      <rPr>
        <rFont val="Arial"/>
        <i/>
        <color theme="1"/>
      </rPr>
      <t>ground</t>
    </r>
  </si>
  <si>
    <r>
      <rPr>
        <rFont val="Arial"/>
        <color theme="1"/>
      </rPr>
      <t xml:space="preserve">Witherhoard
</t>
    </r>
    <r>
      <rPr>
        <rFont val="Arial"/>
        <i/>
        <color theme="1"/>
      </rPr>
      <t>direct impact</t>
    </r>
  </si>
  <si>
    <r>
      <rPr>
        <rFont val="Arial"/>
        <color rgb="FF181A1B"/>
      </rPr>
      <t xml:space="preserve">Weaver's Call
</t>
    </r>
    <r>
      <rPr>
        <rFont val="Arial"/>
        <i/>
        <color rgb="FF181A1B"/>
      </rPr>
      <t>maximum practical rate, Thread of Evolution</t>
    </r>
  </si>
  <si>
    <r>
      <rPr>
        <rFont val="Arial"/>
        <color theme="1"/>
      </rPr>
      <t xml:space="preserve"> Arc Soul
</t>
    </r>
    <r>
      <rPr>
        <rFont val="Arial"/>
        <i/>
        <color theme="1"/>
      </rPr>
      <t>Facet of Courage</t>
    </r>
  </si>
  <si>
    <r>
      <rPr>
        <rFont val="Arial"/>
        <color theme="1"/>
      </rPr>
      <t xml:space="preserve">Unravel
</t>
    </r>
    <r>
      <rPr>
        <rFont val="Arial"/>
        <i/>
        <color theme="1"/>
      </rPr>
      <t>typical rate</t>
    </r>
  </si>
  <si>
    <r>
      <rPr>
        <rFont val="Arial"/>
        <b/>
        <color rgb="FFFFFFFF"/>
        <sz val="7.0"/>
      </rPr>
      <t xml:space="preserve">swap
</t>
    </r>
    <r>
      <rPr>
        <rFont val="Arial"/>
        <b/>
        <color rgb="FFFFFFFF"/>
      </rPr>
      <t>Time</t>
    </r>
  </si>
  <si>
    <r>
      <rPr>
        <rFont val="Arial"/>
        <b/>
        <color rgb="FFFFFFFF"/>
        <sz val="7.0"/>
      </rPr>
      <t xml:space="preserve">total
</t>
    </r>
    <r>
      <rPr>
        <rFont val="Arial"/>
        <b/>
        <color rgb="FFFFFFFF"/>
      </rPr>
      <t>Time</t>
    </r>
  </si>
  <si>
    <r>
      <rPr>
        <rFont val="Arial"/>
        <b/>
        <color rgb="FFFFFFFF"/>
        <sz val="7.0"/>
      </rPr>
      <t xml:space="preserve">swap
</t>
    </r>
    <r>
      <rPr>
        <rFont val="Arial"/>
        <b/>
        <color rgb="FFFFFFFF"/>
      </rPr>
      <t>DPS</t>
    </r>
  </si>
  <si>
    <r>
      <rPr>
        <rFont val="Arial"/>
        <b/>
        <color rgb="FFFFFFFF"/>
        <sz val="7.0"/>
      </rPr>
      <t>true</t>
    </r>
    <r>
      <rPr>
        <rFont val="Arial"/>
        <b/>
        <i/>
        <color rgb="FFFFFFFF"/>
      </rPr>
      <t xml:space="preserve">
</t>
    </r>
    <r>
      <rPr>
        <rFont val="Arial"/>
        <b/>
        <color rgb="FFFFFFFF"/>
      </rPr>
      <t>DPS</t>
    </r>
  </si>
  <si>
    <r>
      <rPr>
        <rFont val="Arial"/>
        <color theme="1"/>
      </rPr>
      <t xml:space="preserve">Golden Gun - Marksman
</t>
    </r>
    <r>
      <rPr>
        <rFont val="Arial"/>
        <i/>
        <color theme="1"/>
      </rPr>
      <t>Celestial Nighthawk, Radiant, Facet of Courage, pre-popped</t>
    </r>
  </si>
  <si>
    <r>
      <rPr>
        <rFont val="Arial"/>
        <color theme="1"/>
      </rPr>
      <t xml:space="preserve">Still Hunt
</t>
    </r>
    <r>
      <rPr>
        <rFont val="Arial"/>
        <i/>
        <color theme="1"/>
      </rPr>
      <t>Cayde's Retribution, Celestial Nighthawk, pre-popped</t>
    </r>
  </si>
  <si>
    <r>
      <rPr>
        <rFont val="Arial"/>
        <color theme="1"/>
      </rPr>
      <t xml:space="preserve">Thermite grenade
</t>
    </r>
    <r>
      <rPr>
        <rFont val="Arial"/>
        <i/>
        <color theme="1"/>
      </rPr>
      <t>Roaring Flames x3, Empowered Grenade x2, Ember of Ashes</t>
    </r>
  </si>
  <si>
    <r>
      <rPr>
        <rFont val="Arial"/>
        <color theme="1"/>
      </rPr>
      <t xml:space="preserve">Whirling Ovation
</t>
    </r>
    <r>
      <rPr>
        <rFont val="Arial"/>
        <i/>
        <color theme="1"/>
      </rPr>
      <t>pre-charged</t>
    </r>
  </si>
  <si>
    <r>
      <rPr>
        <rFont val="Arial"/>
        <color theme="1"/>
      </rPr>
      <t xml:space="preserve">Parasite
</t>
    </r>
    <r>
      <rPr>
        <rFont val="Arial"/>
        <i/>
        <color theme="1"/>
      </rPr>
      <t>Worm's Hunger x20</t>
    </r>
  </si>
  <si>
    <r>
      <rPr>
        <rFont val="Arial"/>
        <color rgb="FF181A1B"/>
      </rPr>
      <t xml:space="preserve">High-impact bow
</t>
    </r>
    <r>
      <rPr>
        <rFont val="Arial"/>
        <i/>
        <color rgb="FF181A1B"/>
      </rPr>
      <t>Heavy Bolts, High Ground x3 (A Good Shout), Moebius Quiver</t>
    </r>
  </si>
  <si>
    <r>
      <rPr>
        <rFont val="Arial"/>
        <color theme="1"/>
      </rPr>
      <t xml:space="preserve">Golden Gun - Marksman
</t>
    </r>
    <r>
      <rPr>
        <rFont val="Arial"/>
        <i/>
        <color theme="1"/>
      </rPr>
      <t>Celestial Nighthawk, Radiant, Facet of Courage</t>
    </r>
  </si>
  <si>
    <r>
      <rPr>
        <rFont val="Arial"/>
        <color theme="1"/>
      </rPr>
      <t xml:space="preserve">Thundercrash
</t>
    </r>
    <r>
      <rPr>
        <rFont val="Arial"/>
        <i/>
        <color theme="1"/>
      </rPr>
      <t>Cuirass of the Falling Star, Facet of Courage</t>
    </r>
  </si>
  <si>
    <r>
      <rPr>
        <rFont val="Arial"/>
        <color theme="1"/>
      </rPr>
      <t xml:space="preserve">Needlestorm
</t>
    </r>
    <r>
      <rPr>
        <rFont val="Arial"/>
        <i/>
        <color theme="1"/>
      </rPr>
      <t>Stylostixis, Thread of Evolution</t>
    </r>
  </si>
  <si>
    <r>
      <rPr>
        <rFont val="Arial"/>
        <color theme="1"/>
      </rPr>
      <t xml:space="preserve">Nova Bomb - Cataclysm
</t>
    </r>
    <r>
      <rPr>
        <rFont val="Arial"/>
        <i/>
        <color theme="1"/>
      </rPr>
      <t>Feast of Light x6, Facet of Courage</t>
    </r>
  </si>
  <si>
    <r>
      <rPr>
        <rFont val="Arial"/>
        <color theme="1"/>
      </rPr>
      <t xml:space="preserve">Blade Barrage
</t>
    </r>
    <r>
      <rPr>
        <rFont val="Arial"/>
        <i/>
        <color theme="1"/>
      </rPr>
      <t>Knock 'Em Down, Feast of Light x6</t>
    </r>
  </si>
  <si>
    <r>
      <rPr>
        <rFont val="Arial"/>
        <color theme="1"/>
      </rPr>
      <t xml:space="preserve">Izanagi's Burden
</t>
    </r>
    <r>
      <rPr>
        <rFont val="Arial"/>
        <i/>
        <color theme="1"/>
      </rPr>
      <t>excludes re-hone time</t>
    </r>
  </si>
  <si>
    <r>
      <rPr>
        <rFont val="Arial"/>
        <color theme="1"/>
      </rPr>
      <t xml:space="preserve">Gathering Storm
</t>
    </r>
    <r>
      <rPr>
        <rFont val="Arial"/>
        <i/>
        <color theme="1"/>
      </rPr>
      <t>Feast of Light x6</t>
    </r>
  </si>
  <si>
    <r>
      <rPr>
        <rFont val="Arial"/>
        <color theme="1"/>
      </rPr>
      <t xml:space="preserve">Hellion
</t>
    </r>
    <r>
      <rPr>
        <rFont val="Arial"/>
        <i/>
        <color theme="1"/>
      </rPr>
      <t>Ember of Ashes</t>
    </r>
  </si>
  <si>
    <r>
      <rPr>
        <rFont val="Arial"/>
        <color theme="1"/>
      </rPr>
      <t xml:space="preserve">Needlestorm
</t>
    </r>
    <r>
      <rPr>
        <rFont val="Arial"/>
        <i/>
        <color theme="1"/>
      </rPr>
      <t>Feast of Light x6</t>
    </r>
  </si>
  <si>
    <r>
      <rPr>
        <rFont val="Arial"/>
        <color theme="1"/>
      </rPr>
      <t xml:space="preserve">Dragon's Breath
</t>
    </r>
    <r>
      <rPr>
        <rFont val="Arial"/>
        <i/>
        <color theme="1"/>
      </rPr>
      <t>Ember of Ashes</t>
    </r>
  </si>
  <si>
    <r>
      <rPr>
        <rFont val="Arial"/>
        <color rgb="FF181A1B"/>
      </rPr>
      <t xml:space="preserve">Grapple melee
</t>
    </r>
    <r>
      <rPr>
        <rFont val="Arial"/>
        <i/>
        <color rgb="FF181A1B"/>
      </rPr>
      <t>One-Two Punch, Biotic Enhancements, Combination Blow x3, Facet of Courage</t>
    </r>
  </si>
  <si>
    <r>
      <rPr>
        <rFont val="Arial"/>
        <color rgb="FF181A1B"/>
      </rPr>
      <t xml:space="preserve">High-impact bow
</t>
    </r>
    <r>
      <rPr>
        <rFont val="Arial"/>
        <i/>
        <color rgb="FF181A1B"/>
      </rPr>
      <t>Charged Bolts, e. Aggregate Charge (Submersion), Guidance Ring x3</t>
    </r>
  </si>
  <si>
    <r>
      <rPr>
        <rFont val="Arial"/>
        <color theme="1"/>
      </rPr>
      <t xml:space="preserve">Needlestorm
</t>
    </r>
    <r>
      <rPr>
        <rFont val="Arial"/>
        <i/>
        <color theme="1"/>
      </rPr>
      <t>Thread of Evolution</t>
    </r>
  </si>
  <si>
    <r>
      <rPr>
        <rFont val="Arial"/>
        <color theme="1"/>
      </rPr>
      <t xml:space="preserve">Thermite grenade
</t>
    </r>
    <r>
      <rPr>
        <rFont val="Arial"/>
        <i/>
        <color theme="1"/>
      </rPr>
      <t>Ember of Ashes</t>
    </r>
  </si>
  <si>
    <r>
      <rPr>
        <rFont val="Arial"/>
        <color theme="1"/>
      </rPr>
      <t xml:space="preserve">Grand Overture
</t>
    </r>
    <r>
      <rPr>
        <rFont val="Arial"/>
        <i/>
        <color theme="1"/>
      </rPr>
      <t>Missiles Loaded x20</t>
    </r>
  </si>
  <si>
    <r>
      <rPr>
        <rFont val="Arial"/>
        <color theme="1"/>
      </rPr>
      <t xml:space="preserve">Adaptive rocket launcher
</t>
    </r>
    <r>
      <rPr>
        <rFont val="Arial"/>
        <i/>
        <color theme="1"/>
      </rPr>
      <t>Bait and Switch (Apex Predator), Pack Hunter, 1 shot</t>
    </r>
  </si>
  <si>
    <r>
      <rPr>
        <rFont val="Arial"/>
        <color theme="1"/>
      </rPr>
      <t xml:space="preserve">Nova Bomb - Cataclysm
</t>
    </r>
    <r>
      <rPr>
        <rFont val="Arial"/>
        <i/>
        <color theme="1"/>
      </rPr>
      <t>Facet of Courage</t>
    </r>
  </si>
  <si>
    <r>
      <rPr>
        <rFont val="Arial"/>
        <color theme="1"/>
      </rPr>
      <t xml:space="preserve">Thundercrash
</t>
    </r>
    <r>
      <rPr>
        <rFont val="Arial"/>
        <i/>
        <color theme="1"/>
      </rPr>
      <t>Facet of Courage</t>
    </r>
  </si>
  <si>
    <r>
      <rPr>
        <rFont val="Arial"/>
        <color theme="1"/>
      </rPr>
      <t xml:space="preserve">Silence and Squall
</t>
    </r>
    <r>
      <rPr>
        <rFont val="Arial"/>
        <i/>
        <color theme="1"/>
      </rPr>
      <t>Whisper of Fissures, Whisper of Durance, Feast of Light x6</t>
    </r>
  </si>
  <si>
    <r>
      <rPr>
        <rFont val="Arial"/>
        <color rgb="FF181A1B"/>
      </rPr>
      <t xml:space="preserve">Finality's Auger
</t>
    </r>
    <r>
      <rPr>
        <rFont val="Arial"/>
        <i/>
        <color rgb="FF181A1B"/>
      </rPr>
      <t>assumes pre-loaded turret, painted target, Bait and Switch, Ruinscribe Turret Mode</t>
    </r>
  </si>
  <si>
    <r>
      <rPr>
        <rFont val="Arial"/>
        <color theme="1"/>
      </rPr>
      <t xml:space="preserve">Golden Gun - Marksman
</t>
    </r>
    <r>
      <rPr>
        <rFont val="Arial"/>
        <i/>
        <color theme="1"/>
      </rPr>
      <t>Feast of Light x6, Radiant, Facet of Courage</t>
    </r>
  </si>
  <si>
    <r>
      <rPr>
        <rFont val="Arial"/>
        <color theme="1"/>
      </rPr>
      <t xml:space="preserve">Blade Barrage
</t>
    </r>
    <r>
      <rPr>
        <rFont val="Arial"/>
        <i/>
        <color theme="1"/>
      </rPr>
      <t>Knock 'Em Down</t>
    </r>
  </si>
  <si>
    <r>
      <rPr>
        <rFont val="Arial"/>
        <color theme="1"/>
      </rPr>
      <t xml:space="preserve">Shadowshot: Moebius Quiver
</t>
    </r>
    <r>
      <rPr>
        <rFont val="Arial"/>
        <i/>
        <color theme="1"/>
      </rPr>
      <t>Feast of Light x6, full bow charge, both volleys, assumes no other debuff</t>
    </r>
  </si>
  <si>
    <r>
      <rPr>
        <rFont val="Arial"/>
        <color theme="1"/>
      </rPr>
      <t xml:space="preserve">Silence and Squall
</t>
    </r>
    <r>
      <rPr>
        <rFont val="Arial"/>
        <i/>
        <color theme="1"/>
      </rPr>
      <t>Feast of Light x6, Facet of Ruin</t>
    </r>
  </si>
  <si>
    <r>
      <rPr>
        <rFont val="Arial"/>
        <color theme="1"/>
      </rPr>
      <t xml:space="preserve">Anarchy
</t>
    </r>
    <r>
      <rPr>
        <rFont val="Arial"/>
        <i/>
        <color theme="1"/>
      </rPr>
      <t>two traps</t>
    </r>
  </si>
  <si>
    <r>
      <rPr>
        <rFont val="Arial"/>
        <color theme="1"/>
      </rPr>
      <t xml:space="preserve">Pinpoint slug shotgun
</t>
    </r>
    <r>
      <rPr>
        <rFont val="Arial"/>
        <i/>
        <color theme="1"/>
      </rPr>
      <t>Redirection + Elemental Honing x5 (Unvoiced), 1 shot</t>
    </r>
  </si>
  <si>
    <r>
      <rPr>
        <rFont val="Arial"/>
        <color rgb="FF181A1B"/>
      </rPr>
      <t xml:space="preserve">High-impact bow
</t>
    </r>
    <r>
      <rPr>
        <rFont val="Arial"/>
        <i/>
        <color rgb="FF181A1B"/>
      </rPr>
      <t>Charged Bolts, e. Aggregate Charge x3 (Submersion)</t>
    </r>
  </si>
  <si>
    <r>
      <rPr>
        <rFont val="Arial"/>
        <color rgb="FF181A1B"/>
      </rPr>
      <t xml:space="preserve">Ice Breaker
</t>
    </r>
    <r>
      <rPr>
        <rFont val="Arial"/>
        <i/>
        <color rgb="FF181A1B"/>
      </rPr>
      <t>shatter ignition</t>
    </r>
  </si>
  <si>
    <r>
      <rPr>
        <rFont val="Arial"/>
        <color theme="1"/>
      </rPr>
      <t xml:space="preserve">Glacial Quake
</t>
    </r>
    <r>
      <rPr>
        <rFont val="Arial"/>
        <i/>
        <color theme="1"/>
      </rPr>
      <t>heavy attacks, Facet of Ruin, Feast of Light x6</t>
    </r>
  </si>
  <si>
    <r>
      <rPr>
        <rFont val="Arial"/>
        <color theme="1"/>
      </rPr>
      <t xml:space="preserve">Glacial Quake
</t>
    </r>
    <r>
      <rPr>
        <rFont val="Arial"/>
        <i/>
        <color theme="1"/>
      </rPr>
      <t>Howl of the Storm, Whisper of Fissures, Biotic Enhancements</t>
    </r>
  </si>
  <si>
    <r>
      <rPr>
        <rFont val="Arial"/>
        <color theme="1"/>
      </rPr>
      <t xml:space="preserve">Legend of Acrius
</t>
    </r>
    <r>
      <rPr>
        <rFont val="Arial"/>
        <i/>
        <color theme="1"/>
      </rPr>
      <t>body</t>
    </r>
  </si>
  <si>
    <r>
      <rPr>
        <rFont val="Arial"/>
        <color theme="1"/>
      </rPr>
      <t xml:space="preserve">Twilight Arsenal
</t>
    </r>
    <r>
      <rPr>
        <rFont val="Arial"/>
        <i/>
        <color theme="1"/>
      </rPr>
      <t>Feast of Light x6, Facet of Courage</t>
    </r>
  </si>
  <si>
    <r>
      <rPr>
        <rFont val="Arial"/>
        <color theme="1"/>
      </rPr>
      <t xml:space="preserve">Adaptive grenade launcher
</t>
    </r>
    <r>
      <rPr>
        <rFont val="Arial"/>
        <i/>
        <color theme="1"/>
      </rPr>
      <t>Sticky Grenades, e. Cascade Point + e. Explosive Light (Edge Transit), 7 shots</t>
    </r>
  </si>
  <si>
    <r>
      <rPr>
        <rFont val="Arial"/>
        <color theme="1"/>
      </rPr>
      <t xml:space="preserve">Aggressive rocket launcher
</t>
    </r>
    <r>
      <rPr>
        <rFont val="Arial"/>
        <i/>
        <color theme="1"/>
      </rPr>
      <t>Frame of Reference x5, e. Overflow + e. Reaper's Tithe (The When and Where), Pack Hunter, 3 shots</t>
    </r>
  </si>
  <si>
    <r>
      <rPr>
        <rFont val="Arial"/>
        <color theme="1"/>
      </rPr>
      <t xml:space="preserve">Silence and Squall
</t>
    </r>
    <r>
      <rPr>
        <rFont val="Arial"/>
        <i/>
        <color theme="1"/>
      </rPr>
      <t>Whisper of Fissures, Whisper of Durance</t>
    </r>
  </si>
  <si>
    <r>
      <rPr>
        <rFont val="Arial"/>
        <color theme="1"/>
      </rPr>
      <t xml:space="preserve">Witherhoard
</t>
    </r>
    <r>
      <rPr>
        <rFont val="Arial"/>
        <i/>
        <color theme="1"/>
      </rPr>
      <t>direct impact</t>
    </r>
  </si>
  <si>
    <r>
      <rPr>
        <rFont val="Arial"/>
        <color theme="1"/>
      </rPr>
      <t xml:space="preserve">Adaptive rocket launcher
</t>
    </r>
    <r>
      <rPr>
        <rFont val="Arial"/>
        <i/>
        <color theme="1"/>
      </rPr>
      <t>Bait and Switch (Apex Predator), Pack Hunter, Reconstruction start, 2 shots</t>
    </r>
  </si>
  <si>
    <r>
      <rPr>
        <rFont val="Arial"/>
        <color theme="1"/>
      </rPr>
      <t xml:space="preserve">Burning Maul
</t>
    </r>
    <r>
      <rPr>
        <rFont val="Arial"/>
        <i/>
        <color theme="1"/>
      </rPr>
      <t>Pyrogale Gauntlets, Roaring Flames x3, Sol Invictus</t>
    </r>
  </si>
  <si>
    <r>
      <rPr>
        <rFont val="Arial"/>
        <color theme="1"/>
      </rPr>
      <t xml:space="preserve">Grapple melee
</t>
    </r>
    <r>
      <rPr>
        <rFont val="Arial"/>
        <i/>
        <color theme="1"/>
      </rPr>
      <t>Banner of War, Biotic Enhancements, One-Two Punch</t>
    </r>
  </si>
  <si>
    <r>
      <rPr>
        <rFont val="Arial"/>
        <color theme="1"/>
      </rPr>
      <t xml:space="preserve">Rapid-fire grenade launcher
</t>
    </r>
    <r>
      <rPr>
        <rFont val="Arial"/>
        <i/>
        <color theme="1"/>
      </rPr>
      <t>Spike Grenades, e. Cascade Point + e. Explosive Light (VS Chill Inhibitor), 8 shots</t>
    </r>
  </si>
  <si>
    <r>
      <rPr>
        <rFont val="Arial"/>
        <color theme="1"/>
      </rPr>
      <t xml:space="preserve">Gjallarhorn
</t>
    </r>
    <r>
      <rPr>
        <rFont val="Arial"/>
        <i/>
        <color theme="1"/>
      </rPr>
      <t>1 shot</t>
    </r>
  </si>
  <si>
    <r>
      <rPr>
        <rFont val="Arial"/>
        <color rgb="FF181A1B"/>
      </rPr>
      <t xml:space="preserve">New Land Beyond
</t>
    </r>
    <r>
      <rPr>
        <rFont val="Arial"/>
        <i/>
        <color rgb="FF181A1B"/>
      </rPr>
      <t>The Master x20, Kinetic Holster</t>
    </r>
  </si>
  <si>
    <r>
      <rPr>
        <rFont val="Arial"/>
        <color theme="1"/>
      </rPr>
      <t xml:space="preserve">Silence and Squall
</t>
    </r>
    <r>
      <rPr>
        <rFont val="Arial"/>
        <i/>
        <color theme="1"/>
      </rPr>
      <t>Facet of Ruin</t>
    </r>
  </si>
  <si>
    <r>
      <rPr>
        <rFont val="Arial"/>
        <color theme="1"/>
      </rPr>
      <t xml:space="preserve">Still Hunt
</t>
    </r>
    <r>
      <rPr>
        <rFont val="Arial"/>
        <i/>
        <color theme="1"/>
      </rPr>
      <t>Cayde's Retribution, pre-popped</t>
    </r>
  </si>
  <si>
    <r>
      <rPr>
        <rFont val="Arial"/>
        <color theme="1"/>
      </rPr>
      <t xml:space="preserve">Rapid-fire grenade launcher
</t>
    </r>
    <r>
      <rPr>
        <rFont val="Arial"/>
        <i/>
        <color theme="1"/>
      </rPr>
      <t>Spike Grenades, e. Cascade Point + Bait and Switch (VS Chill Inhibitor), 8 shots</t>
    </r>
  </si>
  <si>
    <r>
      <rPr>
        <rFont val="Arial"/>
        <color theme="1"/>
      </rPr>
      <t xml:space="preserve">The Fourth Horseman
</t>
    </r>
    <r>
      <rPr>
        <rFont val="Arial"/>
        <i/>
        <color theme="1"/>
      </rPr>
      <t>full mag, body</t>
    </r>
  </si>
  <si>
    <r>
      <rPr>
        <rFont val="Arial"/>
        <color theme="1"/>
      </rPr>
      <t xml:space="preserve">Shadowshot: Moebius Quiver
</t>
    </r>
    <r>
      <rPr>
        <rFont val="Arial"/>
        <i/>
        <color theme="1"/>
      </rPr>
      <t>Orpheus Rig, full bow charge, all 3 volleys, assumes no other debuff</t>
    </r>
  </si>
  <si>
    <r>
      <rPr>
        <rFont val="Arial"/>
        <color theme="1"/>
      </rPr>
      <t xml:space="preserve">Area denial grenade launcher
</t>
    </r>
    <r>
      <rPr>
        <rFont val="Arial"/>
        <i/>
        <color theme="1"/>
      </rPr>
      <t>Elemental Honing x5 (Festival Flight), 1 shot</t>
    </r>
  </si>
  <si>
    <r>
      <rPr>
        <rFont val="Arial"/>
        <color theme="1"/>
      </rPr>
      <t xml:space="preserve">Adaptive grenade launcher
</t>
    </r>
    <r>
      <rPr>
        <rFont val="Arial"/>
        <i/>
        <color theme="1"/>
      </rPr>
      <t>Spike Grenades, Cascade Point + Bait and Switch (Edge Transit), 8 shots</t>
    </r>
  </si>
  <si>
    <r>
      <rPr>
        <rFont val="Arial"/>
        <color theme="1"/>
      </rPr>
      <t xml:space="preserve">Tessellation
</t>
    </r>
    <r>
      <rPr>
        <rFont val="Arial"/>
        <i/>
        <color theme="1"/>
      </rPr>
      <t xml:space="preserve">Property: Irreducible, excludes re-proc time, </t>
    </r>
    <r>
      <rPr>
        <rFont val="Arial"/>
        <i/>
        <color rgb="FF181A1B"/>
      </rPr>
      <t>Transcendent but excludes 5%</t>
    </r>
  </si>
  <si>
    <r>
      <rPr>
        <rFont val="Arial"/>
        <color theme="1"/>
      </rPr>
      <t xml:space="preserve">Micro-missile grenade launcher
</t>
    </r>
    <r>
      <rPr>
        <rFont val="Arial"/>
        <i/>
        <color theme="1"/>
      </rPr>
      <t>Implosion Rounds, Recombination x10 (The Mountaintop), 1 shot</t>
    </r>
  </si>
  <si>
    <r>
      <rPr>
        <rFont val="Arial"/>
        <color theme="1"/>
      </rPr>
      <t xml:space="preserve">Exodus Rockets
</t>
    </r>
    <r>
      <rPr>
        <rFont val="Arial"/>
        <i/>
        <color theme="1"/>
      </rPr>
      <t>one volley, Thruster</t>
    </r>
  </si>
  <si>
    <r>
      <rPr>
        <rFont val="Arial"/>
        <color theme="1"/>
      </rPr>
      <t xml:space="preserve">Shadowshot: Moebius Quiver
</t>
    </r>
    <r>
      <rPr>
        <rFont val="Arial"/>
        <i/>
        <color theme="1"/>
      </rPr>
      <t>Feast of Light x6, both volleys, assumes no other debuff</t>
    </r>
  </si>
  <si>
    <r>
      <rPr>
        <rFont val="Arial"/>
        <color theme="1"/>
      </rPr>
      <t xml:space="preserve">Glacial Quake
</t>
    </r>
    <r>
      <rPr>
        <rFont val="Arial"/>
        <i/>
        <color theme="1"/>
      </rPr>
      <t>heavy attacks, Whisper of Fissures</t>
    </r>
  </si>
  <si>
    <r>
      <rPr>
        <rFont val="Arial"/>
        <color theme="1"/>
      </rPr>
      <t xml:space="preserve">Conditional Finality
</t>
    </r>
    <r>
      <rPr>
        <rFont val="Arial"/>
        <i/>
        <color theme="1"/>
      </rPr>
      <t>body, average across both shots</t>
    </r>
  </si>
  <si>
    <r>
      <rPr>
        <rFont val="Arial"/>
        <color theme="1"/>
      </rPr>
      <t xml:space="preserve">Void wall
</t>
    </r>
    <r>
      <rPr>
        <rFont val="Arial"/>
        <i/>
        <color theme="1"/>
      </rPr>
      <t>Echo of Remnants</t>
    </r>
  </si>
  <si>
    <r>
      <rPr>
        <rFont val="Arial"/>
        <color theme="1"/>
      </rPr>
      <t xml:space="preserve">Glacial Quake
</t>
    </r>
    <r>
      <rPr>
        <rFont val="Arial"/>
        <i/>
        <color theme="1"/>
      </rPr>
      <t>Howl of the Storm, Whisper of Fissures</t>
    </r>
  </si>
  <si>
    <r>
      <rPr>
        <rFont val="Arial"/>
        <color theme="1"/>
      </rPr>
      <t xml:space="preserve">Twilight Arsenal
</t>
    </r>
    <r>
      <rPr>
        <rFont val="Arial"/>
        <i/>
        <color theme="1"/>
      </rPr>
      <t>Facet of Courage</t>
    </r>
  </si>
  <si>
    <r>
      <rPr>
        <rFont val="Arial"/>
        <color rgb="FF181A1B"/>
      </rPr>
      <t xml:space="preserve">Slayer's Fang
</t>
    </r>
    <r>
      <rPr>
        <rFont val="Arial"/>
        <i/>
        <color rgb="FF181A1B"/>
      </rPr>
      <t>includes submunitions, Cascade Point, 6 shots</t>
    </r>
  </si>
  <si>
    <r>
      <rPr>
        <rFont val="Arial"/>
        <color theme="1"/>
      </rPr>
      <t xml:space="preserve">Duality
</t>
    </r>
    <r>
      <rPr>
        <rFont val="Arial"/>
        <i/>
        <color theme="1"/>
      </rPr>
      <t>precision</t>
    </r>
  </si>
  <si>
    <r>
      <rPr>
        <rFont val="Arial"/>
        <color theme="1"/>
      </rPr>
      <t xml:space="preserve">Hammer of Sol
</t>
    </r>
    <r>
      <rPr>
        <rFont val="Arial"/>
        <i/>
        <color theme="1"/>
      </rPr>
      <t>Feast of Light x6, Facet of Courage, max distance</t>
    </r>
  </si>
  <si>
    <r>
      <rPr>
        <rFont val="Arial"/>
        <color theme="1"/>
      </rPr>
      <t xml:space="preserve">Still Hunt
</t>
    </r>
    <r>
      <rPr>
        <rFont val="Arial"/>
        <i/>
        <color theme="1"/>
      </rPr>
      <t>Cayde's Retribution, Celestial Nighthawk</t>
    </r>
  </si>
  <si>
    <r>
      <rPr>
        <rFont val="Arial"/>
        <color theme="1"/>
      </rPr>
      <t xml:space="preserve">Pulse grenade
</t>
    </r>
    <r>
      <rPr>
        <rFont val="Arial"/>
        <i/>
        <color theme="1"/>
      </rPr>
      <t>Touch of Thunder, Spark of Magnitude</t>
    </r>
    <r>
      <rPr>
        <rFont val="Arial"/>
        <i/>
        <color rgb="FF181A1B"/>
      </rPr>
      <t>, Empowered Grenade x2</t>
    </r>
  </si>
  <si>
    <r>
      <rPr>
        <rFont val="Arial"/>
        <color theme="1"/>
      </rPr>
      <t xml:space="preserve">Rapid-fire sniper
</t>
    </r>
    <r>
      <rPr>
        <rFont val="Arial"/>
        <i/>
        <color theme="1"/>
      </rPr>
      <t>Vorpal Weapon + Bait and Switch (Conspiracy Honed), 3 shots</t>
    </r>
  </si>
  <si>
    <r>
      <rPr>
        <rFont val="Arial"/>
        <color theme="1"/>
      </rPr>
      <t xml:space="preserve">Adaptive grenade launcher
</t>
    </r>
    <r>
      <rPr>
        <rFont val="Arial"/>
        <i/>
        <color theme="1"/>
      </rPr>
      <t>Spike Grenades, Cascade Point (Edge Transit), 8 shots</t>
    </r>
  </si>
  <si>
    <r>
      <rPr>
        <rFont val="Arial"/>
        <color theme="1"/>
      </rPr>
      <t xml:space="preserve">Izanagi's Burden
</t>
    </r>
    <r>
      <rPr>
        <rFont val="Arial"/>
        <i/>
        <color theme="1"/>
      </rPr>
      <t>includes re-hone time</t>
    </r>
  </si>
  <si>
    <r>
      <rPr>
        <rFont val="Arial"/>
        <color theme="1"/>
      </rPr>
      <t xml:space="preserve">Rapid-fire sniper
</t>
    </r>
    <r>
      <rPr>
        <rFont val="Arial"/>
        <i/>
        <color theme="1"/>
      </rPr>
      <t>e. Kinetic Tremors + Elemental Honing x5 (Praedyth's Revenge), 2 shots</t>
    </r>
  </si>
  <si>
    <r>
      <rPr>
        <rFont val="Arial"/>
        <color theme="1"/>
      </rPr>
      <t xml:space="preserve">Dynamic hand cannon - 180RPM special
</t>
    </r>
    <r>
      <rPr>
        <rFont val="Arial"/>
        <i/>
        <color theme="1"/>
      </rPr>
      <t>primed with 2 Crimson bursts, 15 shot burst, e. Precision Instrument (Uncivil Discourse), Accelerated Assault, Illegally Modded Holster</t>
    </r>
  </si>
  <si>
    <r>
      <rPr>
        <rFont val="Arial"/>
        <color theme="1"/>
      </rPr>
      <t xml:space="preserve">Solar grenade
</t>
    </r>
    <r>
      <rPr>
        <rFont val="Arial"/>
        <i/>
        <color theme="1"/>
      </rPr>
      <t>Sunbracers, Touch of Flame, Ember of Ashes</t>
    </r>
  </si>
  <si>
    <r>
      <rPr>
        <rFont val="Arial"/>
        <color theme="1"/>
      </rPr>
      <t xml:space="preserve">Glacial Quake
</t>
    </r>
    <r>
      <rPr>
        <rFont val="Arial"/>
        <i/>
        <color theme="1"/>
      </rPr>
      <t>light attacks, Prismatic, Facet of Ruin, Feast of Light x6, Knockout</t>
    </r>
  </si>
  <si>
    <r>
      <rPr>
        <rFont val="Arial"/>
        <color theme="1"/>
      </rPr>
      <t xml:space="preserve">Solar grenade
</t>
    </r>
    <r>
      <rPr>
        <rFont val="Arial"/>
        <i/>
        <color theme="1"/>
      </rPr>
      <t>four grenades, melee kill included, Sunbracers, Touch of Flame, Ember of Ashes</t>
    </r>
  </si>
  <si>
    <r>
      <rPr>
        <rFont val="Arial"/>
        <color theme="1"/>
      </rPr>
      <t xml:space="preserve">Stormtrance
</t>
    </r>
    <r>
      <rPr>
        <rFont val="Arial"/>
        <i/>
        <color theme="1"/>
      </rPr>
      <t>Ascending Amplitude, Facet of Courage</t>
    </r>
  </si>
  <si>
    <r>
      <rPr>
        <rFont val="Arial"/>
        <color theme="1"/>
      </rPr>
      <t xml:space="preserve">Whirling Ovation
</t>
    </r>
    <r>
      <rPr>
        <rFont val="Arial"/>
        <i/>
        <color theme="1"/>
      </rPr>
      <t>max Anticipation</t>
    </r>
  </si>
  <si>
    <r>
      <rPr>
        <rFont val="Arial"/>
        <color theme="1"/>
      </rPr>
      <t xml:space="preserve">Daybreak
</t>
    </r>
    <r>
      <rPr>
        <rFont val="Arial"/>
        <i/>
        <color theme="1"/>
      </rPr>
      <t>Dawn Chorus, Ember of Ashes, grounded</t>
    </r>
  </si>
  <si>
    <r>
      <rPr>
        <rFont val="Arial"/>
        <color theme="1"/>
      </rPr>
      <t xml:space="preserve">Flechette Storm
</t>
    </r>
    <r>
      <rPr>
        <rFont val="Arial"/>
        <i/>
        <color theme="1"/>
      </rPr>
      <t>11 volleys, Banner of War, Wish-Dragon's Talons, Insatiable</t>
    </r>
  </si>
  <si>
    <r>
      <rPr>
        <rFont val="Arial"/>
        <color theme="1"/>
      </rPr>
      <t xml:space="preserve">Aggressive shotgun
</t>
    </r>
    <r>
      <rPr>
        <rFont val="Arial"/>
        <i/>
        <color theme="1"/>
      </rPr>
      <t>body, Frenzy (Ragnhild-D)</t>
    </r>
    <r>
      <rPr>
        <rFont val="Arial"/>
        <color theme="1"/>
      </rPr>
      <t xml:space="preserve">, </t>
    </r>
    <r>
      <rPr>
        <rFont val="Arial"/>
        <i/>
        <color theme="1"/>
      </rPr>
      <t>1 shot</t>
    </r>
  </si>
  <si>
    <r>
      <rPr>
        <rFont val="Arial"/>
        <color theme="1"/>
      </rPr>
      <t xml:space="preserve">Double fire grenade launcher
</t>
    </r>
    <r>
      <rPr>
        <rFont val="Arial"/>
        <i/>
        <color theme="1"/>
      </rPr>
      <t>Spike Grenades, Bait and Switch (Wild Style), 1 shot</t>
    </r>
  </si>
  <si>
    <r>
      <rPr>
        <rFont val="Arial"/>
        <color theme="1"/>
      </rPr>
      <t xml:space="preserve">Storm's Edge
</t>
    </r>
    <r>
      <rPr>
        <rFont val="Arial"/>
        <i/>
        <color theme="1"/>
      </rPr>
      <t>Feast of Light x6, Facet of Courage, all three casts</t>
    </r>
  </si>
  <si>
    <r>
      <rPr>
        <rFont val="Arial"/>
        <color theme="1"/>
      </rPr>
      <t xml:space="preserve">Dynamic hand cannon - 180RPM special
</t>
    </r>
    <r>
      <rPr>
        <rFont val="Arial"/>
        <i/>
        <color theme="1"/>
      </rPr>
      <t>17 shot burst, e. Precision Instrument (Uncivil Discourse), Illegally Modded Holster</t>
    </r>
  </si>
  <si>
    <r>
      <rPr>
        <rFont val="Arial"/>
        <color theme="1"/>
      </rPr>
      <t xml:space="preserve">Chaos Reach
</t>
    </r>
    <r>
      <rPr>
        <rFont val="Arial"/>
        <i/>
        <color theme="1"/>
      </rPr>
      <t>Geomag Stabilizers, Sol Invictus</t>
    </r>
  </si>
  <si>
    <r>
      <rPr>
        <rFont val="Arial"/>
        <color theme="1"/>
      </rPr>
      <t xml:space="preserve">Hammer of Sol
</t>
    </r>
    <r>
      <rPr>
        <rFont val="Arial"/>
        <i/>
        <color theme="1"/>
      </rPr>
      <t>Roaring Flames x3, Sol Invictus, Ember of Ashes, Biotic Enhancements</t>
    </r>
  </si>
  <si>
    <r>
      <rPr>
        <rFont val="Arial"/>
        <color theme="1"/>
      </rPr>
      <t xml:space="preserve">Adaptive grenade launcher
</t>
    </r>
    <r>
      <rPr>
        <rFont val="Arial"/>
        <i/>
        <color theme="1"/>
      </rPr>
      <t>Spike Grenades, Bait and Switch (Edge Transit), 8 shots</t>
    </r>
  </si>
  <si>
    <r>
      <rPr>
        <rFont val="Arial"/>
        <color theme="1"/>
      </rPr>
      <t xml:space="preserve">Burning Maul
</t>
    </r>
    <r>
      <rPr>
        <rFont val="Arial"/>
        <i/>
        <color theme="1"/>
      </rPr>
      <t>heavy attacks, Roaring Flames x3, Sol Invictus, Ember of Ashes, Biotic Enhancements</t>
    </r>
  </si>
  <si>
    <r>
      <rPr>
        <rFont val="Arial"/>
        <color theme="1"/>
      </rPr>
      <t xml:space="preserve">Storm's Edge
</t>
    </r>
    <r>
      <rPr>
        <rFont val="Arial"/>
        <i/>
        <color theme="1"/>
      </rPr>
      <t>Feast of Light x6, Facet of Courage, per cast</t>
    </r>
  </si>
  <si>
    <r>
      <rPr>
        <rFont val="Arial"/>
        <color theme="1"/>
      </rPr>
      <t xml:space="preserve">Gjallarhorn
</t>
    </r>
    <r>
      <rPr>
        <rFont val="Arial"/>
        <i/>
        <color theme="1"/>
      </rPr>
      <t>2 shots</t>
    </r>
  </si>
  <si>
    <r>
      <rPr>
        <rFont val="Arial"/>
        <color theme="1"/>
      </rPr>
      <t xml:space="preserve">Chaos Reach
</t>
    </r>
    <r>
      <rPr>
        <rFont val="Arial"/>
        <i/>
        <color theme="1"/>
      </rPr>
      <t>Geomag Stabilizers</t>
    </r>
  </si>
  <si>
    <r>
      <rPr>
        <rFont val="Arial"/>
        <color theme="1"/>
      </rPr>
      <t xml:space="preserve">The Prospector
</t>
    </r>
    <r>
      <rPr>
        <rFont val="Arial"/>
        <i/>
        <color theme="1"/>
      </rPr>
      <t>full mag</t>
    </r>
  </si>
  <si>
    <r>
      <rPr>
        <rFont val="Arial"/>
        <color theme="1"/>
      </rPr>
      <t xml:space="preserve">Fists of Havoc
</t>
    </r>
    <r>
      <rPr>
        <rFont val="Arial"/>
        <i/>
        <color theme="1"/>
      </rPr>
      <t>light heavy cycle, Biotic Enhancements</t>
    </r>
  </si>
  <si>
    <r>
      <rPr>
        <rFont val="Arial"/>
        <color theme="1"/>
      </rPr>
      <t xml:space="preserve">Storm grenade
</t>
    </r>
    <r>
      <rPr>
        <rFont val="Arial"/>
        <i/>
        <color theme="1"/>
      </rPr>
      <t>Touch of Thunder, Spark of Magnitude, Empowered Grenade x2</t>
    </r>
  </si>
  <si>
    <r>
      <rPr>
        <rFont val="Arial"/>
        <color theme="1"/>
      </rPr>
      <t xml:space="preserve">Bladefury
</t>
    </r>
    <r>
      <rPr>
        <rFont val="Arial"/>
        <i/>
        <color theme="1"/>
      </rPr>
      <t>HLLLHLLLLHLLLHL, Banner of War, Biotic Enhancements, Thread of Continuity</t>
    </r>
  </si>
  <si>
    <r>
      <rPr>
        <rFont val="Arial"/>
        <color theme="1"/>
      </rPr>
      <t xml:space="preserve">Eriana's Vow
</t>
    </r>
    <r>
      <rPr>
        <rFont val="Arial"/>
        <i/>
        <color theme="1"/>
      </rPr>
      <t>primed with 3 heavy burst HC bursts, 7 shots, Illegally Modded Holster</t>
    </r>
  </si>
  <si>
    <r>
      <rPr>
        <rFont val="Arial"/>
        <color theme="1"/>
      </rPr>
      <t xml:space="preserve">Pinpoint slug shotgun
</t>
    </r>
    <r>
      <rPr>
        <rFont val="Arial"/>
        <i/>
        <color theme="1"/>
      </rPr>
      <t>Frenzy (Sojourner's Tale), 1 shot</t>
    </r>
  </si>
  <si>
    <r>
      <rPr>
        <rFont val="Arial"/>
        <color theme="1"/>
      </rPr>
      <t xml:space="preserve">Rapid-fire shotgun
</t>
    </r>
    <r>
      <rPr>
        <rFont val="Arial"/>
        <i/>
        <color theme="1"/>
      </rPr>
      <t>body, Cascade Point (IKELOS_SG_V1.0.3), 8 shots</t>
    </r>
  </si>
  <si>
    <r>
      <rPr>
        <rFont val="Arial"/>
        <color theme="1"/>
      </rPr>
      <t xml:space="preserve">Witherhoard
</t>
    </r>
    <r>
      <rPr>
        <rFont val="Arial"/>
        <i/>
        <color theme="1"/>
      </rPr>
      <t>ground</t>
    </r>
  </si>
  <si>
    <r>
      <rPr>
        <rFont val="Arial"/>
        <color rgb="FF181A1B"/>
      </rPr>
      <t xml:space="preserve">Sentinel Shield
</t>
    </r>
    <r>
      <rPr>
        <rFont val="Arial"/>
        <i/>
        <color rgb="FF181A1B"/>
      </rPr>
      <t>Biotic Enhancements, Controlled Demolition, aerial lights</t>
    </r>
  </si>
  <si>
    <r>
      <rPr>
        <rFont val="Arial"/>
        <color theme="1"/>
      </rPr>
      <t xml:space="preserve">Rapid-fire shotgun
</t>
    </r>
    <r>
      <rPr>
        <rFont val="Arial"/>
        <i/>
        <color theme="1"/>
      </rPr>
      <t>body, e. Surrounded (IKELOS_SG_V1.0.3), 8 shots</t>
    </r>
  </si>
  <si>
    <r>
      <rPr>
        <rFont val="Arial"/>
        <color rgb="FF181A1B"/>
      </rPr>
      <t xml:space="preserve">Choir of One
</t>
    </r>
    <r>
      <rPr>
        <rFont val="Arial"/>
        <i/>
        <color rgb="FF181A1B"/>
      </rPr>
      <t>projectile mode, one mag, no reload</t>
    </r>
  </si>
  <si>
    <r>
      <rPr>
        <rFont val="Arial"/>
        <color theme="1"/>
      </rPr>
      <t xml:space="preserve">Hailfire Spike
</t>
    </r>
    <r>
      <rPr>
        <rFont val="Arial"/>
        <i/>
        <color theme="1"/>
      </rPr>
      <t>Facet of Courage, Facet of Ruin</t>
    </r>
  </si>
  <si>
    <r>
      <rPr>
        <rFont val="Arial"/>
        <color theme="1"/>
      </rPr>
      <t xml:space="preserve">Winter's Wrath
</t>
    </r>
    <r>
      <rPr>
        <rFont val="Arial"/>
        <i/>
        <color theme="1"/>
      </rPr>
      <t>Feast of Light x6, light-heavy cycle, Facet of Ruin</t>
    </r>
  </si>
  <si>
    <r>
      <rPr>
        <rFont val="Arial"/>
        <color theme="1"/>
      </rPr>
      <t xml:space="preserve">Grapple melee
</t>
    </r>
    <r>
      <rPr>
        <rFont val="Arial"/>
        <i/>
        <color theme="1"/>
      </rPr>
      <t>One-Two Punch</t>
    </r>
  </si>
  <si>
    <r>
      <rPr>
        <rFont val="Arial"/>
        <color theme="1"/>
      </rPr>
      <t xml:space="preserve">Bequest
</t>
    </r>
    <r>
      <rPr>
        <rFont val="Arial"/>
        <i/>
        <color theme="1"/>
      </rPr>
      <t>heavy attack, Jagged Edge, En Garde, Pack Hunter</t>
    </r>
  </si>
  <si>
    <r>
      <rPr>
        <rFont val="Arial"/>
        <color rgb="FF181A1B"/>
      </rPr>
      <t xml:space="preserve">Bladefury
</t>
    </r>
    <r>
      <rPr>
        <rFont val="Arial"/>
        <i/>
        <color rgb="FF181A1B"/>
      </rPr>
      <t>HLLLLL, Banner of War, Biotic Enhancements, Thread of Continuity</t>
    </r>
  </si>
  <si>
    <r>
      <rPr>
        <rFont val="Arial"/>
        <color theme="1"/>
      </rPr>
      <t xml:space="preserve">Winter's Wrath
</t>
    </r>
    <r>
      <rPr>
        <rFont val="Arial"/>
        <i/>
        <color theme="1"/>
      </rPr>
      <t>Feast of Light x6, light-heavy cancel cycle, Facet of Ruin</t>
    </r>
  </si>
  <si>
    <r>
      <rPr>
        <rFont val="Arial"/>
        <color theme="1"/>
      </rPr>
      <t xml:space="preserve">Shadowshot: Moebius Quiver
</t>
    </r>
    <r>
      <rPr>
        <rFont val="Arial"/>
        <i/>
        <color theme="1"/>
      </rPr>
      <t>Orpheus Rig, all 3 volleys, assumes no other debuff</t>
    </r>
  </si>
  <si>
    <r>
      <rPr>
        <rFont val="Arial"/>
        <color theme="1"/>
      </rPr>
      <t xml:space="preserve">Magnetic grenade
</t>
    </r>
    <r>
      <rPr>
        <rFont val="Arial"/>
        <i/>
        <color theme="1"/>
      </rPr>
      <t>Chaos Accelerant</t>
    </r>
  </si>
  <si>
    <r>
      <rPr>
        <rFont val="Arial"/>
        <color theme="1"/>
      </rPr>
      <t xml:space="preserve">Lightning Surge
</t>
    </r>
    <r>
      <rPr>
        <rFont val="Arial"/>
        <i/>
        <color theme="1"/>
      </rPr>
      <t>Biotic Enhancements, Facet of Courage</t>
    </r>
  </si>
  <si>
    <r>
      <rPr>
        <rFont val="Arial"/>
        <color theme="1"/>
      </rPr>
      <t xml:space="preserve">Silkstrike
</t>
    </r>
    <r>
      <rPr>
        <rFont val="Arial"/>
        <i/>
        <color theme="1"/>
      </rPr>
      <t>light attack spam, Feast of Light x6</t>
    </r>
  </si>
  <si>
    <r>
      <rPr>
        <rFont val="Arial"/>
        <color theme="1"/>
      </rPr>
      <t xml:space="preserve">Micro-missile grenade launcher
</t>
    </r>
    <r>
      <rPr>
        <rFont val="Arial"/>
        <i/>
        <color theme="1"/>
      </rPr>
      <t>Implosion Rounds, Elemental Honing x5 (Theodolite), 1 shot</t>
    </r>
  </si>
  <si>
    <r>
      <rPr>
        <rFont val="Arial"/>
        <color theme="1"/>
      </rPr>
      <t xml:space="preserve">Aggressive sniper
</t>
    </r>
    <r>
      <rPr>
        <rFont val="Arial"/>
        <i/>
        <color theme="1"/>
      </rPr>
      <t>Firing Line (Occluded Finality), 1 shot</t>
    </r>
  </si>
  <si>
    <r>
      <rPr>
        <rFont val="Arial"/>
        <color theme="1"/>
      </rPr>
      <t>Song of Flame</t>
    </r>
    <r>
      <rPr>
        <rFont val="Arial"/>
        <color theme="1"/>
        <u/>
      </rPr>
      <t xml:space="preserve">
</t>
    </r>
    <r>
      <rPr>
        <rFont val="Arial"/>
        <i/>
        <color theme="1"/>
      </rPr>
      <t>Feast of Light x6, wisp/snap cycling, Facet of Courage</t>
    </r>
  </si>
  <si>
    <r>
      <rPr>
        <rFont val="Arial"/>
        <color theme="1"/>
      </rPr>
      <t xml:space="preserve">Lightweight shotgun
</t>
    </r>
    <r>
      <rPr>
        <rFont val="Arial"/>
        <i/>
        <color theme="1"/>
      </rPr>
      <t>body, Vorpal Weapon (Xenoclast IV), 1 shot</t>
    </r>
  </si>
  <si>
    <r>
      <rPr>
        <rFont val="Arial"/>
        <color theme="1"/>
      </rPr>
      <t xml:space="preserve">Cloudstrike
</t>
    </r>
    <r>
      <rPr>
        <rFont val="Arial"/>
        <i/>
        <color theme="1"/>
      </rPr>
      <t>3 shots</t>
    </r>
  </si>
  <si>
    <r>
      <rPr>
        <rFont val="Arial"/>
        <color theme="1"/>
      </rPr>
      <t xml:space="preserve">Stormtrance
</t>
    </r>
    <r>
      <rPr>
        <rFont val="Arial"/>
        <i/>
        <color theme="1"/>
      </rPr>
      <t>Feast of Light x6, Facet of Courage</t>
    </r>
  </si>
  <si>
    <r>
      <rPr>
        <rFont val="Arial"/>
        <color theme="1"/>
      </rPr>
      <t xml:space="preserve">Fusion grenade
</t>
    </r>
    <r>
      <rPr>
        <rFont val="Arial"/>
        <i/>
        <color theme="1"/>
      </rPr>
      <t>Touch of Flame, Ember of Ashes</t>
    </r>
  </si>
  <si>
    <r>
      <rPr>
        <rFont val="Arial"/>
        <color theme="1"/>
      </rPr>
      <t xml:space="preserve">Still Hunt
</t>
    </r>
    <r>
      <rPr>
        <rFont val="Arial"/>
        <i/>
        <color theme="1"/>
      </rPr>
      <t>Cayde's Retribution</t>
    </r>
  </si>
  <si>
    <r>
      <rPr>
        <rFont val="Arial"/>
        <color theme="1"/>
      </rPr>
      <t xml:space="preserve">Spectral Blades
</t>
    </r>
    <r>
      <rPr>
        <rFont val="Arial"/>
        <i/>
        <color theme="1"/>
      </rPr>
      <t>light attack spam, Feast of Light x6</t>
    </r>
  </si>
  <si>
    <r>
      <rPr>
        <rFont val="Arial"/>
        <color theme="1"/>
      </rPr>
      <t xml:space="preserve">Eriana's Vow
</t>
    </r>
    <r>
      <rPr>
        <rFont val="Arial"/>
        <i/>
        <color theme="1"/>
      </rPr>
      <t>1 mag, Illegally Modded Holster</t>
    </r>
  </si>
  <si>
    <r>
      <rPr>
        <rFont val="Arial"/>
        <color theme="1"/>
      </rPr>
      <t xml:space="preserve">The Last Word
</t>
    </r>
    <r>
      <rPr>
        <rFont val="Arial"/>
        <i/>
        <color theme="1"/>
      </rPr>
      <t>2 mags with Marksman reload, Illegally Modded Holster</t>
    </r>
  </si>
  <si>
    <r>
      <rPr>
        <rFont val="Arial"/>
        <color theme="1"/>
      </rPr>
      <t xml:space="preserve">Spread shot hand cannon
</t>
    </r>
    <r>
      <rPr>
        <rFont val="Arial"/>
        <i/>
        <color theme="1"/>
      </rPr>
      <t>e. Cascade Point + Vorpal Weapon (Aureus Neutralizer), 14 shot burst, Illegally Modded Holster</t>
    </r>
  </si>
  <si>
    <r>
      <rPr>
        <rFont val="Arial"/>
        <color theme="1"/>
      </rPr>
      <t xml:space="preserve">Arc Staff
</t>
    </r>
    <r>
      <rPr>
        <rFont val="Arial"/>
        <i/>
        <color theme="1"/>
      </rPr>
      <t>Raiden Flux</t>
    </r>
  </si>
  <si>
    <r>
      <rPr>
        <rFont val="Arial"/>
        <color theme="1"/>
      </rPr>
      <t xml:space="preserve">Rapid-fire slug shotgun
</t>
    </r>
    <r>
      <rPr>
        <rFont val="Arial"/>
        <i/>
        <color theme="1"/>
      </rPr>
      <t>e. Precision Instrument (Trachinus), 8 shots</t>
    </r>
  </si>
  <si>
    <r>
      <rPr>
        <rFont val="Arial"/>
        <color theme="1"/>
      </rPr>
      <t xml:space="preserve">Solar grenade
</t>
    </r>
    <r>
      <rPr>
        <rFont val="Arial"/>
        <i/>
        <color theme="1"/>
      </rPr>
      <t>Touch of Flame, Ember of Ashes</t>
    </r>
  </si>
  <si>
    <r>
      <rPr>
        <rFont val="Arial"/>
        <color theme="1"/>
      </rPr>
      <t>Song of Flame</t>
    </r>
    <r>
      <rPr>
        <rFont val="Arial"/>
        <color theme="1"/>
        <u/>
      </rPr>
      <t xml:space="preserve">
</t>
    </r>
    <r>
      <rPr>
        <rFont val="Arial"/>
        <i/>
        <color theme="1"/>
      </rPr>
      <t>Claws of Ahamkara + Necrotic Grip, snap spam, Facet of Courage</t>
    </r>
  </si>
  <si>
    <r>
      <rPr>
        <rFont val="Arial"/>
        <color theme="1"/>
      </rPr>
      <t xml:space="preserve">Winter's Wrath
</t>
    </r>
    <r>
      <rPr>
        <rFont val="Arial"/>
        <i/>
        <color theme="1"/>
      </rPr>
      <t>Ballidorse Wrathweavers, light-heavy cancel cycle, Whisper of Fissures</t>
    </r>
  </si>
  <si>
    <r>
      <rPr>
        <rFont val="Arial"/>
        <color theme="1"/>
      </rPr>
      <t xml:space="preserve">Pulse grenade
</t>
    </r>
    <r>
      <rPr>
        <rFont val="Arial"/>
        <i/>
        <color theme="1"/>
      </rPr>
      <t>Facet of Courage</t>
    </r>
  </si>
  <si>
    <r>
      <rPr>
        <rFont val="Arial"/>
        <color theme="1"/>
      </rPr>
      <t xml:space="preserve">Caster sword
</t>
    </r>
    <r>
      <rPr>
        <rFont val="Arial"/>
        <i/>
        <color theme="1"/>
      </rPr>
      <t>heavy attack, Jagged Edge, En Garde (Ill Omen), Pack Hunter</t>
    </r>
  </si>
  <si>
    <r>
      <rPr>
        <rFont val="Arial"/>
        <color theme="1"/>
      </rPr>
      <t xml:space="preserve">Winter's Wrath
</t>
    </r>
    <r>
      <rPr>
        <rFont val="Arial"/>
        <i/>
        <color theme="1"/>
      </rPr>
      <t>Ballidorse Wrathweavers, light-heavy cycle, Whisper of Fissures</t>
    </r>
  </si>
  <si>
    <r>
      <rPr>
        <rFont val="Arial"/>
        <color theme="1"/>
      </rPr>
      <t xml:space="preserve">Fists of Havoc
</t>
    </r>
    <r>
      <rPr>
        <rFont val="Arial"/>
        <i/>
        <color theme="1"/>
      </rPr>
      <t>heavy attacks, Biotic Enhancements</t>
    </r>
  </si>
  <si>
    <r>
      <rPr>
        <rFont val="Arial"/>
        <color rgb="FF181A1B"/>
      </rPr>
      <t xml:space="preserve">Sentinel Shield
</t>
    </r>
    <r>
      <rPr>
        <rFont val="Arial"/>
        <i/>
        <color rgb="FF181A1B"/>
      </rPr>
      <t>Biotic Enhancements, Controlled Demolition, grounded spam</t>
    </r>
  </si>
  <si>
    <r>
      <rPr>
        <rFont val="Arial"/>
        <color theme="1"/>
      </rPr>
      <t xml:space="preserve">Tessellation
</t>
    </r>
    <r>
      <rPr>
        <rFont val="Arial"/>
        <i/>
        <color theme="1"/>
      </rPr>
      <t>Property: Irreducible, includes re-proc time, Transcendent but excludes 5%</t>
    </r>
  </si>
  <si>
    <r>
      <rPr>
        <rFont val="Arial"/>
        <color rgb="FF181A1B"/>
      </rPr>
      <t xml:space="preserve">Choir of One
</t>
    </r>
    <r>
      <rPr>
        <rFont val="Arial"/>
        <i/>
        <color rgb="FF181A1B"/>
      </rPr>
      <t>projectile mode, one mag, reload</t>
    </r>
  </si>
  <si>
    <r>
      <rPr>
        <rFont val="Arial"/>
        <color theme="1"/>
      </rPr>
      <t xml:space="preserve">Malfeasance
</t>
    </r>
    <r>
      <rPr>
        <rFont val="Arial"/>
        <i/>
        <color theme="1"/>
      </rPr>
      <t>17 shot burst, blighted, Illegally Modded Holster</t>
    </r>
  </si>
  <si>
    <r>
      <rPr>
        <rFont val="Arial"/>
        <color theme="1"/>
      </rPr>
      <t xml:space="preserve">Scatter grenade
</t>
    </r>
    <r>
      <rPr>
        <rFont val="Arial"/>
        <i/>
        <color theme="1"/>
      </rPr>
      <t>Chaos Accelerant</t>
    </r>
  </si>
  <si>
    <r>
      <rPr>
        <rFont val="Arial"/>
        <color rgb="FF181A1B"/>
      </rPr>
      <t xml:space="preserve">Hawkmoon
</t>
    </r>
    <r>
      <rPr>
        <rFont val="Arial"/>
        <i/>
        <color rgb="FF181A1B"/>
      </rPr>
      <t>primed with 3 heavy burst HC bursts, 9 shots, Paracausal Shot, Illegally Modded Holster</t>
    </r>
  </si>
  <si>
    <r>
      <rPr>
        <rFont val="Arial"/>
        <color theme="1"/>
      </rPr>
      <t xml:space="preserve">Heavy burst hand cannon
</t>
    </r>
    <r>
      <rPr>
        <rFont val="Arial"/>
        <i/>
        <color theme="1"/>
      </rPr>
      <t>e. Precision Instrument (Agape), 13 bursts, Illegally Modded Holster</t>
    </r>
  </si>
  <si>
    <r>
      <rPr>
        <rFont val="Arial"/>
        <color theme="1"/>
      </rPr>
      <t xml:space="preserve">Final Warning
</t>
    </r>
    <r>
      <rPr>
        <rFont val="Arial"/>
        <i/>
        <color theme="1"/>
      </rPr>
      <t>15 shot half charge auto into tap fire burst, catalyst</t>
    </r>
  </si>
  <si>
    <r>
      <rPr>
        <rFont val="Arial"/>
        <color theme="1"/>
      </rPr>
      <t xml:space="preserve">Tripmine grenade
</t>
    </r>
    <r>
      <rPr>
        <rFont val="Arial"/>
        <i/>
        <color theme="1"/>
      </rPr>
      <t>Young Ahamkara's Spine, Ember of Ashes</t>
    </r>
  </si>
  <si>
    <r>
      <rPr>
        <rFont val="Arial"/>
        <color rgb="FF181A1B"/>
      </rPr>
      <t xml:space="preserve">Hawkmoon
</t>
    </r>
    <r>
      <rPr>
        <rFont val="Arial"/>
        <i/>
        <color rgb="FF181A1B"/>
      </rPr>
      <t>9 shots, Paracausal Shot, Illegally Modded Holster</t>
    </r>
  </si>
  <si>
    <r>
      <rPr>
        <rFont val="Arial"/>
        <color theme="1"/>
      </rPr>
      <t xml:space="preserve">Tripmine grenade
</t>
    </r>
    <r>
      <rPr>
        <rFont val="Arial"/>
        <i/>
        <color theme="1"/>
      </rPr>
      <t>Ember of Ashes</t>
    </r>
  </si>
  <si>
    <r>
      <rPr>
        <rFont val="Arial"/>
        <color theme="1"/>
      </rPr>
      <t xml:space="preserve">Freezing Singularity
</t>
    </r>
    <r>
      <rPr>
        <rFont val="Arial"/>
        <i/>
        <color theme="1"/>
      </rPr>
      <t>Facet of Courage, Facet of Ruin</t>
    </r>
  </si>
  <si>
    <r>
      <rPr>
        <rFont val="Arial"/>
        <color theme="1"/>
      </rPr>
      <t xml:space="preserve">Electrified Snare
</t>
    </r>
    <r>
      <rPr>
        <rFont val="Arial"/>
        <i/>
        <color theme="1"/>
      </rPr>
      <t>Facet of Courage</t>
    </r>
  </si>
  <si>
    <r>
      <rPr>
        <rFont val="Arial"/>
        <color theme="1"/>
      </rPr>
      <t xml:space="preserve">Solar grenade
</t>
    </r>
    <r>
      <rPr>
        <rFont val="Arial"/>
        <i/>
        <color theme="1"/>
      </rPr>
      <t>Ember of Ashes</t>
    </r>
  </si>
  <si>
    <r>
      <rPr>
        <rFont val="Arial"/>
        <color theme="1"/>
      </rPr>
      <t xml:space="preserve">Vortex grenade
</t>
    </r>
    <r>
      <rPr>
        <rFont val="Arial"/>
        <i/>
        <color theme="1"/>
      </rPr>
      <t>Facet of Courage</t>
    </r>
  </si>
  <si>
    <r>
      <rPr>
        <rFont val="Arial"/>
        <color theme="1"/>
      </rPr>
      <t xml:space="preserve">Threadling grenade
</t>
    </r>
    <r>
      <rPr>
        <rFont val="Arial"/>
        <i/>
        <color theme="1"/>
      </rPr>
      <t>Thread of Evolution</t>
    </r>
  </si>
  <si>
    <r>
      <rPr>
        <rFont val="Arial"/>
        <color theme="1"/>
      </rPr>
      <t xml:space="preserve">Whirling Ovation
</t>
    </r>
    <r>
      <rPr>
        <rFont val="Arial"/>
        <i/>
        <color theme="1"/>
      </rPr>
      <t>no Anticipation</t>
    </r>
  </si>
  <si>
    <r>
      <rPr>
        <rFont val="Arial"/>
        <color theme="1"/>
      </rPr>
      <t xml:space="preserve">Malfeasance
</t>
    </r>
    <r>
      <rPr>
        <rFont val="Arial"/>
        <i/>
        <color theme="1"/>
      </rPr>
      <t>17 shot burst, Illegally Modded Holster</t>
    </r>
  </si>
  <si>
    <r>
      <rPr>
        <rFont val="Arial"/>
        <color theme="1"/>
      </rPr>
      <t xml:space="preserve">Twilight Arsenal
</t>
    </r>
    <r>
      <rPr>
        <rFont val="Arial"/>
        <i/>
        <color theme="1"/>
      </rPr>
      <t>axe heavy attack</t>
    </r>
  </si>
  <si>
    <r>
      <rPr>
        <rFont val="Arial"/>
        <color theme="1"/>
      </rPr>
      <t xml:space="preserve">Rapid-fire fusion
</t>
    </r>
    <r>
      <rPr>
        <rFont val="Arial"/>
        <i/>
        <color theme="1"/>
      </rPr>
      <t>Charge MW, Accelerated Coils, Vorpal Weapon (Cartesian Coordinate), 1 shot</t>
    </r>
  </si>
  <si>
    <r>
      <rPr>
        <rFont val="Arial"/>
        <color theme="1"/>
      </rPr>
      <t xml:space="preserve">Precision hand cannon
</t>
    </r>
    <r>
      <rPr>
        <rFont val="Arial"/>
        <i/>
        <color theme="1"/>
      </rPr>
      <t>17 shot burst, e. Precision Instrument (Sightline Survey), Illegally Modded Holster</t>
    </r>
  </si>
  <si>
    <r>
      <rPr>
        <rFont val="Arial"/>
        <color theme="1"/>
      </rPr>
      <t xml:space="preserve">Crimson
</t>
    </r>
    <r>
      <rPr>
        <rFont val="Arial"/>
        <i/>
        <color theme="1"/>
      </rPr>
      <t>1 mag, Illegally Modded Holster</t>
    </r>
  </si>
  <si>
    <r>
      <rPr>
        <rFont val="Arial"/>
        <color theme="1"/>
      </rPr>
      <t xml:space="preserve">Storm grenade
</t>
    </r>
    <r>
      <rPr>
        <rFont val="Arial"/>
        <i/>
        <color theme="1"/>
      </rPr>
      <t>Facet of Courage</t>
    </r>
  </si>
  <si>
    <r>
      <rPr>
        <rFont val="Arial"/>
        <color theme="1"/>
      </rPr>
      <t xml:space="preserve">Incinerator Snap
</t>
    </r>
    <r>
      <rPr>
        <rFont val="Arial"/>
        <i/>
        <color theme="1"/>
      </rPr>
      <t>Ember of Ashes</t>
    </r>
  </si>
  <si>
    <r>
      <rPr>
        <rFont val="Arial"/>
        <color rgb="FF181A1B"/>
      </rPr>
      <t xml:space="preserve">Axion Bolt
</t>
    </r>
    <r>
      <rPr>
        <rFont val="Arial"/>
        <i/>
        <color rgb="FF181A1B"/>
      </rPr>
      <t>Chaos Accelerant</t>
    </r>
  </si>
  <si>
    <r>
      <rPr>
        <rFont val="Arial"/>
        <color theme="1"/>
      </rPr>
      <t>Song of Flame</t>
    </r>
    <r>
      <rPr>
        <rFont val="Arial"/>
        <color theme="1"/>
        <u/>
      </rPr>
      <t xml:space="preserve">
</t>
    </r>
    <r>
      <rPr>
        <rFont val="Arial"/>
        <i/>
        <color theme="1"/>
      </rPr>
      <t>snap spam</t>
    </r>
  </si>
  <si>
    <r>
      <rPr>
        <rFont val="Arial"/>
        <color theme="1"/>
      </rPr>
      <t xml:space="preserve">Throwing Hammer
</t>
    </r>
    <r>
      <rPr>
        <rFont val="Arial"/>
        <i/>
        <color theme="1"/>
      </rPr>
      <t>Roaring Flames x3, Biotic Enhancements</t>
    </r>
  </si>
  <si>
    <r>
      <rPr>
        <rFont val="Arial"/>
        <color theme="1"/>
      </rPr>
      <t xml:space="preserve">Twilight Arsenal
</t>
    </r>
    <r>
      <rPr>
        <rFont val="Arial"/>
        <i/>
        <color theme="1"/>
      </rPr>
      <t>axe light attack spam</t>
    </r>
  </si>
  <si>
    <r>
      <rPr>
        <rFont val="Arial"/>
        <color theme="1"/>
      </rPr>
      <t xml:space="preserve">Ergo Sum
</t>
    </r>
    <r>
      <rPr>
        <rFont val="Arial"/>
        <i/>
        <color theme="1"/>
      </rPr>
      <t>caster frame, heavy attack, The Perfect Fifth, Ember of Ashes, Pack Hunter</t>
    </r>
  </si>
  <si>
    <r>
      <rPr>
        <b/>
        <color rgb="FFFFFFFF"/>
      </rPr>
      <t>INFO</t>
    </r>
    <r>
      <rPr>
        <b/>
        <color rgb="FFFFFFFF"/>
      </rPr>
      <t xml:space="preserve"> </t>
    </r>
    <r>
      <rPr>
        <b val="0"/>
        <color rgb="FFFFFFFF"/>
      </rPr>
      <t>(click for sheet link)</t>
    </r>
  </si>
  <si>
    <t>Activity</t>
  </si>
  <si>
    <r>
      <rPr>
        <rFont val="Arial"/>
        <b/>
        <color rgb="FFFFFFFF"/>
        <sz val="7.0"/>
      </rPr>
      <t xml:space="preserve">ingame
</t>
    </r>
    <r>
      <rPr>
        <rFont val="Arial"/>
        <b/>
        <color rgb="FFFFFFFF"/>
      </rPr>
      <t>Health</t>
    </r>
  </si>
  <si>
    <r>
      <rPr>
        <rFont val="Arial"/>
        <b/>
        <color rgb="FFFFFFFF"/>
        <sz val="7.0"/>
      </rPr>
      <t xml:space="preserve">effective
</t>
    </r>
    <r>
      <rPr>
        <rFont val="Arial"/>
        <b/>
        <color rgb="FFFFFFFF"/>
      </rPr>
      <t>Health</t>
    </r>
  </si>
  <si>
    <t>Model</t>
  </si>
  <si>
    <t>Species</t>
  </si>
  <si>
    <t>Mechanics</t>
  </si>
  <si>
    <t>Setup</t>
  </si>
  <si>
    <t>Adds</t>
  </si>
  <si>
    <t>Range</t>
  </si>
  <si>
    <t>Phase</t>
  </si>
  <si>
    <r>
      <rPr>
        <rFont val="Arial"/>
        <b/>
        <color rgb="FFFFFFFF"/>
        <sz val="7.0"/>
      </rPr>
      <t xml:space="preserve">clearable
</t>
    </r>
    <r>
      <rPr>
        <rFont val="Arial"/>
        <b/>
        <color rgb="FFFFFFFF"/>
      </rPr>
      <t>DPS</t>
    </r>
  </si>
  <si>
    <r>
      <rPr>
        <rFont val="Arial"/>
        <b/>
        <color rgb="FFFFFFFF"/>
        <sz val="7.0"/>
      </rPr>
      <t xml:space="preserve">1 phase
</t>
    </r>
    <r>
      <rPr>
        <rFont val="Arial"/>
        <b/>
        <color rgb="FFFFFFFF"/>
      </rPr>
      <t>DPS</t>
    </r>
  </si>
  <si>
    <r>
      <rPr>
        <rFont val="Arial"/>
        <b/>
        <color rgb="FFFFFFFF"/>
        <sz val="7.0"/>
      </rPr>
      <t xml:space="preserve">1 phase
</t>
    </r>
    <r>
      <rPr>
        <rFont val="Arial"/>
        <b/>
        <color rgb="FFFFFFFF"/>
      </rPr>
      <t>Description</t>
    </r>
  </si>
  <si>
    <t>Mods</t>
  </si>
  <si>
    <t>Last Wish</t>
  </si>
  <si>
    <t>Kalli</t>
  </si>
  <si>
    <t>2x impact damage to head hitbox</t>
  </si>
  <si>
    <t>Techeun</t>
  </si>
  <si>
    <t>Taken</t>
  </si>
  <si>
    <t>Plate trapping</t>
  </si>
  <si>
    <t>Medium</t>
  </si>
  <si>
    <t>Few
Close</t>
  </si>
  <si>
    <t>Close</t>
  </si>
  <si>
    <t>30s middle damage</t>
  </si>
  <si>
    <t>Transcendent Blessing
Riven's Curse</t>
  </si>
  <si>
    <t>Shuro Chi</t>
  </si>
  <si>
    <t>Six breaks</t>
  </si>
  <si>
    <t>Short</t>
  </si>
  <si>
    <t>No</t>
  </si>
  <si>
    <t>Close to medium</t>
  </si>
  <si>
    <t>per break</t>
  </si>
  <si>
    <t>Morgeth</t>
  </si>
  <si>
    <t>40% DR to Sleeper, 45% DR to snipers, 55% DR to shotguns</t>
  </si>
  <si>
    <t>Ogre</t>
  </si>
  <si>
    <t>Long</t>
  </si>
  <si>
    <t>Many
Medium</t>
  </si>
  <si>
    <t>30s damage</t>
  </si>
  <si>
    <t>Riven</t>
  </si>
  <si>
    <t>40% DR to Sleeper, 45% DR to snipers, 55% DR to shotguns
Face hitbox visually takes 2x damage</t>
  </si>
  <si>
    <t>Ahamkara</t>
  </si>
  <si>
    <t>Sending</t>
  </si>
  <si>
    <t>Many
Close</t>
  </si>
  <si>
    <r>
      <rPr>
        <rFont val="Arial"/>
        <color theme="1"/>
      </rPr>
      <t>N</t>
    </r>
    <r>
      <rPr>
        <rFont val="Arial"/>
        <color rgb="FF181A1B"/>
      </rPr>
      <t>/A</t>
    </r>
  </si>
  <si>
    <t>bottom floor damage</t>
  </si>
  <si>
    <t>Garden of Salvation</t>
  </si>
  <si>
    <t>Consecrated</t>
  </si>
  <si>
    <t>Harpy</t>
  </si>
  <si>
    <t>Vex</t>
  </si>
  <si>
    <t>Twelve eyes, backwards movement, projectile avoidance, temporary relay</t>
  </si>
  <si>
    <t>Enhanced Relay Defender</t>
  </si>
  <si>
    <t>Sanctified</t>
  </si>
  <si>
    <t>shoot bottom half of crit for consistency
Divinity bubble appears under feet</t>
  </si>
  <si>
    <t>Minotaur</t>
  </si>
  <si>
    <t>Two/three person tether, persistent relay, ground vs. air hitbox</t>
  </si>
  <si>
    <t>Far</t>
  </si>
  <si>
    <t>includes ground, single tether</t>
  </si>
  <si>
    <t>Deep Stone Crypt</t>
  </si>
  <si>
    <t>Crypt Security</t>
  </si>
  <si>
    <r>
      <rPr>
        <rFont val="Arial"/>
        <color theme="1"/>
      </rPr>
      <t xml:space="preserve">takes base value damage (no scalars)
</t>
    </r>
    <r>
      <rPr>
        <rFont val="Arial"/>
        <b/>
        <color theme="1"/>
      </rPr>
      <t>proxy boss</t>
    </r>
    <r>
      <rPr>
        <rFont val="Arial"/>
        <color theme="1"/>
      </rPr>
      <t xml:space="preserve"> (crits, surges, most debuffs, some perks, and some buffs don't work)</t>
    </r>
  </si>
  <si>
    <t>Object</t>
  </si>
  <si>
    <t>Fallen</t>
  </si>
  <si>
    <t>Random fuse order, two chamber room</t>
  </si>
  <si>
    <t>Variable</t>
  </si>
  <si>
    <r>
      <rPr>
        <rFont val="Arial"/>
        <color theme="1"/>
      </rPr>
      <t>N</t>
    </r>
    <r>
      <rPr>
        <rFont val="Arial"/>
        <color rgb="FF181A1B"/>
      </rPr>
      <t>/A</t>
    </r>
  </si>
  <si>
    <t>Atraks</t>
  </si>
  <si>
    <r>
      <rPr>
        <rFont val="Arial"/>
        <b/>
        <color theme="1"/>
      </rPr>
      <t>proxy boss</t>
    </r>
    <r>
      <rPr>
        <rFont val="Arial"/>
        <color theme="1"/>
      </rPr>
      <t xml:space="preserve"> (crits, surges, most debuffs, some perks, and some buffs don't work)</t>
    </r>
  </si>
  <si>
    <t>Baron</t>
  </si>
  <si>
    <t>Scanner call, clone disappearance, proxy boss</t>
  </si>
  <si>
    <t>None</t>
  </si>
  <si>
    <t>one floor</t>
  </si>
  <si>
    <t>Taniks</t>
  </si>
  <si>
    <t>Captain</t>
  </si>
  <si>
    <t>Add clear-gated start, shock field</t>
  </si>
  <si>
    <t>one boop</t>
  </si>
  <si>
    <t>Vault of Glass</t>
  </si>
  <si>
    <t>Templar</t>
  </si>
  <si>
    <t>takes reduced explosive damage outside of raised state (Ritual of Negation)</t>
  </si>
  <si>
    <t>Standard</t>
  </si>
  <si>
    <t>Relic super, detains, teleport blocks</t>
  </si>
  <si>
    <t>no teleport</t>
  </si>
  <si>
    <t>Atheon</t>
  </si>
  <si>
    <t>currently takes 5x damage
normally takes 3x grenade damage</t>
  </si>
  <si>
    <t>Final wave of oracles, Time's Vengeance</t>
  </si>
  <si>
    <t>Many
Varies</t>
  </si>
  <si>
    <t>Vow of the Disciple</t>
  </si>
  <si>
    <t>Caretaker</t>
  </si>
  <si>
    <t>2x damage on plate
"fake" 25% boost past threshold</t>
  </si>
  <si>
    <t>Abomination</t>
  </si>
  <si>
    <t>Scorn</t>
  </si>
  <si>
    <t>Pervading Darkness missiles, plate damage, post-threshold timer</t>
  </si>
  <si>
    <t>constant pace one plate one floor</t>
  </si>
  <si>
    <t>Into the Light</t>
  </si>
  <si>
    <t>Rhulk</t>
  </si>
  <si>
    <t>exploding crits are purely visual</t>
  </si>
  <si>
    <t>Subjugator</t>
  </si>
  <si>
    <t>Lubraean</t>
  </si>
  <si>
    <t>Four crits, Pervading Darkness beams, roaming position</t>
  </si>
  <si>
    <t>Many
Far</t>
  </si>
  <si>
    <t>King's Fall</t>
  </si>
  <si>
    <t>Warpriest</t>
  </si>
  <si>
    <t>Knight</t>
  </si>
  <si>
    <t>Hive</t>
  </si>
  <si>
    <t>Brand Claimers, glyph reading</t>
  </si>
  <si>
    <t>zero knight</t>
  </si>
  <si>
    <t>Golgoroth</t>
  </si>
  <si>
    <t>Unstable Light does 13501 (+0)</t>
  </si>
  <si>
    <t>Golgoroth's Gaze, Pools of Reclaimed Light</t>
  </si>
  <si>
    <t>one bubble</t>
  </si>
  <si>
    <t>Daughters</t>
  </si>
  <si>
    <t>Wizard</t>
  </si>
  <si>
    <t>Brand Claimers, lethal raised boss platform</t>
  </si>
  <si>
    <t>Oryx</t>
  </si>
  <si>
    <r>
      <rPr>
        <rFont val="Arial"/>
        <b/>
        <color theme="1"/>
      </rPr>
      <t>setpiece boss</t>
    </r>
    <r>
      <rPr>
        <rFont val="Arial"/>
        <color theme="1"/>
      </rPr>
      <t xml:space="preserve"> (projectile tracking and tethering don't work)</t>
    </r>
  </si>
  <si>
    <t>Corrupted Lights</t>
  </si>
  <si>
    <t>Root of Nightmares</t>
  </si>
  <si>
    <t>Explicator</t>
  </si>
  <si>
    <t>Incendior</t>
  </si>
  <si>
    <t>Cabal</t>
  </si>
  <si>
    <t>Alternating buff plates, post-threshold timer</t>
  </si>
  <si>
    <t>two plate</t>
  </si>
  <si>
    <t>Focused Light
Focused Darkness</t>
  </si>
  <si>
    <t>Nezarec</t>
  </si>
  <si>
    <t>Tormentor</t>
  </si>
  <si>
    <t>Suppressing melee attack, teleports</t>
  </si>
  <si>
    <t>Crota's End</t>
  </si>
  <si>
    <t>Ir Yut</t>
  </si>
  <si>
    <t>Dark Procession, teleports</t>
  </si>
  <si>
    <t>Crota</t>
  </si>
  <si>
    <t>takes 35% more damage from swords</t>
  </si>
  <si>
    <t>Relics, slam attack</t>
  </si>
  <si>
    <t>Salvation's Edge</t>
  </si>
  <si>
    <t>Herald</t>
  </si>
  <si>
    <t>Resonance dunks</t>
  </si>
  <si>
    <t>Witness</t>
  </si>
  <si>
    <r>
      <rPr>
        <rFont val="Arial"/>
        <b/>
        <color theme="1"/>
      </rPr>
      <t>setpiece boss</t>
    </r>
    <r>
      <rPr>
        <rFont val="Arial"/>
        <color theme="1"/>
      </rPr>
      <t xml:space="preserve"> (projectile tracking and tethering don't work)</t>
    </r>
  </si>
  <si>
    <t>Glyphbreaker, dynamic wave attacks</t>
  </si>
  <si>
    <t>Desert Perpetual</t>
  </si>
  <si>
    <t>Agraios</t>
  </si>
  <si>
    <t>Hobgoblin</t>
  </si>
  <si>
    <t>Teleports, accelerator rings, laser detain</t>
  </si>
  <si>
    <t>Varies</t>
  </si>
  <si>
    <t>Epoptes</t>
  </si>
  <si>
    <t>Hydra</t>
  </si>
  <si>
    <t>Rotating eye lights</t>
  </si>
  <si>
    <t>Iatros</t>
  </si>
  <si>
    <t>has 35% DR against non-super damage</t>
  </si>
  <si>
    <t>Wyvern</t>
  </si>
  <si>
    <t>Diastole pulses</t>
  </si>
  <si>
    <t>Koregos</t>
  </si>
  <si>
    <t>not a construct
Surrounded/Biotic can be obtained by jumping a little</t>
  </si>
  <si>
    <t>Chronon refresh, rotating lasers</t>
  </si>
  <si>
    <t>Few
Medium</t>
  </si>
  <si>
    <t>The Shattered Throne</t>
  </si>
  <si>
    <t>Vorgeth</t>
  </si>
  <si>
    <t>Petitioner's Burden</t>
  </si>
  <si>
    <t>Few
Far</t>
  </si>
  <si>
    <t>Dul Incaru</t>
  </si>
  <si>
    <t>takes elite scaling (see: Wardcliff)</t>
  </si>
  <si>
    <t>Finite Thought</t>
  </si>
  <si>
    <t>Pit of Heresy</t>
  </si>
  <si>
    <t>Zulmak</t>
  </si>
  <si>
    <t>Heinous Rite</t>
  </si>
  <si>
    <t>Prophecy</t>
  </si>
  <si>
    <t>Phalanx
Echo</t>
  </si>
  <si>
    <t>Kell
Echo</t>
  </si>
  <si>
    <t>wipe screen reports 2x more damage</t>
  </si>
  <si>
    <t>Grasp of Avarice</t>
  </si>
  <si>
    <t>Phry'zhia</t>
  </si>
  <si>
    <t>Avarokk</t>
  </si>
  <si>
    <t>Gahlran</t>
  </si>
  <si>
    <t>Unstable Essence: +50% damage</t>
  </si>
  <si>
    <t>Ceremonial Bather</t>
  </si>
  <si>
    <t>Unstable Essence</t>
  </si>
  <si>
    <t>Ka'hok
Emonut
Uroa</t>
  </si>
  <si>
    <t>excludes elemental shield</t>
  </si>
  <si>
    <t>Legionary
Incendior
Centurion</t>
  </si>
  <si>
    <t>Caiatl</t>
  </si>
  <si>
    <t>90% DR without Waking Resonance
1.5x to crit multiplier (see formula)</t>
  </si>
  <si>
    <t>Bells</t>
  </si>
  <si>
    <t>Few
Varies</t>
  </si>
  <si>
    <t>one bell</t>
  </si>
  <si>
    <t>Spire of the Watcher</t>
  </si>
  <si>
    <t>Akelous</t>
  </si>
  <si>
    <t>Twelve eyes (part of phase), backwards movement, projectile avoidance</t>
  </si>
  <si>
    <t>Persys</t>
  </si>
  <si>
    <t>Ghosts of the Deep</t>
  </si>
  <si>
    <t>Ecthar</t>
  </si>
  <si>
    <t>excludes shield, ~10800 health</t>
  </si>
  <si>
    <t>Lucent Hive</t>
  </si>
  <si>
    <t>Piercing Light</t>
  </si>
  <si>
    <t>Simmumah</t>
  </si>
  <si>
    <t>Warlord's Ruin</t>
  </si>
  <si>
    <t>Rathil</t>
  </si>
  <si>
    <t>Chieftain</t>
  </si>
  <si>
    <t>Locus</t>
  </si>
  <si>
    <t>Flame damage locations</t>
  </si>
  <si>
    <t>one flame</t>
  </si>
  <si>
    <t>Hefnd</t>
  </si>
  <si>
    <t>Chimera</t>
  </si>
  <si>
    <t>Vesper's Host</t>
  </si>
  <si>
    <t>Raneiks</t>
  </si>
  <si>
    <t>~65% global DR
split bodies but not proxy</t>
  </si>
  <si>
    <t>Servitor</t>
  </si>
  <si>
    <t>DR with split body</t>
  </si>
  <si>
    <t>Puppeteer</t>
  </si>
  <si>
    <t>Core dunk, teleports</t>
  </si>
  <si>
    <t>Medium to far</t>
  </si>
  <si>
    <t>Sundered Doctrine</t>
  </si>
  <si>
    <t>Zoetic Lockset</t>
  </si>
  <si>
    <r>
      <rPr>
        <rFont val="Arial"/>
        <b/>
        <color rgb="FF181A1B"/>
      </rPr>
      <t>proxy boss</t>
    </r>
    <r>
      <rPr>
        <rFont val="Arial"/>
        <color rgb="FF181A1B"/>
      </rPr>
      <t xml:space="preserve"> (crits, surges, most debuffs, some perks, and some buffs don't work)</t>
    </r>
  </si>
  <si>
    <t>Shrieker</t>
  </si>
  <si>
    <t>Dread</t>
  </si>
  <si>
    <t>Randomly opening split body</t>
  </si>
  <si>
    <t>Varies
Medium</t>
  </si>
  <si>
    <t>Kerrev</t>
  </si>
  <si>
    <t>Weaver</t>
  </si>
  <si>
    <t>Equilibrium</t>
  </si>
  <si>
    <t>Harrow</t>
  </si>
  <si>
    <t>Cabal?</t>
  </si>
  <si>
    <t>Fuse extension</t>
  </si>
  <si>
    <t>no extension</t>
  </si>
  <si>
    <t>Sere</t>
  </si>
  <si>
    <t>Dredgen</t>
  </si>
  <si>
    <t>Human</t>
  </si>
  <si>
    <t>Compel vs. kill
Arc inversion attack</t>
  </si>
  <si>
    <t>five compels</t>
  </si>
  <si>
    <t>TESTING</t>
  </si>
  <si>
    <t>INFORMATIONAL</t>
  </si>
  <si>
    <t>REAL</t>
  </si>
  <si>
    <t>Weapon</t>
  </si>
  <si>
    <t>Explosion</t>
  </si>
  <si>
    <t>Impact</t>
  </si>
  <si>
    <t>WP1</t>
  </si>
  <si>
    <t>WP2</t>
  </si>
  <si>
    <t>Actual</t>
  </si>
  <si>
    <t>A/B</t>
  </si>
  <si>
    <t>A/P</t>
  </si>
  <si>
    <t>None [1]</t>
  </si>
  <si>
    <t>26% boost to base damage</t>
  </si>
  <si>
    <t>None [5]</t>
  </si>
  <si>
    <t>Pack Hunter scaling is identical with multiple players</t>
  </si>
  <si>
    <t>Bait and Switch [5]</t>
  </si>
  <si>
    <t>Bait is not applied to the impact of the first rocket</t>
  </si>
  <si>
    <t>Explosive Light [5]</t>
  </si>
  <si>
    <t>~20% per rocket</t>
  </si>
  <si>
    <t>Lasting Impression [5]</t>
  </si>
  <si>
    <t>~17% per rocket</t>
  </si>
  <si>
    <t>Taniks, Impact Casing, Boss Spec, Radiant Dance Machines, Season of the Wish (S23)</t>
  </si>
  <si>
    <t>LIGHT</t>
  </si>
  <si>
    <t>HEAVY</t>
  </si>
  <si>
    <t>1H2L + PACK</t>
  </si>
  <si>
    <t>1H2L + PACK + FT</t>
  </si>
  <si>
    <t>LWT</t>
  </si>
  <si>
    <t>VOR</t>
  </si>
  <si>
    <t>AGG</t>
  </si>
  <si>
    <t>CAS</t>
  </si>
  <si>
    <t>WAV</t>
  </si>
  <si>
    <t>Caster heavy appears to have some chunking
Bequest has ~192K DPS for reference</t>
  </si>
  <si>
    <t>Transcendent</t>
  </si>
  <si>
    <t>16-21% increase to base damage while Transcendent</t>
  </si>
  <si>
    <r>
      <rPr>
        <rFont val="Arial"/>
        <color theme="1"/>
      </rPr>
      <t xml:space="preserve">Pack Hunter
</t>
    </r>
    <r>
      <rPr>
        <rFont val="Arial"/>
        <i/>
        <color theme="1"/>
      </rPr>
      <t>Transcendent</t>
    </r>
  </si>
  <si>
    <t>The Perfect Fifth</t>
  </si>
  <si>
    <t>0.36% increase from Enduring to Jagged
Unpowered vortex spam does ~115K DPS
Caster 1H2L only loses ~10% damage in fireteams</t>
  </si>
  <si>
    <r>
      <rPr>
        <rFont val="Arial"/>
        <color theme="1"/>
      </rPr>
      <t xml:space="preserve">The Perfect Fifth
</t>
    </r>
    <r>
      <rPr>
        <rFont val="Arial"/>
        <i/>
        <color theme="1"/>
      </rPr>
      <t>Transcendent</t>
    </r>
  </si>
  <si>
    <t>Unplanned Reprieve</t>
  </si>
  <si>
    <t>Wave frames have inconsistent bolt spread
~12.13% buff to lightweight combo post-Telesto buff</t>
  </si>
  <si>
    <r>
      <rPr>
        <rFont val="Arial"/>
        <color theme="1"/>
      </rPr>
      <t xml:space="preserve">Unplanned Reprieve
</t>
    </r>
    <r>
      <rPr>
        <rFont val="Arial"/>
        <i/>
        <color theme="1"/>
      </rPr>
      <t>Transcendent</t>
    </r>
  </si>
  <si>
    <t>Arc Conductor</t>
  </si>
  <si>
    <t>Guaranteed passive increase</t>
  </si>
  <si>
    <r>
      <rPr>
        <rFont val="Arial"/>
        <color theme="1"/>
      </rPr>
      <t xml:space="preserve">Arc Conductor
</t>
    </r>
    <r>
      <rPr>
        <rFont val="Arial"/>
        <i/>
        <color theme="1"/>
      </rPr>
      <t>Transcendent</t>
    </r>
  </si>
  <si>
    <t>Sacred Flame</t>
  </si>
  <si>
    <t>Awful, almost mitigated by wolfpack RNG in some tests</t>
  </si>
  <si>
    <r>
      <rPr>
        <rFont val="Arial"/>
        <color theme="1"/>
      </rPr>
      <t xml:space="preserve">Sacred Flame
</t>
    </r>
    <r>
      <rPr>
        <rFont val="Arial"/>
        <i/>
        <color theme="1"/>
      </rPr>
      <t>Transcendent</t>
    </r>
  </si>
  <si>
    <t>Enduring Blade</t>
  </si>
  <si>
    <t>Jagged Edge isn't worth using</t>
  </si>
  <si>
    <t>Ammo</t>
  </si>
  <si>
    <t>Class</t>
  </si>
  <si>
    <t>Damage</t>
  </si>
  <si>
    <t>Shot</t>
  </si>
  <si>
    <t>Time</t>
  </si>
  <si>
    <t>Primary</t>
  </si>
  <si>
    <t>Titan</t>
  </si>
  <si>
    <t>Peacekeepers, Arc Conductor, 3x surges, Lumina, Tether, Arc Compounding, Support Frame Boost</t>
  </si>
  <si>
    <t>3916 - 7832</t>
  </si>
  <si>
    <t>All data uses 270% tier super and T3 intellect and Radiant</t>
  </si>
  <si>
    <t>Peacekeepers, Arc Conductor, 3x surges, Lumina, Tractor, Arc Compounding</t>
  </si>
  <si>
    <t>3096 - 7120</t>
  </si>
  <si>
    <t>Peacekeepers, Ravenous Beast, 3x surges, Lumina, Tractor</t>
  </si>
  <si>
    <t>5836 - 11671</t>
  </si>
  <si>
    <t>Warlock</t>
  </si>
  <si>
    <t>Rewind Rounds, starts at max nanites, 3x surges</t>
  </si>
  <si>
    <t>Rewind Rounds, starts at max nanites</t>
  </si>
  <si>
    <t>Actium War Rig, 3x surges, Lumina, Tractor</t>
  </si>
  <si>
    <t>Peacekeepers, Ravenous Beast, 3x surges, Lumina</t>
  </si>
  <si>
    <t>4489 - 8978</t>
  </si>
  <si>
    <t>Peacekeepers, Ravenous Beast, 3x surges</t>
  </si>
  <si>
    <t>4157 - 8313</t>
  </si>
  <si>
    <t>Anything not listed here is &gt;30s</t>
  </si>
  <si>
    <t>Mykel's Reverence</t>
  </si>
  <si>
    <t>Frenzy, 3x surges, Lumina, Tractor</t>
  </si>
  <si>
    <t>Special</t>
  </si>
  <si>
    <t>projectile mode, 3x surges, Lumina, Tractor, Conductive Cosmic Crystal, Facet of Courage, max RoF spamming</t>
  </si>
  <si>
    <t>Peacekeepers, Ravenous Beast</t>
  </si>
  <si>
    <t>3407 - 6813</t>
  </si>
  <si>
    <t>Peacekeepers, Arc Conductor</t>
  </si>
  <si>
    <t>1807 - 3615</t>
  </si>
  <si>
    <t>Yarovit MG4</t>
  </si>
  <si>
    <t>Peacekeepers, Rewind Rounds + Deconstruct, 3x surges, Tractor</t>
  </si>
  <si>
    <t>2741 - 5481</t>
  </si>
  <si>
    <t>Power</t>
  </si>
  <si>
    <t>LINK TO MAIN SHEET</t>
  </si>
  <si>
    <t>Rufus's Fury</t>
  </si>
  <si>
    <t>Actium War Rig, e. Target Lock</t>
  </si>
  <si>
    <t>2412 - 3496</t>
  </si>
  <si>
    <t>Rewind Rounds, starts at 0 nanites</t>
  </si>
  <si>
    <t>2035 - 5729</t>
  </si>
  <si>
    <t>Cenotaph Mask, Paracausal Imbuement, 3x surges, Lumina, Tractor</t>
  </si>
  <si>
    <t>3x surges, Lumina, Tractor</t>
  </si>
  <si>
    <t>final round, blighted, 3x surges, Lumina, Tractor</t>
  </si>
  <si>
    <t>Actium War Rig</t>
  </si>
  <si>
    <t>final round, blighted</t>
  </si>
  <si>
    <t>Controlled Burst, 3x surges, Lumina, Tractor, Sanguine</t>
  </si>
  <si>
    <t>Retrofit Escapade</t>
  </si>
  <si>
    <t>Actium War Rig, Target Lock</t>
  </si>
  <si>
    <t>Actium War Rig, Ember of Ashes</t>
  </si>
  <si>
    <t>75% charge into ~15 shot bursts</t>
  </si>
  <si>
    <t>Fang of Ir Yut</t>
  </si>
  <si>
    <t>e. Precision Instrument, 3x surges, Lumina, Tractor</t>
  </si>
  <si>
    <t>6505 - 9303</t>
  </si>
  <si>
    <t>Multimach CCX + The Recluse</t>
  </si>
  <si>
    <t>Peacekeepers, swapping (Kinetic Tremors + Frenzy)</t>
  </si>
  <si>
    <t>3456 - 3974</t>
  </si>
  <si>
    <t>projectile mode</t>
  </si>
  <si>
    <t>Cenotaph Mask, Paracausal Imbuement</t>
  </si>
  <si>
    <t>Warden's Law</t>
  </si>
  <si>
    <t>Hunter</t>
  </si>
  <si>
    <t>Illegally Modded Holster, Vorpal Weapon</t>
  </si>
  <si>
    <t>4640 - 25517</t>
  </si>
  <si>
    <t>Witherhoard, Envious Arsenal + Bait and Switch</t>
  </si>
  <si>
    <t>Ember of Ashes, 4x surges, Lumina, Tractor, Sanguine, slow manual reloads</t>
  </si>
  <si>
    <t>1823 - 23686</t>
  </si>
  <si>
    <t>Illegally Modded Holster</t>
  </si>
  <si>
    <t>10658 - 58619</t>
  </si>
  <si>
    <t>Actium War Rig, pre-loaded volley, Arc Compounding</t>
  </si>
  <si>
    <t>Source</t>
  </si>
  <si>
    <t>Modifiers (assume max reload)</t>
  </si>
  <si>
    <r>
      <rPr>
        <rFont val="Arial"/>
        <b/>
        <color rgb="FF181A1B"/>
        <sz val="8.0"/>
      </rPr>
      <t xml:space="preserve">per stack
</t>
    </r>
    <r>
      <rPr>
        <rFont val="Arial"/>
        <b/>
        <color rgb="FF181A1B"/>
      </rPr>
      <t>Time</t>
    </r>
  </si>
  <si>
    <r>
      <rPr>
        <rFont val="Arial"/>
        <b/>
        <color rgb="FF181A1B"/>
        <sz val="8.0"/>
      </rPr>
      <t xml:space="preserve">per second
</t>
    </r>
    <r>
      <rPr>
        <rFont val="Arial"/>
        <b/>
        <color rgb="FF181A1B"/>
      </rPr>
      <t>Stacks</t>
    </r>
  </si>
  <si>
    <r>
      <rPr>
        <rFont val="Arial"/>
        <b/>
        <color rgb="FF181A1B"/>
        <sz val="8.0"/>
      </rPr>
      <t xml:space="preserve">base
</t>
    </r>
    <r>
      <rPr>
        <rFont val="Arial"/>
        <b/>
        <color rgb="FF181A1B"/>
      </rPr>
      <t>DPS</t>
    </r>
  </si>
  <si>
    <r>
      <rPr>
        <rFont val="Arial"/>
        <b/>
        <color rgb="FF181A1B"/>
        <sz val="8.0"/>
      </rPr>
      <t xml:space="preserve">bolt charge
</t>
    </r>
    <r>
      <rPr>
        <rFont val="Arial"/>
        <b/>
        <color rgb="FF181A1B"/>
      </rPr>
      <t>DPS</t>
    </r>
  </si>
  <si>
    <r>
      <rPr>
        <rFont val="Arial"/>
        <b/>
        <color rgb="FF181A1B"/>
        <sz val="8.0"/>
      </rPr>
      <t xml:space="preserve">DPS
</t>
    </r>
    <r>
      <rPr>
        <rFont val="Arial"/>
        <b/>
        <color rgb="FF181A1B"/>
      </rPr>
      <t>increase</t>
    </r>
  </si>
  <si>
    <r>
      <rPr>
        <rFont val="Arial"/>
        <b/>
        <color rgb="FF181A1B"/>
        <sz val="8.0"/>
      </rPr>
      <t xml:space="preserve">Flashover
</t>
    </r>
    <r>
      <rPr>
        <rFont val="Arial"/>
        <b/>
        <color rgb="FF181A1B"/>
      </rPr>
      <t>DPS</t>
    </r>
  </si>
  <si>
    <r>
      <rPr>
        <rFont val="Arial"/>
        <b/>
        <color rgb="FF181A1B"/>
        <sz val="8.0"/>
      </rPr>
      <t xml:space="preserve">Flashover
</t>
    </r>
    <r>
      <rPr>
        <rFont val="Arial"/>
        <b/>
        <color rgb="FF181A1B"/>
      </rPr>
      <t>increase</t>
    </r>
  </si>
  <si>
    <t>Storm's Keep</t>
  </si>
  <si>
    <t>six barricades, tested with gaps</t>
  </si>
  <si>
    <t>5x Storm's Keep, Ionic Sentry, Spark of Frequency</t>
  </si>
  <si>
    <t>Spark of Frequency</t>
  </si>
  <si>
    <t>sustained hits, Volatile Rounds</t>
  </si>
  <si>
    <t>Unplanned Reprieve, lightweight frame</t>
  </si>
  <si>
    <t>The Perfect Fifth, caster frame</t>
  </si>
  <si>
    <t>Wardcliff Coil</t>
  </si>
  <si>
    <t>four allies, Spark of Frequency</t>
  </si>
  <si>
    <t>Pack Hunter, consecutive rockets, no Bipod</t>
  </si>
  <si>
    <t>Pack Hunter, 1H2L spam</t>
  </si>
  <si>
    <t>sustained hits</t>
  </si>
  <si>
    <t>maximum tick rate with repeated embeds</t>
  </si>
  <si>
    <t>Goldtusk</t>
  </si>
  <si>
    <t>Pack Hunter, light attack spam</t>
  </si>
  <si>
    <t>Ruinscribe Turret, painted</t>
  </si>
  <si>
    <t>one barricade</t>
  </si>
  <si>
    <t>two traps</t>
  </si>
  <si>
    <t>hip-fire</t>
  </si>
  <si>
    <t>Period</t>
  </si>
  <si>
    <r>
      <rPr>
        <rFont val="Arial"/>
        <b/>
        <color theme="1"/>
      </rPr>
      <t>Winter's Wrath + Thunderlord</t>
    </r>
    <r>
      <rPr>
        <rFont val="Arial"/>
        <color theme="1"/>
      </rPr>
      <t xml:space="preserve">
</t>
    </r>
    <r>
      <rPr>
        <rFont val="Arial"/>
        <i/>
        <color rgb="FF181A1B"/>
      </rPr>
      <t>1 frame Witness</t>
    </r>
  </si>
  <si>
    <t>Ballidorse Wrathweavers, Thunderlord, Retinal Burn, Conductive Cosmic Crystal</t>
  </si>
  <si>
    <t>Episode: Revenant Act 2</t>
  </si>
  <si>
    <t>???</t>
  </si>
  <si>
    <r>
      <rPr>
        <rFont val="Arial"/>
        <b/>
        <color theme="1"/>
      </rPr>
      <t>Lightweight sword</t>
    </r>
    <r>
      <rPr>
        <rFont val="Arial"/>
        <color theme="1"/>
      </rPr>
      <t xml:space="preserve">
</t>
    </r>
    <r>
      <rPr>
        <rFont val="Arial"/>
        <i/>
        <color theme="1"/>
      </rPr>
      <t>no ammo aerial light</t>
    </r>
  </si>
  <si>
    <t>200 Melee, 200 Weapons, Burning Fists x5, Offensive Bulwark, Tractor Cannon, Support Frame Boost, 3x surges, frozen melee bonus, Elemental Overdrive, En Garde, Surrounded</t>
  </si>
  <si>
    <t>Season: Reclamation</t>
  </si>
  <si>
    <r>
      <rPr>
        <rFont val="Arial"/>
        <b/>
        <color theme="1"/>
      </rPr>
      <t>Throwing Hammer</t>
    </r>
    <r>
      <rPr>
        <rFont val="Arial"/>
        <color theme="1"/>
      </rPr>
      <t xml:space="preserve">
</t>
    </r>
    <r>
      <rPr>
        <rFont val="Arial"/>
        <i/>
        <color theme="1"/>
      </rPr>
      <t>bouncing hammers</t>
    </r>
  </si>
  <si>
    <t>Two hammers, 22 hits each, Tractor Cannon, Roaring Flames x3, One-Two Punch, Burning Fists x5, Turn the Tide, Ward of Dawn, frozen melee bonus, Banner of War</t>
  </si>
  <si>
    <t>Season of the Lost</t>
  </si>
  <si>
    <r>
      <rPr>
        <rFont val="Arial"/>
        <b/>
        <color rgb="FF181A1B"/>
      </rPr>
      <t xml:space="preserve">Shattershafts
</t>
    </r>
    <r>
      <rPr>
        <rFont val="Arial"/>
        <i/>
        <color rgb="FF181A1B"/>
      </rPr>
      <t>Divinity chunks</t>
    </r>
  </si>
  <si>
    <t>Blessing of the Sky, Moebius Quiver, Support Frame Boost, 3x surges, Fortune's Favor, 200 Weapons</t>
  </si>
  <si>
    <t>Renegades: Arms Week</t>
  </si>
  <si>
    <r>
      <rPr>
        <rFont val="Arial"/>
        <b/>
        <color theme="1"/>
      </rPr>
      <t>Shield Bash</t>
    </r>
    <r>
      <rPr>
        <rFont val="Arial"/>
        <color theme="1"/>
      </rPr>
      <t xml:space="preserve">
</t>
    </r>
    <r>
      <rPr>
        <rFont val="Arial"/>
        <i/>
        <color theme="1"/>
      </rPr>
      <t>pre-frozen melee patch</t>
    </r>
  </si>
  <si>
    <t>Tractor Cannon, Offensive Bulwark, One-Two Punch, Burning Fists x5, frozen melee bonus, Banner of War</t>
  </si>
  <si>
    <t>Season of Plunder</t>
  </si>
  <si>
    <r>
      <rPr>
        <rFont val="Arial"/>
        <b/>
        <color theme="1"/>
      </rPr>
      <t>Verity Combination grapples</t>
    </r>
    <r>
      <rPr>
        <rFont val="Arial"/>
        <color theme="1"/>
      </rPr>
      <t xml:space="preserve">
</t>
    </r>
    <r>
      <rPr>
        <rFont val="Arial"/>
        <i/>
        <color theme="1"/>
      </rPr>
      <t>pre-additive change</t>
    </r>
  </si>
  <si>
    <t>200 Grenade, 200 Melee, One-Two Punch, Death Throes x5, Combination Blow x3, Facet of Courage, Tractor Cannon</t>
  </si>
  <si>
    <t>start of The Edge of Fate</t>
  </si>
  <si>
    <r>
      <rPr>
        <rFont val="Arial"/>
        <b/>
        <color theme="1"/>
      </rPr>
      <t>The Fourth Horseman</t>
    </r>
    <r>
      <rPr>
        <rFont val="Arial"/>
        <color theme="1"/>
      </rPr>
      <t xml:space="preserve">
</t>
    </r>
    <r>
      <rPr>
        <rFont val="Arial"/>
        <i/>
        <color theme="1"/>
      </rPr>
      <t>pre-slug swap patch</t>
    </r>
  </si>
  <si>
    <t>Tractor Cannon, Lumina, Foetracer surges</t>
  </si>
  <si>
    <t>Season of Defiance</t>
  </si>
  <si>
    <r>
      <rPr>
        <rFont val="Arial"/>
        <b/>
        <color rgb="FF181A1B"/>
      </rPr>
      <t xml:space="preserve">Contraverse chunking
</t>
    </r>
    <r>
      <rPr>
        <rFont val="Arial"/>
        <b val="0"/>
        <i/>
        <color rgb="FF181A1B"/>
      </rPr>
      <t>pre-chunking fix</t>
    </r>
  </si>
  <si>
    <t>Chaos Accelerant, Contraverse Hold, Echo of Undermining, high FPS 5x chunking</t>
  </si>
  <si>
    <t>Equilibrium launch</t>
  </si>
  <si>
    <r>
      <rPr>
        <rFont val="Arial"/>
        <b/>
        <color theme="1"/>
      </rPr>
      <t>Cold Comfort</t>
    </r>
    <r>
      <rPr>
        <rFont val="Arial"/>
        <color theme="1"/>
      </rPr>
      <t xml:space="preserve"> </t>
    </r>
    <r>
      <rPr>
        <rFont val="Arial"/>
        <b/>
        <color theme="1"/>
      </rPr>
      <t>spam</t>
    </r>
    <r>
      <rPr>
        <rFont val="Arial"/>
        <color theme="1"/>
      </rPr>
      <t xml:space="preserve">
</t>
    </r>
    <r>
      <rPr>
        <rFont val="Arial"/>
        <i/>
        <color theme="1"/>
      </rPr>
      <t>pre-wolfpack multi-hit change</t>
    </r>
  </si>
  <si>
    <t>Radiant Dance Machines, Tractor Cannon, Lumina, Ballidorse Wrathweavers, Pack Hunter, Bait and Switch, Envious Assassin, Restoration Ritual, stasis surges</t>
  </si>
  <si>
    <t>Season of the Deep</t>
  </si>
  <si>
    <r>
      <rPr>
        <rFont val="Arial"/>
        <b/>
        <color theme="1"/>
      </rPr>
      <t>Berserker abilities</t>
    </r>
    <r>
      <rPr>
        <rFont val="Arial"/>
        <color theme="1"/>
      </rPr>
      <t xml:space="preserve">
</t>
    </r>
    <r>
      <rPr>
        <rFont val="Arial"/>
        <i/>
        <color theme="1"/>
      </rPr>
      <t>pre-Banner stacking patch</t>
    </r>
  </si>
  <si>
    <t>Tractor Cannon, Biotic Enhancements, Banner of War x2, One-Two Punch</t>
  </si>
  <si>
    <t>start of Season of the Witch</t>
  </si>
  <si>
    <r>
      <rPr>
        <rFont val="Arial"/>
        <b/>
        <color theme="1"/>
      </rPr>
      <t>Triple GL swapping</t>
    </r>
    <r>
      <rPr>
        <rFont val="Arial"/>
        <color theme="1"/>
      </rPr>
      <t xml:space="preserve">
</t>
    </r>
    <r>
      <rPr>
        <rFont val="Arial"/>
        <i/>
        <color theme="1"/>
      </rPr>
      <t>pre-rework Lunafactions</t>
    </r>
  </si>
  <si>
    <t>The Mountaintop + Wilderflight w/ Frenzy, Tractor Cannon, Lumina, Foetracer surges, kinetic surges</t>
  </si>
  <si>
    <t>Season of Opulence</t>
  </si>
  <si>
    <r>
      <rPr>
        <rFont val="Arial"/>
        <b/>
        <color theme="1"/>
      </rPr>
      <t>Izanagi HGL ("bilibili")</t>
    </r>
    <r>
      <rPr>
        <rFont val="Arial"/>
        <color theme="1"/>
      </rPr>
      <t xml:space="preserve">
</t>
    </r>
    <r>
      <rPr>
        <rFont val="Arial"/>
        <i/>
        <color theme="1"/>
      </rPr>
      <t>pre-nerf Izanagi's + pre-sunset Wendigo + quickswap glitch</t>
    </r>
  </si>
  <si>
    <t>Wilderflight w/ Frenzy, Tractor Cannon, Lumina, Foetracer surges, kinetic surges, pre-rework Explosive Light</t>
  </si>
  <si>
    <t>Season of Arrivals</t>
  </si>
  <si>
    <r>
      <rPr>
        <rFont val="Arial"/>
        <b/>
        <color theme="1"/>
      </rPr>
      <t>Anarchy slug shotgun swapping</t>
    </r>
    <r>
      <rPr>
        <rFont val="Arial"/>
        <color theme="1"/>
      </rPr>
      <t xml:space="preserve">
</t>
    </r>
    <r>
      <rPr>
        <rFont val="Arial"/>
        <i/>
        <color theme="1"/>
      </rPr>
      <t>pre-nerf Anarchy + quickswap glitch</t>
    </r>
  </si>
  <si>
    <t>Fortissimo-11 w/ Surrounded + First In, Last Out w/ Surrounded, Tractor Cannon, Lumina, Rain of Fire, 1/2 surge split, Power of Rasputin, Focusing Lens</t>
  </si>
  <si>
    <t>Season of the Splicer</t>
  </si>
  <si>
    <r>
      <rPr>
        <rFont val="Arial"/>
        <b/>
        <color theme="1"/>
      </rPr>
      <t xml:space="preserve">Sleeper Simulant
</t>
    </r>
    <r>
      <rPr>
        <rFont val="Arial"/>
        <i/>
        <color theme="1"/>
      </rPr>
      <t>Particle Deconstruction stacking, pre-linear nerf</t>
    </r>
  </si>
  <si>
    <t>Particle Deconstruction, Divinity, Rain of Fire, Lumina, Font of Might, Power of Rasputin, Focusing Lens</t>
  </si>
  <si>
    <r>
      <rPr>
        <rFont val="Arial"/>
        <b/>
        <color theme="1"/>
      </rPr>
      <t>Izanagi's Burden</t>
    </r>
    <r>
      <rPr>
        <rFont val="Arial"/>
        <color theme="1"/>
      </rPr>
      <t xml:space="preserve">
</t>
    </r>
    <r>
      <rPr>
        <rFont val="Arial"/>
        <i/>
        <color theme="1"/>
      </rPr>
      <t>reload buff + no lockout</t>
    </r>
  </si>
  <si>
    <t>Tractor Cannon, Lumina, kinetic surges</t>
  </si>
  <si>
    <t>Season of the Worthy</t>
  </si>
  <si>
    <r>
      <rPr>
        <rFont val="Arial"/>
        <b/>
        <color theme="1"/>
      </rPr>
      <t>Aggressive linear fusion rifle</t>
    </r>
    <r>
      <rPr>
        <rFont val="Arial"/>
        <color theme="1"/>
      </rPr>
      <t xml:space="preserve">
</t>
    </r>
    <r>
      <rPr>
        <rFont val="Arial"/>
        <i/>
        <color theme="1"/>
      </rPr>
      <t>pre-patch charge time, pre-linear nerf</t>
    </r>
  </si>
  <si>
    <t>Briar's Contempt w/ enhanced Rewind Rounds + enhanced Surrounded, Lumina, Tractor Cannon, Foetracer surges</t>
  </si>
  <si>
    <t>start of Season of the Haunted</t>
  </si>
  <si>
    <r>
      <rPr>
        <rFont val="Arial"/>
        <b/>
        <color theme="1"/>
      </rPr>
      <t>Swarm of the Raven</t>
    </r>
    <r>
      <rPr>
        <rFont val="Arial"/>
        <color theme="1"/>
      </rPr>
      <t xml:space="preserve">
</t>
    </r>
    <r>
      <rPr>
        <rFont val="Arial"/>
        <i/>
        <color theme="1"/>
      </rPr>
      <t>pre-rework Lunafactions + Tractor</t>
    </r>
  </si>
  <si>
    <t>pre-rework Tractor Cannon, Lumina, Foetracer surges</t>
  </si>
  <si>
    <r>
      <rPr>
        <rFont val="Arial"/>
        <b/>
        <color theme="1"/>
      </rPr>
      <t>Vortex sword</t>
    </r>
    <r>
      <rPr>
        <rFont val="Arial"/>
        <color theme="1"/>
      </rPr>
      <t xml:space="preserve">
</t>
    </r>
    <r>
      <rPr>
        <rFont val="Arial"/>
        <i/>
        <color theme="1"/>
      </rPr>
      <t>pre-heavy attack nerf, pre-sword nerf</t>
    </r>
  </si>
  <si>
    <t>Death's Razor w/ enhanced Surrounded, Lucent Blade, Tractor Cannon, solar surges, Banner of War, 1H2L combo</t>
  </si>
  <si>
    <r>
      <rPr>
        <rFont val="Arial"/>
        <b/>
        <color theme="1"/>
      </rPr>
      <t>Retrofit Escapade</t>
    </r>
    <r>
      <rPr>
        <rFont val="Arial"/>
        <color theme="1"/>
      </rPr>
      <t xml:space="preserve">
</t>
    </r>
    <r>
      <rPr>
        <rFont val="Arial"/>
        <i/>
        <color theme="1"/>
      </rPr>
      <t>pre-fix Volatile Rounds</t>
    </r>
  </si>
  <si>
    <t>Actium War Rig, enhanced Fourth Time's the Charm + enhanced Target Lock, Lumina, Tractor Cannon, void surges</t>
  </si>
  <si>
    <t>Season of the Seraph</t>
  </si>
  <si>
    <r>
      <rPr>
        <rFont val="Arial"/>
        <b/>
        <color theme="1"/>
      </rPr>
      <t>Thunderlord</t>
    </r>
    <r>
      <rPr>
        <rFont val="Arial"/>
        <color theme="1"/>
      </rPr>
      <t xml:space="preserve">
</t>
    </r>
    <r>
      <rPr>
        <rFont val="Arial"/>
        <i/>
        <color theme="1"/>
      </rPr>
      <t>pre-fix Lightning Rounds + Divinity</t>
    </r>
  </si>
  <si>
    <t>Actium War Rig, Lumina, Tractor Cannon, arc surges</t>
  </si>
  <si>
    <t>wormgod grapple melee timings</t>
  </si>
  <si>
    <t>special gl damage</t>
  </si>
  <si>
    <t>8.0.0.8</t>
  </si>
  <si>
    <t>8.0.5</t>
  </si>
  <si>
    <t>AVERAGE</t>
  </si>
  <si>
    <t>Izi Wilderflight Hezen (Elemental Honing x4) [11/11 rockets]</t>
  </si>
  <si>
    <t>Izi Wilderflight Bump (Chill Clip) [8/11 rockets]</t>
  </si>
  <si>
    <t>Queenbreaker [27/28 shots]</t>
  </si>
  <si>
    <t>base</t>
  </si>
  <si>
    <t>TT</t>
  </si>
  <si>
    <t>pre</t>
  </si>
  <si>
    <t>post</t>
  </si>
  <si>
    <r>
      <rPr>
        <rFont val="Arial"/>
        <color theme="1"/>
      </rPr>
      <t xml:space="preserve">Ager's Scepter
</t>
    </r>
    <r>
      <rPr>
        <rFont val="Arial"/>
        <i/>
        <color theme="1"/>
      </rPr>
      <t>Will Given Form, Facet of Command, Facet of Ruin, Cenotaph Mask</t>
    </r>
  </si>
  <si>
    <t>golden gun - marksman</t>
  </si>
  <si>
    <t>body 632</t>
  </si>
  <si>
    <t>song of flame grenade 0</t>
  </si>
  <si>
    <t>wisp 770+844</t>
  </si>
  <si>
    <t>FTTC</t>
  </si>
  <si>
    <t>df</t>
  </si>
  <si>
    <t>spike</t>
  </si>
  <si>
    <r>
      <rPr>
        <rFont val="Arial"/>
        <color theme="1"/>
      </rPr>
      <t xml:space="preserve">Divinity
</t>
    </r>
    <r>
      <rPr>
        <rFont val="Arial"/>
        <i/>
        <color theme="1"/>
      </rPr>
      <t>held down, Cenotaph Mask</t>
    </r>
  </si>
  <si>
    <t>golden gun - deadshot</t>
  </si>
  <si>
    <t>body 584</t>
  </si>
  <si>
    <t>song of flame grenade 9</t>
  </si>
  <si>
    <t>wisp 815+894</t>
  </si>
  <si>
    <t>Both</t>
  </si>
  <si>
    <t>implosion</t>
  </si>
  <si>
    <r>
      <rPr>
        <rFont val="Arial"/>
        <color theme="1"/>
      </rPr>
      <t xml:space="preserve">Edge of Concurrence
</t>
    </r>
    <r>
      <rPr>
        <rFont val="Arial"/>
        <i/>
        <color theme="1"/>
      </rPr>
      <t>Lightning Seeker into three shot cycle, Lunafaction Boots, 3x Loader</t>
    </r>
  </si>
  <si>
    <t>blade barrage</t>
  </si>
  <si>
    <t>explosion 366</t>
  </si>
  <si>
    <t>song of flame grenade 19</t>
  </si>
  <si>
    <t>wisp 865+949</t>
  </si>
  <si>
    <t>lw</t>
  </si>
  <si>
    <r>
      <rPr>
        <rFont val="Arial"/>
        <color theme="1"/>
      </rPr>
      <t xml:space="preserve">Forerunner
</t>
    </r>
    <r>
      <rPr>
        <rFont val="Arial"/>
        <i/>
        <color theme="1"/>
      </rPr>
      <t>Rain of Fire</t>
    </r>
  </si>
  <si>
    <t>silence and squall</t>
  </si>
  <si>
    <t>impact 343</t>
  </si>
  <si>
    <t>song of flame grenade 29</t>
  </si>
  <si>
    <t>wisp 915+1004</t>
  </si>
  <si>
    <t>count</t>
  </si>
  <si>
    <t>wipe</t>
  </si>
  <si>
    <t>hp</t>
  </si>
  <si>
    <t>multiplier</t>
  </si>
  <si>
    <t>diff</t>
  </si>
  <si>
    <t>per player</t>
  </si>
  <si>
    <t>df vs lw</t>
  </si>
  <si>
    <r>
      <rPr>
        <rFont val="Arial"/>
        <color theme="1"/>
      </rPr>
      <t xml:space="preserve">Lord of Wolves
</t>
    </r>
    <r>
      <rPr>
        <rFont val="Arial"/>
        <i/>
        <color theme="1"/>
      </rPr>
      <t>Release the Wolves, precision, Rain of Fire</t>
    </r>
  </si>
  <si>
    <t>silkstrike</t>
  </si>
  <si>
    <t>light 820</t>
  </si>
  <si>
    <t>light 1065</t>
  </si>
  <si>
    <t>song of flame grenade 39</t>
  </si>
  <si>
    <t>wisp 965+1058</t>
  </si>
  <si>
    <r>
      <rPr>
        <rFont val="Arial"/>
        <color theme="1"/>
      </rPr>
      <t xml:space="preserve">Microcosm
</t>
    </r>
    <r>
      <rPr>
        <rFont val="Arial"/>
        <i/>
        <color theme="1"/>
      </rPr>
      <t>Paracausal Imbuement, Cenotaph Mask, Lunafaction Boots, 3x Loader</t>
    </r>
  </si>
  <si>
    <t>deadfall - moebius quiver</t>
  </si>
  <si>
    <t>impact 895</t>
  </si>
  <si>
    <t>song of flame grenade 49</t>
  </si>
  <si>
    <t>wisp 1015+1113</t>
  </si>
  <si>
    <t>ergo sum frames</t>
  </si>
  <si>
    <r>
      <rPr>
        <rFont val="Arial"/>
        <color theme="1"/>
      </rPr>
      <t xml:space="preserve">One Thousand Voices
</t>
    </r>
    <r>
      <rPr>
        <rFont val="Arial"/>
        <i/>
        <color theme="1"/>
      </rPr>
      <t>Ember of Ashes, Rain of Fire</t>
    </r>
  </si>
  <si>
    <t>spectral blades</t>
  </si>
  <si>
    <t>light 414</t>
  </si>
  <si>
    <t>light 538</t>
  </si>
  <si>
    <t>song of flame grenade 59</t>
  </si>
  <si>
    <t>wisp 1065+1168</t>
  </si>
  <si>
    <t>ammo</t>
  </si>
  <si>
    <t>dmg</t>
  </si>
  <si>
    <t>total</t>
  </si>
  <si>
    <r>
      <rPr>
        <rFont val="Arial"/>
        <color theme="1"/>
      </rPr>
      <t xml:space="preserve">Rapid-fire glaive
</t>
    </r>
    <r>
      <rPr>
        <rFont val="Arial"/>
        <i/>
        <color theme="1"/>
      </rPr>
      <t>projectile, Chaos Reshaped (Forthcoming Deviance), Rain of Fire</t>
    </r>
  </si>
  <si>
    <t>gathering storm</t>
  </si>
  <si>
    <t>impact 608+544</t>
  </si>
  <si>
    <t>song of flame grenade 69</t>
  </si>
  <si>
    <t>wisp 1115+1223</t>
  </si>
  <si>
    <t>tempered</t>
  </si>
  <si>
    <r>
      <rPr>
        <rFont val="Arial"/>
        <color theme="1"/>
      </rPr>
      <t xml:space="preserve">The Wardcliff Coil
</t>
    </r>
    <r>
      <rPr>
        <rFont val="Arial"/>
        <i/>
        <color theme="1"/>
      </rPr>
      <t>Radiant Dance Machines</t>
    </r>
  </si>
  <si>
    <t>storm's edge</t>
  </si>
  <si>
    <t>spin 1440</t>
  </si>
  <si>
    <t>song of flame grenade 80</t>
  </si>
  <si>
    <t>wisp 1170+1283</t>
  </si>
  <si>
    <t>jagged</t>
  </si>
  <si>
    <r>
      <rPr>
        <rFont val="Arial"/>
        <color theme="1"/>
      </rPr>
      <t xml:space="preserve">Trace rifle
</t>
    </r>
    <r>
      <rPr>
        <rFont val="Arial"/>
        <i/>
        <color theme="1"/>
      </rPr>
      <t>e. Rewind Rounds + e. Target Lock (Acasia's Dejection), Cenotaph Mask</t>
    </r>
  </si>
  <si>
    <t>arc staff</t>
  </si>
  <si>
    <t>light 384</t>
  </si>
  <si>
    <t>light 500</t>
  </si>
  <si>
    <t>song of flame grenade 90</t>
  </si>
  <si>
    <t>wisp 1220+1338</t>
  </si>
  <si>
    <t>honed</t>
  </si>
  <si>
    <r>
      <rPr>
        <rFont val="Arial"/>
        <color theme="1"/>
      </rPr>
      <t xml:space="preserve">Trace rifle
</t>
    </r>
    <r>
      <rPr>
        <rFont val="Arial"/>
        <i/>
        <color theme="1"/>
      </rPr>
      <t>e. Rewind Rounds + Vorpal Weapon (Acasia's Dejection), Cenotaph Mask</t>
    </r>
  </si>
  <si>
    <t>glacial quake</t>
  </si>
  <si>
    <t>crystal 646 punch 681</t>
  </si>
  <si>
    <t>crystal 646 punch 871</t>
  </si>
  <si>
    <t>song of flame grenade 100</t>
  </si>
  <si>
    <t>wisp 1270+1393</t>
  </si>
  <si>
    <t>1x2</t>
  </si>
  <si>
    <t>enduring</t>
  </si>
  <si>
    <r>
      <rPr>
        <rFont val="Arial"/>
        <color theme="1"/>
      </rPr>
      <t xml:space="preserve">Winterbite
</t>
    </r>
    <r>
      <rPr>
        <rFont val="Arial"/>
        <i/>
        <color theme="1"/>
      </rPr>
      <t>projectile, Rain of Fire</t>
    </r>
  </si>
  <si>
    <t>bladefury</t>
  </si>
  <si>
    <t>light 568</t>
  </si>
  <si>
    <t>song of flame grenade 110</t>
  </si>
  <si>
    <t>1x3</t>
  </si>
  <si>
    <t>hungry</t>
  </si>
  <si>
    <r>
      <rPr>
        <rFont val="Arial"/>
        <color theme="1"/>
      </rPr>
      <t xml:space="preserve">Xenophage
</t>
    </r>
    <r>
      <rPr>
        <rFont val="Arial"/>
        <i/>
        <color theme="1"/>
      </rPr>
      <t>Actium War Rig</t>
    </r>
  </si>
  <si>
    <t>hammer of sol</t>
  </si>
  <si>
    <t>impact no sol 435</t>
  </si>
  <si>
    <t>song of flame grenade 200</t>
  </si>
  <si>
    <t>1x4</t>
  </si>
  <si>
    <t>jagged(p)</t>
  </si>
  <si>
    <r>
      <rPr>
        <rFont val="Arial"/>
        <color theme="1"/>
      </rPr>
      <t xml:space="preserve">Adaptive rocket launcher
</t>
    </r>
    <r>
      <rPr>
        <rFont val="Arial"/>
        <i/>
        <color theme="1"/>
      </rPr>
      <t>Bait and Switch (Apex Predator), Pack Hunter, Reconstruction start, RoF with manual reloads</t>
    </r>
  </si>
  <si>
    <t>burning maul</t>
  </si>
  <si>
    <t>slam first tick 249 spin 100</t>
  </si>
  <si>
    <t>song of flame super 200 grenade 5</t>
  </si>
  <si>
    <t>wisp 1153+1264</t>
  </si>
  <si>
    <t>1x5</t>
  </si>
  <si>
    <t>sucks</t>
  </si>
  <si>
    <t>enduring(p)</t>
  </si>
  <si>
    <r>
      <rPr>
        <rFont val="Arial"/>
        <color theme="1"/>
      </rPr>
      <t xml:space="preserve">Still Hunt
</t>
    </r>
    <r>
      <rPr>
        <rFont val="Arial"/>
        <i/>
        <color theme="1"/>
      </rPr>
      <t>pre-popped into 6 shot cycle, Celestial Nighthawk, Facet of Command w/ Duskfield grenade + Withering Blades</t>
    </r>
  </si>
  <si>
    <t>sentinel shield</t>
  </si>
  <si>
    <t>light 638 shield 643</t>
  </si>
  <si>
    <t>light 816 shield 643</t>
  </si>
  <si>
    <t>song of flame super 200 grenade 100</t>
  </si>
  <si>
    <t>wisp 1842+2020</t>
  </si>
  <si>
    <t>The Lament
2L1H1R combo, Lucent Blades x3</t>
  </si>
  <si>
    <t>twilight arsenal</t>
  </si>
  <si>
    <t>impact 1350</t>
  </si>
  <si>
    <t>song of flame super 200 melee 19</t>
  </si>
  <si>
    <t>snap 213+980</t>
  </si>
  <si>
    <t>db solo testing</t>
  </si>
  <si>
    <t>average:</t>
  </si>
  <si>
    <t>koregos 6 man kill</t>
  </si>
  <si>
    <r>
      <rPr>
        <rFont val="Arial"/>
        <color theme="1"/>
      </rPr>
      <t xml:space="preserve">Ergo Sum
</t>
    </r>
    <r>
      <rPr>
        <rFont val="Arial"/>
        <i/>
        <color theme="1"/>
      </rPr>
      <t>Wave sword frame, 1H2L combo, Lucent Blades x3, Pack Hunter, Transcendent</t>
    </r>
  </si>
  <si>
    <t>thundercrash</t>
  </si>
  <si>
    <t>impact 8260</t>
  </si>
  <si>
    <t>song of flame super 200 melee 100</t>
  </si>
  <si>
    <t>snap 262+980</t>
  </si>
  <si>
    <t>test</t>
  </si>
  <si>
    <t>nade</t>
  </si>
  <si>
    <t>snap</t>
  </si>
  <si>
    <t>wipe mod</t>
  </si>
  <si>
    <t>wipe calc</t>
  </si>
  <si>
    <t>bar</t>
  </si>
  <si>
    <t>bar mod</t>
  </si>
  <si>
    <t>bar calc</t>
  </si>
  <si>
    <t>rockets</t>
  </si>
  <si>
    <r>
      <rPr>
        <rFont val="Arial"/>
        <color theme="1"/>
      </rPr>
      <t xml:space="preserve">Lightweight shotgun
</t>
    </r>
    <r>
      <rPr>
        <rFont val="Arial"/>
        <i/>
        <color theme="1"/>
      </rPr>
      <t>Assault Mag, e. Field Prep + Vorpal Weapon (Without Remorse), Rain of Fire</t>
    </r>
  </si>
  <si>
    <t>fists of havoc</t>
  </si>
  <si>
    <t>light 443</t>
  </si>
  <si>
    <t>light 576</t>
  </si>
  <si>
    <t>song of flame everything maxed</t>
  </si>
  <si>
    <t>wisp 1842+2020 snap 262+980</t>
  </si>
  <si>
    <t>low</t>
  </si>
  <si>
    <r>
      <rPr>
        <rFont val="Arial"/>
        <color theme="1"/>
      </rPr>
      <t xml:space="preserve">Lightweight shotgun
</t>
    </r>
    <r>
      <rPr>
        <rFont val="Arial"/>
        <i/>
        <color theme="1"/>
      </rPr>
      <t>Assault Mag, Field Prep + Trench Barrel (Xenoclast IV), Rain of Fire</t>
    </r>
  </si>
  <si>
    <t>song of flame</t>
  </si>
  <si>
    <t>snap 176+676 wisp 910+998</t>
  </si>
  <si>
    <t>snap 181+676 wisp 925+1014</t>
  </si>
  <si>
    <t>snap 155+676 wisp 1270+1393</t>
  </si>
  <si>
    <r>
      <rPr>
        <rFont val="Arial"/>
        <color theme="1"/>
      </rPr>
      <t xml:space="preserve">Merciless
</t>
    </r>
    <r>
      <rPr>
        <rFont val="Arial"/>
        <i/>
        <color theme="1"/>
      </rPr>
      <t>Impetus, Lunafaction Boots, 3x Loader</t>
    </r>
  </si>
  <si>
    <t>daybreak</t>
  </si>
  <si>
    <t>impact 393+281+192</t>
  </si>
  <si>
    <t>temporal blast conversion</t>
  </si>
  <si>
    <r>
      <rPr>
        <rFont val="Arial"/>
        <color theme="1"/>
      </rPr>
      <t xml:space="preserve">Rapid-fire grenade launcher
</t>
    </r>
    <r>
      <rPr>
        <rFont val="Arial"/>
        <i/>
        <color theme="1"/>
      </rPr>
      <t>Envious Assassin + e. Surrounded (Koraxis's Distress), Rain of Fire</t>
    </r>
  </si>
  <si>
    <t>chaos reach</t>
  </si>
  <si>
    <t>ticks 321</t>
  </si>
  <si>
    <t>weapon</t>
  </si>
  <si>
    <t>tier</t>
  </si>
  <si>
    <t>raw</t>
  </si>
  <si>
    <t>result</t>
  </si>
  <si>
    <r>
      <rPr>
        <rFont val="Arial"/>
        <color theme="1"/>
      </rPr>
      <t xml:space="preserve">Ex Diris
</t>
    </r>
    <r>
      <rPr>
        <rFont val="Arial"/>
        <i/>
        <color theme="1"/>
      </rPr>
      <t>Corrupted Nucleosynthesis</t>
    </r>
  </si>
  <si>
    <t>stormtrance</t>
  </si>
  <si>
    <t>max ticks 239</t>
  </si>
  <si>
    <r>
      <rPr>
        <rFont val="Arial"/>
        <color theme="1"/>
      </rPr>
      <t xml:space="preserve">Pinpoint slug shotgun swapping
</t>
    </r>
    <r>
      <rPr>
        <rFont val="Arial"/>
        <i/>
        <color theme="1"/>
      </rPr>
      <t>Assault Mag, e. Surrounded (Supercluster), Surrounded (Sojourner's Tale), Rain of Fire</t>
    </r>
  </si>
  <si>
    <t>nova bomb - vortex</t>
  </si>
  <si>
    <t>ticks 68</t>
  </si>
  <si>
    <t>lunas howl lp testing</t>
  </si>
  <si>
    <r>
      <rPr>
        <rFont val="Arial"/>
        <color theme="1"/>
      </rPr>
      <t xml:space="preserve">Pinpoint slug shotgun swapping
</t>
    </r>
    <r>
      <rPr>
        <rFont val="Arial"/>
        <i/>
        <color theme="1"/>
      </rPr>
      <t>Assault Mag, Reconstruction + Vorpal Weapon (Supercluster, Nessa's Oblation), Rain of Fire</t>
    </r>
  </si>
  <si>
    <t>nova bomb - cataclysm</t>
  </si>
  <si>
    <t>impact 4213</t>
  </si>
  <si>
    <r>
      <rPr>
        <rFont val="Arial"/>
        <color theme="1"/>
      </rPr>
      <t xml:space="preserve">Aggressive rocket launcher
</t>
    </r>
    <r>
      <rPr>
        <rFont val="Arial"/>
        <i/>
        <color theme="1"/>
      </rPr>
      <t>Slideshot + Bipod &gt; e. Surrounded (Crux Termination IV), Pack Hunter</t>
    </r>
  </si>
  <si>
    <t>nova warp</t>
  </si>
  <si>
    <t>charged explosion 1844</t>
  </si>
  <si>
    <r>
      <rPr>
        <rFont val="Arial"/>
        <color theme="1"/>
      </rPr>
      <t xml:space="preserve">Aggressive rocket launcher
</t>
    </r>
    <r>
      <rPr>
        <rFont val="Arial"/>
        <i/>
        <color theme="1"/>
      </rPr>
      <t xml:space="preserve">Clown Cartridge + Bipod &gt; e. Explosive Light (Crux Termination IV), Pack Hunter, Radiant Dance Machines, </t>
    </r>
    <r>
      <rPr>
        <rFont val="Arial"/>
        <b/>
        <i/>
        <color theme="1"/>
      </rPr>
      <t>simulated</t>
    </r>
  </si>
  <si>
    <t>needlestorm</t>
  </si>
  <si>
    <t>no evo impact 705</t>
  </si>
  <si>
    <t>area denial</t>
  </si>
  <si>
    <r>
      <rPr>
        <rFont val="Arial"/>
        <color theme="1"/>
      </rPr>
      <t xml:space="preserve">Aggressive rocket launcher
</t>
    </r>
    <r>
      <rPr>
        <rFont val="Arial"/>
        <i/>
        <color theme="1"/>
      </rPr>
      <t>Envious Assassin + Bipod (Cold Comfort), Pack Hunter, Restoration Ritual, Radiant Dance Machines</t>
    </r>
  </si>
  <si>
    <t>winter's wrath</t>
  </si>
  <si>
    <t>shatter 743</t>
  </si>
  <si>
    <r>
      <rPr>
        <rFont val="Arial"/>
        <color theme="1"/>
      </rPr>
      <t xml:space="preserve">Rapid-fire shotgun
</t>
    </r>
    <r>
      <rPr>
        <rFont val="Arial"/>
        <i/>
        <color theme="1"/>
      </rPr>
      <t>e. Overflow + e. Surrounded (Until Its Return), Rain of Fire</t>
    </r>
  </si>
  <si>
    <t>rocket sidearm</t>
  </si>
  <si>
    <r>
      <rPr>
        <rFont val="Arial"/>
        <color theme="1"/>
      </rPr>
      <t xml:space="preserve">Rapid-fire shotgun
</t>
    </r>
    <r>
      <rPr>
        <rFont val="Arial"/>
        <i/>
        <color theme="1"/>
      </rPr>
      <t>e. Overflow + Vorpal Weapon (Until Its Return), Rain of Fire</t>
    </r>
  </si>
  <si>
    <t>rocket pulse</t>
  </si>
  <si>
    <r>
      <rPr>
        <rFont val="Arial"/>
        <color theme="1"/>
      </rPr>
      <t xml:space="preserve">Rapid-fire shotgun
</t>
    </r>
    <r>
      <rPr>
        <rFont val="Arial"/>
        <i/>
        <color theme="1"/>
      </rPr>
      <t>Envious Assassin + Trench Barrel (Basso Ostinato), Rain of Fire</t>
    </r>
  </si>
  <si>
    <r>
      <rPr>
        <rFont val="Arial"/>
        <color theme="1"/>
      </rPr>
      <t xml:space="preserve">Adaptive grenade launcher
</t>
    </r>
    <r>
      <rPr>
        <rFont val="Arial"/>
        <i/>
        <color theme="1"/>
      </rPr>
      <t>Spike Grenades, Envious Assassin + e. Bait and Switch (Edge Transit), Rain of Fire</t>
    </r>
  </si>
  <si>
    <t>crossbow</t>
  </si>
  <si>
    <r>
      <rPr>
        <rFont val="Arial"/>
        <color theme="1"/>
      </rPr>
      <t xml:space="preserve">Salvation's Grip
</t>
    </r>
    <r>
      <rPr>
        <rFont val="Arial"/>
        <i/>
        <color theme="1"/>
      </rPr>
      <t>charged shots, Facet of Command, Facet of Ruin</t>
    </r>
  </si>
  <si>
    <r>
      <rPr>
        <rFont val="Arial"/>
        <color theme="1"/>
      </rPr>
      <t xml:space="preserve">Salvation's Grip
</t>
    </r>
    <r>
      <rPr>
        <rFont val="Arial"/>
        <i/>
        <color theme="1"/>
      </rPr>
      <t>uncharged shots, Rain of Fire</t>
    </r>
  </si>
  <si>
    <r>
      <rPr>
        <rFont val="Arial"/>
        <color theme="1"/>
      </rPr>
      <t xml:space="preserve">Truth
</t>
    </r>
    <r>
      <rPr>
        <rFont val="Arial"/>
        <i/>
        <color theme="1"/>
      </rPr>
      <t>Rain of Fire</t>
    </r>
  </si>
  <si>
    <r>
      <rPr>
        <rFont val="Arial"/>
        <color theme="1"/>
      </rPr>
      <t xml:space="preserve">Rapid-fire fusion rifle
</t>
    </r>
    <r>
      <rPr>
        <rFont val="Arial"/>
        <i/>
        <color theme="1"/>
      </rPr>
      <t>Accelerated Coils, e. Overflow + Controlled Burst (Scatter Signal), Rain of Fire</t>
    </r>
  </si>
  <si>
    <r>
      <rPr>
        <rFont val="Arial"/>
        <color theme="1"/>
      </rPr>
      <t xml:space="preserve">Adaptive sniper
</t>
    </r>
    <r>
      <rPr>
        <rFont val="Arial"/>
        <i/>
        <color theme="1"/>
      </rPr>
      <t>e. Fourth Time's the Charm + e. Precision Instrument (Uzume RR4), Rain of Fire</t>
    </r>
  </si>
  <si>
    <r>
      <rPr>
        <rFont val="Arial"/>
        <color theme="1"/>
      </rPr>
      <t xml:space="preserve">Adaptive sniper
</t>
    </r>
    <r>
      <rPr>
        <rFont val="Arial"/>
        <i/>
        <color theme="1"/>
      </rPr>
      <t>Fourth Time's the Charm + Firing Line (Fugue-55), Rain of Fire</t>
    </r>
  </si>
  <si>
    <r>
      <rPr>
        <rFont val="Arial"/>
        <color theme="1"/>
      </rPr>
      <t xml:space="preserve">Compressed wave grenade launcher
</t>
    </r>
    <r>
      <rPr>
        <rFont val="Arial"/>
        <i/>
        <color theme="1"/>
      </rPr>
      <t>Envious Assassin + Vorpal Weapon (Dimensional Hypotrochoid), Rain of Fire</t>
    </r>
  </si>
  <si>
    <r>
      <rPr>
        <rFont val="Arial"/>
        <color theme="1"/>
      </rPr>
      <t xml:space="preserve">Lightweight shotgun swapping
</t>
    </r>
    <r>
      <rPr>
        <rFont val="Arial"/>
        <i/>
        <color theme="1"/>
      </rPr>
      <t>Assault Mag, Slickdraw + Vorpal Weapon (Riiswalker), e. Field Prep + Vorpal Weapon (Without Remorse), Rain of Fire</t>
    </r>
  </si>
  <si>
    <t>deathbringer testing</t>
  </si>
  <si>
    <r>
      <rPr>
        <rFont val="Arial"/>
        <color theme="1"/>
      </rPr>
      <t xml:space="preserve">Aggressive rocket launcher
</t>
    </r>
    <r>
      <rPr>
        <rFont val="Arial"/>
        <i/>
        <color theme="1"/>
      </rPr>
      <t>Envious Assassin + Bait and Switch (Cold Comfort), Restoration Ritual, Pack Hunter, Radiant Dance Machines</t>
    </r>
  </si>
  <si>
    <t>3 wipe</t>
  </si>
  <si>
    <t>1 wipe</t>
  </si>
  <si>
    <t>3 bar</t>
  </si>
  <si>
    <t>1 bar</t>
  </si>
  <si>
    <t>wipe scalar</t>
  </si>
  <si>
    <r>
      <rPr>
        <rFont val="Arial"/>
        <color theme="1"/>
      </rPr>
      <t xml:space="preserve">Rapid-fire fusion rifle
</t>
    </r>
    <r>
      <rPr>
        <rFont val="Arial"/>
        <i/>
        <color theme="1"/>
      </rPr>
      <t>Accelerated Coils, Vorpal Weapon (Cartesian Coordinate), Rain of Fire</t>
    </r>
  </si>
  <si>
    <t>solo</t>
  </si>
  <si>
    <t>bar scalar</t>
  </si>
  <si>
    <t>Black Talon
2H2L combo, Lucent Blades x3</t>
  </si>
  <si>
    <t>5 man</t>
  </si>
  <si>
    <r>
      <rPr>
        <rFont val="Arial"/>
        <color theme="1"/>
      </rPr>
      <t xml:space="preserve">Rapid-fire sniper
</t>
    </r>
    <r>
      <rPr>
        <rFont val="Arial"/>
        <i/>
        <color theme="1"/>
      </rPr>
      <t>e. Rewind Rounds + e. Bait and Switch (The Supremacy), Rain of Fire</t>
    </r>
  </si>
  <si>
    <r>
      <rPr>
        <rFont val="Arial"/>
        <color theme="1"/>
      </rPr>
      <t xml:space="preserve">Aggressive sniper
</t>
    </r>
    <r>
      <rPr>
        <rFont val="Arial"/>
        <i/>
        <color theme="1"/>
      </rPr>
      <t>Reconstruction + Firing Line (Succession), Rain of Fire</t>
    </r>
  </si>
  <si>
    <t>3man insta templar</t>
  </si>
  <si>
    <r>
      <rPr>
        <rFont val="Arial"/>
        <color theme="1"/>
      </rPr>
      <t xml:space="preserve">Dragon's Breath
</t>
    </r>
    <r>
      <rPr>
        <rFont val="Arial"/>
        <i/>
        <color theme="1"/>
      </rPr>
      <t xml:space="preserve">Ember of Ashes, Radiant Dance Machines, </t>
    </r>
    <r>
      <rPr>
        <rFont val="Arial"/>
        <b/>
        <i/>
        <color theme="1"/>
      </rPr>
      <t>simulated</t>
    </r>
  </si>
  <si>
    <t>cuirass</t>
  </si>
  <si>
    <r>
      <rPr>
        <rFont val="Arial"/>
        <color theme="1"/>
      </rPr>
      <t xml:space="preserve">Gjallarhorn
</t>
    </r>
    <r>
      <rPr>
        <rFont val="Arial"/>
        <i/>
        <color theme="1"/>
      </rPr>
      <t>Rain of Fire</t>
    </r>
  </si>
  <si>
    <t>sticky el</t>
  </si>
  <si>
    <r>
      <rPr>
        <rFont val="Arial"/>
        <color theme="1"/>
      </rPr>
      <t xml:space="preserve">Aggressive sniper
</t>
    </r>
    <r>
      <rPr>
        <rFont val="Arial"/>
        <i/>
        <color theme="1"/>
      </rPr>
      <t>Chill Clip + Chaos Reshaped (Critical Anomaly), Facet of Command, Facet of Ruin</t>
    </r>
  </si>
  <si>
    <t>tessellation</t>
  </si>
  <si>
    <r>
      <rPr>
        <rFont val="Arial"/>
        <color theme="1"/>
      </rPr>
      <t xml:space="preserve">Adaptive rocket launcher
</t>
    </r>
    <r>
      <rPr>
        <rFont val="Arial"/>
        <i/>
        <color theme="1"/>
      </rPr>
      <t>Bait and Switch (Apex Predator), Pack Hunter, Reconstruction start, Radiant Dance Machines</t>
    </r>
  </si>
  <si>
    <r>
      <rPr>
        <rFont val="Arial"/>
        <color theme="1"/>
      </rPr>
      <t xml:space="preserve">The Prospector
</t>
    </r>
    <r>
      <rPr>
        <rFont val="Arial"/>
        <i/>
        <color theme="1"/>
      </rPr>
      <t>Rain of Fire</t>
    </r>
  </si>
  <si>
    <r>
      <rPr>
        <rFont val="Arial"/>
        <color theme="1"/>
      </rPr>
      <t xml:space="preserve">Area denial grenade launcher
</t>
    </r>
    <r>
      <rPr>
        <rFont val="Arial"/>
        <i/>
        <color theme="1"/>
      </rPr>
      <t>Vorpal Weapon (Lost Signal)</t>
    </r>
  </si>
  <si>
    <t>hezen</t>
  </si>
  <si>
    <t>Double fire grenade launcher
Spike Grenades, Envious Assassin + e. Bait and Switch (Wild Style), Lunafaction Boots, 3x Loader</t>
  </si>
  <si>
    <t>nova</t>
  </si>
  <si>
    <r>
      <rPr>
        <rFont val="Arial"/>
        <color theme="1"/>
      </rPr>
      <t xml:space="preserve">Lightweight grenade launcher
</t>
    </r>
    <r>
      <rPr>
        <rFont val="Arial"/>
        <i/>
        <color theme="1"/>
      </rPr>
      <t xml:space="preserve">Spike Grenades, Slideshot + Frenzy (Ignition Code), </t>
    </r>
    <r>
      <rPr>
        <rFont val="Arial"/>
        <b/>
        <i/>
        <color theme="1"/>
      </rPr>
      <t>simulated</t>
    </r>
  </si>
  <si>
    <r>
      <rPr>
        <rFont val="Arial"/>
        <color theme="1"/>
      </rPr>
      <t xml:space="preserve">Lightweight grenade launcher
</t>
    </r>
    <r>
      <rPr>
        <rFont val="Arial"/>
        <i/>
        <color theme="1"/>
      </rPr>
      <t>Spike Grenades, Vorpal Weapon (Pardon Our Dust), Lunafaction Boots, 3x Loader</t>
    </r>
  </si>
  <si>
    <r>
      <rPr>
        <rFont val="Arial"/>
        <color theme="1"/>
      </rPr>
      <t xml:space="preserve">The Mountaintop
</t>
    </r>
    <r>
      <rPr>
        <rFont val="Arial"/>
        <i/>
        <color theme="1"/>
      </rPr>
      <t>Implosion Rounds, e. Overflow + Frenzy, Lunafaction Boots, 3x Loader</t>
    </r>
  </si>
  <si>
    <r>
      <rPr>
        <rFont val="Arial"/>
        <color theme="1"/>
      </rPr>
      <t xml:space="preserve">Wave grenade launcher
</t>
    </r>
    <r>
      <rPr>
        <rFont val="Arial"/>
        <i/>
        <color theme="1"/>
      </rPr>
      <t>Ambitious Assassin + e. Bait and Switch (Forbearance), Lunafaction Boots, 3x Loader</t>
    </r>
  </si>
  <si>
    <r>
      <rPr>
        <rFont val="Arial"/>
        <color theme="1"/>
      </rPr>
      <t xml:space="preserve">Witherhoard
</t>
    </r>
    <r>
      <rPr>
        <rFont val="Arial"/>
        <i/>
        <color theme="1"/>
      </rPr>
      <t>direct impact</t>
    </r>
  </si>
  <si>
    <t>nighthawk</t>
  </si>
  <si>
    <r>
      <rPr>
        <rFont val="Arial"/>
        <color theme="1"/>
      </rPr>
      <t xml:space="preserve">Witherhoard
</t>
    </r>
    <r>
      <rPr>
        <rFont val="Arial"/>
        <i/>
        <color theme="1"/>
      </rPr>
      <t>ground</t>
    </r>
  </si>
  <si>
    <t>still hunt</t>
  </si>
  <si>
    <r>
      <rPr>
        <rFont val="Arial"/>
        <color theme="1"/>
      </rPr>
      <t xml:space="preserve">Deathbringer
</t>
    </r>
    <r>
      <rPr>
        <rFont val="Arial"/>
        <i/>
        <color theme="1"/>
      </rPr>
      <t xml:space="preserve">Radiant Dance Machines, </t>
    </r>
    <r>
      <rPr>
        <rFont val="Arial"/>
        <b/>
        <i/>
        <color theme="1"/>
      </rPr>
      <t>simulated</t>
    </r>
  </si>
  <si>
    <r>
      <rPr>
        <rFont val="Arial"/>
        <color theme="1"/>
      </rPr>
      <t xml:space="preserve">Grand Overture
</t>
    </r>
    <r>
      <rPr>
        <rFont val="Arial"/>
        <i/>
        <color theme="1"/>
      </rPr>
      <t>x20 first volley into continuous fire, Actium War Rig, pre-stacked</t>
    </r>
  </si>
  <si>
    <t>sticky el (LB)</t>
  </si>
  <si>
    <r>
      <rPr>
        <rFont val="Arial"/>
        <color theme="1"/>
      </rPr>
      <t xml:space="preserve">High-impact fusion rifle
</t>
    </r>
    <r>
      <rPr>
        <rFont val="Arial"/>
        <i/>
        <color theme="1"/>
      </rPr>
      <t>Accelerated Coils, e. Cornered + e. Surrounded (Midha's Reckoning), Rain of Fire</t>
    </r>
  </si>
  <si>
    <r>
      <rPr>
        <rFont val="Arial"/>
        <color theme="1"/>
      </rPr>
      <t xml:space="preserve">Tractor Cannon
</t>
    </r>
    <r>
      <rPr>
        <rFont val="Arial"/>
        <i/>
        <color theme="1"/>
      </rPr>
      <t>Facet of Command</t>
    </r>
  </si>
  <si>
    <r>
      <rPr>
        <rFont val="Arial"/>
        <color theme="1"/>
      </rPr>
      <t xml:space="preserve">Rapid-fire sniper
</t>
    </r>
    <r>
      <rPr>
        <rFont val="Arial"/>
        <i/>
        <color theme="1"/>
      </rPr>
      <t>e. Rewind Rounds + e. Fourth Time's the Charm (The Supremacy), Rain of Fire</t>
    </r>
  </si>
  <si>
    <r>
      <rPr>
        <rFont val="Arial"/>
        <color theme="1"/>
      </rPr>
      <t xml:space="preserve">The Fourth Horseman
</t>
    </r>
    <r>
      <rPr>
        <rFont val="Arial"/>
        <i/>
        <color theme="1"/>
      </rPr>
      <t>Radiant Dance Machines, precision</t>
    </r>
  </si>
  <si>
    <r>
      <rPr>
        <rFont val="Arial"/>
        <color theme="1"/>
      </rPr>
      <t xml:space="preserve">Aggressive rocket launcher
</t>
    </r>
    <r>
      <rPr>
        <rFont val="Arial"/>
        <i/>
        <color theme="1"/>
      </rPr>
      <t xml:space="preserve">Clown Cartridge + Explosive Light (Crux Termination IV), Pack Hunter, Lunafaction Boots, 3x Loader, </t>
    </r>
    <r>
      <rPr>
        <rFont val="Arial"/>
        <b/>
        <i/>
        <color theme="1"/>
      </rPr>
      <t>simulated</t>
    </r>
  </si>
  <si>
    <r>
      <rPr>
        <rFont val="Arial"/>
        <color theme="1"/>
      </rPr>
      <t xml:space="preserve">Heir Apparent
</t>
    </r>
    <r>
      <rPr>
        <rFont val="Arial"/>
        <i/>
        <color theme="1"/>
      </rPr>
      <t>Actium War Rig</t>
    </r>
  </si>
  <si>
    <r>
      <rPr>
        <rFont val="Arial"/>
        <color theme="1"/>
      </rPr>
      <t xml:space="preserve">Two-Tailed Fox
</t>
    </r>
    <r>
      <rPr>
        <rFont val="Arial"/>
        <i/>
        <color theme="1"/>
      </rPr>
      <t>Ember of Ashes, Lunafaction Boots, 3x Loader</t>
    </r>
  </si>
  <si>
    <r>
      <rPr>
        <rFont val="Arial"/>
        <color theme="1"/>
      </rPr>
      <t xml:space="preserve">Euphony
</t>
    </r>
    <r>
      <rPr>
        <rFont val="Arial"/>
        <i/>
        <color theme="1"/>
      </rPr>
      <t>starts at 0 stacks, Thread of Evolution, Thread of Ascent (Threadling grenade), includes Threadlings</t>
    </r>
  </si>
  <si>
    <r>
      <rPr>
        <rFont val="Arial"/>
        <color theme="1"/>
      </rPr>
      <t xml:space="preserve">Euphony
</t>
    </r>
    <r>
      <rPr>
        <rFont val="Arial"/>
        <i/>
        <color theme="1"/>
      </rPr>
      <t>starts at 25 stacks, Thread of Evolution, Thread of Ascent (Threadling grenade), includes Threadlings</t>
    </r>
  </si>
  <si>
    <r>
      <rPr>
        <rFont val="Arial"/>
        <color theme="1"/>
      </rPr>
      <t xml:space="preserve">Merciless
</t>
    </r>
    <r>
      <rPr>
        <rFont val="Arial"/>
        <i/>
        <color theme="1"/>
      </rPr>
      <t>Rain of Fire</t>
    </r>
  </si>
  <si>
    <t>type</t>
  </si>
  <si>
    <t>frame</t>
  </si>
  <si>
    <t>rate</t>
  </si>
  <si>
    <t>s1</t>
  </si>
  <si>
    <t>s2</t>
  </si>
  <si>
    <t>crit</t>
  </si>
  <si>
    <t>shots</t>
  </si>
  <si>
    <t>kTotal</t>
  </si>
  <si>
    <t>sTotal</t>
  </si>
  <si>
    <t>tProc</t>
  </si>
  <si>
    <t>scalar</t>
  </si>
  <si>
    <r>
      <rPr>
        <rFont val="Arial"/>
        <color theme="1"/>
      </rPr>
      <t xml:space="preserve">Deterministic Chaos
</t>
    </r>
    <r>
      <rPr>
        <rFont val="Arial"/>
        <i/>
        <color theme="1"/>
      </rPr>
      <t>Actium War Rig</t>
    </r>
  </si>
  <si>
    <t>rapid</t>
  </si>
  <si>
    <r>
      <rPr>
        <rFont val="Arial"/>
        <color theme="1"/>
      </rPr>
      <t xml:space="preserve">Parasite
</t>
    </r>
    <r>
      <rPr>
        <rFont val="Arial"/>
        <i/>
        <color theme="1"/>
      </rPr>
      <t xml:space="preserve">x20 first shot, Radiant Dance Machines, </t>
    </r>
    <r>
      <rPr>
        <rFont val="Arial"/>
        <b/>
        <i/>
        <color theme="1"/>
      </rPr>
      <t>simulated</t>
    </r>
  </si>
  <si>
    <r>
      <rPr>
        <rFont val="Arial"/>
        <color theme="1"/>
      </rPr>
      <t xml:space="preserve">High-impact machine gun
</t>
    </r>
    <r>
      <rPr>
        <rFont val="Arial"/>
        <i/>
        <color theme="1"/>
      </rPr>
      <t>Triple Tap + Target Lock (Qua Xaphan V), Actium War Rig</t>
    </r>
  </si>
  <si>
    <r>
      <rPr>
        <rFont val="Arial"/>
        <color theme="1"/>
      </rPr>
      <t xml:space="preserve">Euphony
</t>
    </r>
    <r>
      <rPr>
        <rFont val="Arial"/>
        <i/>
        <color theme="1"/>
      </rPr>
      <t>starts at 0 stacks, Rain of Fire, includes Threadlings</t>
    </r>
  </si>
  <si>
    <t>hc</t>
  </si>
  <si>
    <r>
      <rPr>
        <rFont val="Arial"/>
        <color theme="1"/>
      </rPr>
      <t xml:space="preserve">D.A.R.C.I.
</t>
    </r>
    <r>
      <rPr>
        <rFont val="Arial"/>
        <i/>
        <color theme="1"/>
      </rPr>
      <t xml:space="preserve">Target Acquired, Rain of Fire, </t>
    </r>
    <r>
      <rPr>
        <rFont val="Arial"/>
        <b/>
        <i/>
        <color theme="1"/>
      </rPr>
      <t>simulated</t>
    </r>
  </si>
  <si>
    <t>adaptive</t>
  </si>
  <si>
    <r>
      <rPr>
        <rFont val="Arial"/>
        <color theme="1"/>
      </rPr>
      <t xml:space="preserve">Cloudstrike
</t>
    </r>
    <r>
      <rPr>
        <rFont val="Arial"/>
        <i/>
        <color theme="1"/>
      </rPr>
      <t>Rain of Fire</t>
    </r>
  </si>
  <si>
    <r>
      <rPr>
        <rFont val="Arial"/>
        <color theme="1"/>
      </rPr>
      <t xml:space="preserve">Thunderlord
</t>
    </r>
    <r>
      <rPr>
        <rFont val="Arial"/>
        <i/>
        <color theme="1"/>
      </rPr>
      <t>Actium War Rig</t>
    </r>
  </si>
  <si>
    <t>smg</t>
  </si>
  <si>
    <t>lightweight</t>
  </si>
  <si>
    <r>
      <rPr>
        <rFont val="Arial"/>
        <color theme="1"/>
      </rPr>
      <t xml:space="preserve">Whisper of the Worm
</t>
    </r>
    <r>
      <rPr>
        <rFont val="Arial"/>
        <i/>
        <color theme="1"/>
      </rPr>
      <t>Whispered Breathing, Field Prep, Foetracer</t>
    </r>
  </si>
  <si>
    <r>
      <rPr>
        <rFont val="Arial"/>
        <color theme="1"/>
      </rPr>
      <t xml:space="preserve">Adaptive machine gun
</t>
    </r>
    <r>
      <rPr>
        <rFont val="Arial"/>
        <i/>
        <color theme="1"/>
      </rPr>
      <t>e. Fourth Time's the Charm + e. Target Lock (Hammerhead), Actium War Rig</t>
    </r>
  </si>
  <si>
    <r>
      <rPr>
        <rFont val="Arial"/>
        <color theme="1"/>
      </rPr>
      <t xml:space="preserve">Rapid-fire machine gun
</t>
    </r>
    <r>
      <rPr>
        <rFont val="Arial"/>
        <i/>
        <color theme="1"/>
      </rPr>
      <t>e. Fourth Time's the Charm + e. Target Lock (Retrofit Escapade), Actium War Rig</t>
    </r>
  </si>
  <si>
    <t>modifiers</t>
  </si>
  <si>
    <t>actual</t>
  </si>
  <si>
    <t>multi</t>
  </si>
  <si>
    <r>
      <rPr>
        <rFont val="Arial"/>
        <color theme="1"/>
      </rPr>
      <t xml:space="preserve">Rapid-fire sniper
</t>
    </r>
    <r>
      <rPr>
        <rFont val="Arial"/>
        <i/>
        <color theme="1"/>
      </rPr>
      <t>Fourth Time's the Charm + Firing Line (Irukandji), Rain of Fire</t>
    </r>
  </si>
  <si>
    <t>30fps</t>
  </si>
  <si>
    <t>jumplookdown</t>
  </si>
  <si>
    <t>The Lament
4L1H3R combo, Lucent Blades x3</t>
  </si>
  <si>
    <t>45fps</t>
  </si>
  <si>
    <t>60fps</t>
  </si>
  <si>
    <r>
      <rPr>
        <rFont val="Arial"/>
        <color theme="1"/>
      </rPr>
      <t xml:space="preserve">Vortex sword
</t>
    </r>
    <r>
      <rPr>
        <rFont val="Arial"/>
        <i/>
        <color theme="1"/>
      </rPr>
      <t>1H2L combo, Jagged Edge, Frenzy + e. Surrounded (Falling Guillotine), Lucent Blades x3, Pack Hunter</t>
    </r>
  </si>
  <si>
    <t>100fps</t>
  </si>
  <si>
    <r>
      <rPr>
        <rFont val="Arial"/>
        <color theme="1"/>
      </rPr>
      <t xml:space="preserve">Rocket-assisted sidearm
</t>
    </r>
    <r>
      <rPr>
        <rFont val="Arial"/>
        <i/>
        <color theme="1"/>
      </rPr>
      <t>Surrounded (Indebted Kindness), Rain of Fire</t>
    </r>
  </si>
  <si>
    <t>200fps</t>
  </si>
  <si>
    <t>spaced</t>
  </si>
  <si>
    <t>headon</t>
  </si>
  <si>
    <r>
      <rPr>
        <rFont val="Arial"/>
        <color theme="1"/>
      </rPr>
      <t xml:space="preserve">Rapid-fire sniper
</t>
    </r>
    <r>
      <rPr>
        <rFont val="Arial"/>
        <i/>
        <color theme="1"/>
      </rPr>
      <t>e. Rewind Rounds + e. Kinetic Tremors (The Supremacy), Rain of Fire</t>
    </r>
  </si>
  <si>
    <t>crouchlookup</t>
  </si>
  <si>
    <t>contraweaken</t>
  </si>
  <si>
    <t>tractor</t>
  </si>
  <si>
    <t>undermining</t>
  </si>
  <si>
    <t>under+nocontra</t>
  </si>
  <si>
    <t>under+nocontra+weaken</t>
  </si>
  <si>
    <t>200g+under+child</t>
  </si>
  <si>
    <t>under+tractor</t>
  </si>
  <si>
    <t>under+tether</t>
  </si>
  <si>
    <t>200grenade</t>
  </si>
  <si>
    <t>200g+under+ass</t>
  </si>
  <si>
    <t>under+ultimate</t>
  </si>
  <si>
    <t>under+6man</t>
  </si>
  <si>
    <t>200g+under+spike</t>
  </si>
  <si>
    <t>200g+under+capn</t>
  </si>
  <si>
    <t>200g+under+mino</t>
  </si>
  <si>
    <t>200g+ground+mino</t>
  </si>
  <si>
    <t>200g+under+ogre</t>
  </si>
  <si>
    <t>200g+jumpdown</t>
  </si>
  <si>
    <t>150fps</t>
  </si>
  <si>
    <t>125fps</t>
  </si>
  <si>
    <t>80fps</t>
  </si>
  <si>
    <t>55fps</t>
  </si>
  <si>
    <t>50fps</t>
  </si>
  <si>
    <t>49fps</t>
  </si>
  <si>
    <t>200g+grenadier</t>
  </si>
  <si>
    <t>200g+gren+under</t>
  </si>
  <si>
    <t>200g+gren+under+verity</t>
  </si>
  <si>
    <t>connection</t>
  </si>
  <si>
    <t>under+korea+170</t>
  </si>
  <si>
    <t>under+russia+140</t>
  </si>
  <si>
    <t>under+germany+200</t>
  </si>
  <si>
    <t>under+singapore+144</t>
  </si>
  <si>
    <t>under+argentina+250</t>
  </si>
  <si>
    <r>
      <rPr>
        <rFont val="Arial"/>
        <color theme="1"/>
      </rPr>
      <t xml:space="preserve">Rocket-assisted sidearm
</t>
    </r>
    <r>
      <rPr>
        <rFont val="Arial"/>
        <i/>
        <color theme="1"/>
      </rPr>
      <t>precision, Vorpal Weapon (The Call), Rain of Fire</t>
    </r>
  </si>
  <si>
    <t>ref</t>
  </si>
  <si>
    <r>
      <rPr>
        <rFont val="Arial"/>
        <color theme="1"/>
      </rPr>
      <t xml:space="preserve">Adaptive burst linear fusion rifle
</t>
    </r>
    <r>
      <rPr>
        <rFont val="Arial"/>
        <i/>
        <color theme="1"/>
      </rPr>
      <t>Charge MW, Accelerated Coils, e. Rewind Rounds + e. Surrounded (Briar's Contempt), Rain of Fire</t>
    </r>
  </si>
  <si>
    <r>
      <rPr>
        <rFont val="Arial"/>
        <color theme="1"/>
      </rPr>
      <t xml:space="preserve">Heartshadow
</t>
    </r>
    <r>
      <rPr>
        <rFont val="Arial"/>
        <i/>
        <color theme="1"/>
      </rPr>
      <t>heavy attacks, Shot in the Dark, Lucent Blades x3</t>
    </r>
  </si>
  <si>
    <r>
      <rPr>
        <rFont val="Arial"/>
        <color theme="1"/>
      </rPr>
      <t xml:space="preserve">Sleeper Simulant
</t>
    </r>
    <r>
      <rPr>
        <rFont val="Arial"/>
        <i/>
        <color theme="1"/>
      </rPr>
      <t>Rain of Fire</t>
    </r>
  </si>
  <si>
    <r>
      <rPr>
        <rFont val="Arial"/>
        <color theme="1"/>
      </rPr>
      <t xml:space="preserve">Aggressive shotgun
</t>
    </r>
    <r>
      <rPr>
        <rFont val="Arial"/>
        <i/>
        <color theme="1"/>
      </rPr>
      <t>Assault Mag, e. Surrounded (Imperial Decree), Rain of Fire</t>
    </r>
  </si>
  <si>
    <r>
      <rPr>
        <rFont val="Arial"/>
        <color theme="1"/>
      </rPr>
      <t xml:space="preserve">Aggressive shotgun
</t>
    </r>
    <r>
      <rPr>
        <rFont val="Arial"/>
        <i/>
        <color theme="1"/>
      </rPr>
      <t>Assault Mag, Envious Assassin + Trench Barrel (A Sudden Death), Rain of Fire</t>
    </r>
  </si>
  <si>
    <r>
      <rPr>
        <rFont val="Arial"/>
        <color theme="1"/>
      </rPr>
      <t xml:space="preserve">Aggressive shotgun swapping
</t>
    </r>
    <r>
      <rPr>
        <rFont val="Arial"/>
        <i/>
        <color theme="1"/>
      </rPr>
      <t>Assault Mag, Threat Detector + e. Surrounded (Imperial Decree), Threat Detector + Surrounded (A Sudden Death), Rain of Fire</t>
    </r>
  </si>
  <si>
    <r>
      <rPr>
        <rFont val="Arial"/>
        <color theme="1"/>
      </rPr>
      <t xml:space="preserve">Tessellation
</t>
    </r>
    <r>
      <rPr>
        <rFont val="Arial"/>
        <i/>
        <color theme="1"/>
      </rPr>
      <t>Property: Irreducible, Rain of Fire</t>
    </r>
  </si>
  <si>
    <r>
      <rPr>
        <rFont val="Arial"/>
        <color theme="1"/>
      </rPr>
      <t xml:space="preserve">Worldline Zero
</t>
    </r>
    <r>
      <rPr>
        <rFont val="Arial"/>
        <i/>
        <color theme="1"/>
      </rPr>
      <t>double blinks, Temporal Sprint, Lucent Blades x3</t>
    </r>
  </si>
  <si>
    <r>
      <rPr>
        <rFont val="Arial"/>
        <color theme="1"/>
      </rPr>
      <t xml:space="preserve">Lightweight shotgun swapping
</t>
    </r>
    <r>
      <rPr>
        <rFont val="Arial"/>
        <i/>
        <color theme="1"/>
      </rPr>
      <t>Assault Mag, Threat Detector + e. Surrounded (Swordbreaker), Slickdraw + Surrounded (Ded Gramarye IV), Rain of Fire</t>
    </r>
  </si>
  <si>
    <r>
      <rPr>
        <rFont val="Arial"/>
        <color theme="1"/>
      </rPr>
      <t xml:space="preserve">Precision linear fusion rifle
</t>
    </r>
    <r>
      <rPr>
        <rFont val="Arial"/>
        <i/>
        <color theme="1"/>
      </rPr>
      <t>Charge MW, Enhanced Battery, Triple Tap + Firing Line (Taipan-4fr), Rain of Fire</t>
    </r>
  </si>
  <si>
    <r>
      <rPr>
        <rFont val="Arial"/>
        <color theme="1"/>
      </rPr>
      <t xml:space="preserve">Vortex sword
</t>
    </r>
    <r>
      <rPr>
        <rFont val="Arial"/>
        <i/>
        <color theme="1"/>
      </rPr>
      <t>light attacks, Jagged Edge, Frenzy + Bait and Switch (Falling Guillotine), Pack Hunter</t>
    </r>
  </si>
  <si>
    <r>
      <rPr>
        <rFont val="Arial"/>
        <color theme="1"/>
      </rPr>
      <t xml:space="preserve">Vortex sword
</t>
    </r>
    <r>
      <rPr>
        <rFont val="Arial"/>
        <i/>
        <color theme="1"/>
      </rPr>
      <t>light attacks, Jagged Edge, Frenzy + e. Surrounded (Falling Guillotine), Pack Hunter</t>
    </r>
  </si>
  <si>
    <r>
      <rPr>
        <rFont val="Arial"/>
        <color theme="1"/>
      </rPr>
      <t xml:space="preserve">Conditional Finality
</t>
    </r>
    <r>
      <rPr>
        <rFont val="Arial"/>
        <i/>
        <color theme="1"/>
      </rPr>
      <t>Rain of Fire, Lunafaction Boots, 3x Loader</t>
    </r>
  </si>
  <si>
    <r>
      <rPr>
        <rFont val="Arial"/>
        <color theme="1"/>
      </rPr>
      <t xml:space="preserve">Aggressive shotgun
</t>
    </r>
    <r>
      <rPr>
        <rFont val="Arial"/>
        <i/>
        <color theme="1"/>
      </rPr>
      <t>Assault Mag, Overflow + Frenzy (Deadpan Delivery), Rain of Fire</t>
    </r>
  </si>
  <si>
    <r>
      <rPr>
        <rFont val="Arial"/>
        <color theme="1"/>
      </rPr>
      <t xml:space="preserve">High-impact fusion rifle
</t>
    </r>
    <r>
      <rPr>
        <rFont val="Arial"/>
        <i/>
        <color theme="1"/>
      </rPr>
      <t>Accelerated Coils, Envious Assassin + Controlled Burst (The Eremite), Rain of Fire</t>
    </r>
  </si>
  <si>
    <r>
      <rPr>
        <rFont val="Arial"/>
        <color theme="1"/>
      </rPr>
      <t xml:space="preserve">Adaptive sniper
</t>
    </r>
    <r>
      <rPr>
        <rFont val="Arial"/>
        <i/>
        <color theme="1"/>
      </rPr>
      <t>e. Rewind Rounds + e. Fourth Time's the Charm (Embraced Identity), Rain of Fire</t>
    </r>
  </si>
  <si>
    <r>
      <rPr>
        <rFont val="Arial"/>
        <color theme="1"/>
      </rPr>
      <t xml:space="preserve">Adaptive fusion rifle
</t>
    </r>
    <r>
      <rPr>
        <rFont val="Arial"/>
        <i/>
        <color theme="1"/>
      </rPr>
      <t>Accelerated Coils, e. Rewind Rounds + Controlled Burst (Techeun Force)</t>
    </r>
  </si>
  <si>
    <r>
      <rPr>
        <rFont val="Arial"/>
        <color theme="1"/>
      </rPr>
      <t xml:space="preserve">Aggressive shotgun swapping
</t>
    </r>
    <r>
      <rPr>
        <rFont val="Arial"/>
        <i/>
        <color theme="1"/>
      </rPr>
      <t>Assault Mag, Frenzy (Ragnhild-D), Surplus + Frenzy (Found Verdict), Rain of Fire</t>
    </r>
  </si>
  <si>
    <r>
      <rPr>
        <rFont val="Arial"/>
        <color theme="1"/>
      </rPr>
      <t xml:space="preserve">Bastion
</t>
    </r>
    <r>
      <rPr>
        <rFont val="Arial"/>
        <i/>
        <color theme="1"/>
      </rPr>
      <t>Rain of Fire</t>
    </r>
  </si>
  <si>
    <r>
      <rPr>
        <rFont val="Arial"/>
        <color theme="1"/>
      </rPr>
      <t xml:space="preserve">Bastion
</t>
    </r>
    <r>
      <rPr>
        <rFont val="Arial"/>
        <i/>
        <color theme="1"/>
      </rPr>
      <t>Saint's Fury, Rain of Fire</t>
    </r>
  </si>
  <si>
    <r>
      <rPr>
        <rFont val="Arial"/>
        <color theme="1"/>
      </rPr>
      <t xml:space="preserve">Precision shotgun
</t>
    </r>
    <r>
      <rPr>
        <rFont val="Arial"/>
        <i/>
        <color theme="1"/>
      </rPr>
      <t>Assault Mag, Field Prep + Surrounded (Retold Tale), Rain of Fire</t>
    </r>
  </si>
  <si>
    <r>
      <rPr>
        <rFont val="Arial"/>
        <color theme="1"/>
      </rPr>
      <t xml:space="preserve">Precision shotgun
</t>
    </r>
    <r>
      <rPr>
        <rFont val="Arial"/>
        <i/>
        <color theme="1"/>
      </rPr>
      <t>Assault Mag, Vorpal Weapon (Someday), Rain of Fire</t>
    </r>
  </si>
  <si>
    <r>
      <rPr>
        <rFont val="Arial"/>
        <color theme="1"/>
      </rPr>
      <t xml:space="preserve">Lightweight sword
</t>
    </r>
    <r>
      <rPr>
        <rFont val="Arial"/>
        <i/>
        <color theme="1"/>
      </rPr>
      <t>aerial 1L1H combo, Jagged Edge, Relentless Strikes + Whirlwind Blade (Goldtusk)</t>
    </r>
  </si>
  <si>
    <r>
      <rPr>
        <rFont val="Arial"/>
        <color theme="1"/>
      </rPr>
      <t xml:space="preserve">Vortex sword
</t>
    </r>
    <r>
      <rPr>
        <rFont val="Arial"/>
        <i/>
        <color theme="1"/>
      </rPr>
      <t>1H2L combo, Jagged Edge, Frenzy + Whirlwind Blade (Falling Guillotine), Lucent Blades x3, Pack Hunter</t>
    </r>
  </si>
  <si>
    <r>
      <rPr>
        <rFont val="Arial"/>
        <color theme="1"/>
      </rPr>
      <t xml:space="preserve">Izanagi's Burden
</t>
    </r>
    <r>
      <rPr>
        <rFont val="Arial"/>
        <i/>
        <color theme="1"/>
      </rPr>
      <t>includes rehone time</t>
    </r>
  </si>
  <si>
    <r>
      <rPr>
        <rFont val="Arial"/>
        <color theme="1"/>
      </rPr>
      <t xml:space="preserve">Legend of Acrius
</t>
    </r>
    <r>
      <rPr>
        <rFont val="Arial"/>
        <i/>
        <color theme="1"/>
      </rPr>
      <t>precision, Trench Barrel, Rain of Fire</t>
    </r>
  </si>
  <si>
    <r>
      <rPr>
        <rFont val="Arial"/>
        <color theme="1"/>
      </rPr>
      <t xml:space="preserve">Lightweight shotgun
</t>
    </r>
    <r>
      <rPr>
        <rFont val="Arial"/>
        <i/>
        <color theme="1"/>
      </rPr>
      <t>Assault Mag, e. Surrounded (Swordbreaker), Rain of Fire</t>
    </r>
  </si>
  <si>
    <r>
      <rPr>
        <rFont val="Arial"/>
        <color theme="1"/>
      </rPr>
      <t xml:space="preserve">Adaptive burst linear fusion rifle
</t>
    </r>
    <r>
      <rPr>
        <rFont val="Arial"/>
        <i/>
        <color theme="1"/>
      </rPr>
      <t>Charge MW, Accelerated Coils, Envious Assassin &gt; Cornered + e. Surrounded + Adept Charge Time (Scintillation (Adept)), Rain of Fire</t>
    </r>
  </si>
  <si>
    <r>
      <rPr>
        <rFont val="Arial"/>
        <color theme="1"/>
      </rPr>
      <t xml:space="preserve">The Queenbreaker
</t>
    </r>
    <r>
      <rPr>
        <rFont val="Arial"/>
        <i/>
        <color theme="1"/>
      </rPr>
      <t>Combat Sights, Rain of Fire</t>
    </r>
  </si>
  <si>
    <r>
      <rPr>
        <rFont val="Arial"/>
        <color theme="1"/>
      </rPr>
      <t xml:space="preserve">The Queenbreaker
</t>
    </r>
    <r>
      <rPr>
        <rFont val="Arial"/>
        <i/>
        <color theme="1"/>
      </rPr>
      <t>Marksman Sights, Rain of Fire</t>
    </r>
  </si>
  <si>
    <r>
      <rPr>
        <rFont val="Arial"/>
        <color theme="1"/>
      </rPr>
      <t xml:space="preserve">Precision linear fusion rifle
</t>
    </r>
    <r>
      <rPr>
        <rFont val="Arial"/>
        <i/>
        <color theme="1"/>
      </rPr>
      <t>Charge MW, Accelerated Coils, e. Fourth Time's the Charm + e. Bait and Switch (Cataclysmic), Rain of Fire</t>
    </r>
  </si>
  <si>
    <r>
      <rPr>
        <rFont val="Arial"/>
        <color theme="1"/>
      </rPr>
      <t xml:space="preserve">Aggressive sword
</t>
    </r>
    <r>
      <rPr>
        <rFont val="Arial"/>
        <i/>
        <color theme="1"/>
      </rPr>
      <t>1H2L combo, Jagged Edge, e. Surrounded (Throne-Cleaver), Lucent Blades x3</t>
    </r>
  </si>
  <si>
    <r>
      <rPr>
        <rFont val="Arial"/>
        <color theme="1"/>
      </rPr>
      <t xml:space="preserve">Pinpoint slug shotgun
</t>
    </r>
    <r>
      <rPr>
        <rFont val="Arial"/>
        <i/>
        <color theme="1"/>
      </rPr>
      <t>Assault Mag, e. Fourth Time's the Charm + e. Surrounded (Supercluster), Rain of Fire</t>
    </r>
  </si>
  <si>
    <r>
      <rPr>
        <rFont val="Arial"/>
        <color theme="1"/>
      </rPr>
      <t xml:space="preserve">Pinpoint slug shotgun
</t>
    </r>
    <r>
      <rPr>
        <rFont val="Arial"/>
        <i/>
        <color theme="1"/>
      </rPr>
      <t>Assault Mag, e. Fourth Time's the Charm + e. Focused Fury (Nessa's Oblation), Rain of Fire</t>
    </r>
  </si>
  <si>
    <r>
      <rPr>
        <rFont val="Arial"/>
        <color theme="1"/>
      </rPr>
      <t xml:space="preserve">Aggressive sword
</t>
    </r>
    <r>
      <rPr>
        <rFont val="Arial"/>
        <i/>
        <color theme="1"/>
      </rPr>
      <t>light attacks, Jagged Edge, Relentless Strikes + Whirlwind Blade (Crown-Splitter)</t>
    </r>
  </si>
  <si>
    <r>
      <rPr>
        <rFont val="Arial"/>
        <color theme="1"/>
      </rPr>
      <t xml:space="preserve">Aggressive sword
</t>
    </r>
    <r>
      <rPr>
        <rFont val="Arial"/>
        <i/>
        <color theme="1"/>
      </rPr>
      <t>light attacks, Jagged Edge, e. Surrounded (Throne-Cleaver)</t>
    </r>
  </si>
  <si>
    <r>
      <rPr>
        <rFont val="Arial"/>
        <color theme="1"/>
      </rPr>
      <t xml:space="preserve">Still Hunt
</t>
    </r>
    <r>
      <rPr>
        <rFont val="Arial"/>
        <i/>
        <color theme="1"/>
      </rPr>
      <t>pre-popped into 6 shot cycle, Rain of Fire</t>
    </r>
  </si>
  <si>
    <r>
      <rPr>
        <rFont val="Arial"/>
        <color theme="1"/>
      </rPr>
      <t xml:space="preserve">Precision shotgun
</t>
    </r>
    <r>
      <rPr>
        <rFont val="Arial"/>
        <i/>
        <color theme="1"/>
      </rPr>
      <t>Assault Mag, Trench Barrel (Compass Rose), Rain of Fire</t>
    </r>
  </si>
  <si>
    <r>
      <rPr>
        <rFont val="Arial"/>
        <color theme="1"/>
      </rPr>
      <t xml:space="preserve">Anarchy
</t>
    </r>
    <r>
      <rPr>
        <rFont val="Arial"/>
        <i/>
        <color theme="1"/>
      </rPr>
      <t>2 traps</t>
    </r>
  </si>
  <si>
    <r>
      <rPr>
        <rFont val="Arial"/>
        <color theme="1"/>
      </rPr>
      <t xml:space="preserve">Adaptive burst linear fusion rifle
</t>
    </r>
    <r>
      <rPr>
        <rFont val="Arial"/>
        <i/>
        <color theme="1"/>
      </rPr>
      <t>Charge MW, Accelerated Coils, e. Rewind Rounds + e. Bait and Switch (Scintillation), Rain of Fire</t>
    </r>
  </si>
  <si>
    <r>
      <rPr>
        <rFont val="Arial"/>
        <color theme="1"/>
      </rPr>
      <t xml:space="preserve">Aggressive machine gun
</t>
    </r>
    <r>
      <rPr>
        <rFont val="Arial"/>
        <i/>
        <color theme="1"/>
      </rPr>
      <t>Envious Assassin + e. Target Lock (Pro Memoria), Actium War Rig</t>
    </r>
  </si>
  <si>
    <r>
      <rPr>
        <rFont val="Arial"/>
        <color theme="1"/>
      </rPr>
      <t xml:space="preserve">Ergo Sum
</t>
    </r>
    <r>
      <rPr>
        <rFont val="Arial"/>
        <i/>
        <color theme="1"/>
      </rPr>
      <t>Aggressive frame, 1H2L combo, Lucent Blades x3, Pack Hunter, Transcendent</t>
    </r>
  </si>
  <si>
    <r>
      <rPr>
        <rFont val="Arial"/>
        <color theme="1"/>
      </rPr>
      <t xml:space="preserve">Ergo Sum
</t>
    </r>
    <r>
      <rPr>
        <rFont val="Arial"/>
        <i/>
        <color theme="1"/>
      </rPr>
      <t>Lightweight frame, Unplanned Reprieve, 1H2L combo, Lucent Blades x3, Pack Hunter, Transcendent, fireteam scaling</t>
    </r>
  </si>
  <si>
    <r>
      <rPr>
        <rFont val="Arial"/>
        <color theme="1"/>
      </rPr>
      <t xml:space="preserve">Ergo Sum
</t>
    </r>
    <r>
      <rPr>
        <rFont val="Arial"/>
        <i/>
        <color theme="1"/>
      </rPr>
      <t>Vortex frame, Unplanned Reprieve, 1H2L combo, Lucent Blades x3, Pack Hunter, Transcendent, fireteam scaling</t>
    </r>
  </si>
  <si>
    <r>
      <rPr>
        <rFont val="Arial"/>
        <color theme="1"/>
      </rPr>
      <t xml:space="preserve">Ergo Sum
</t>
    </r>
    <r>
      <rPr>
        <rFont val="Arial"/>
        <i/>
        <color theme="1"/>
      </rPr>
      <t>Lightweight frame, 1H2L combo, Lucent Blades x3, Pack Hunter, Transcendent</t>
    </r>
  </si>
  <si>
    <r>
      <rPr>
        <rFont val="Arial"/>
        <color theme="1"/>
      </rPr>
      <t xml:space="preserve">Ergo Sum
</t>
    </r>
    <r>
      <rPr>
        <rFont val="Arial"/>
        <i/>
        <color theme="1"/>
      </rPr>
      <t>Vortex frame, 1H2L combo, Lucent Blades x3, Pack Hunter, Transcendent</t>
    </r>
  </si>
  <si>
    <r>
      <rPr>
        <rFont val="Arial"/>
        <color theme="1"/>
      </rPr>
      <t xml:space="preserve">Adaptive sword
</t>
    </r>
    <r>
      <rPr>
        <rFont val="Arial"/>
        <i/>
        <color theme="1"/>
      </rPr>
      <t>1H2L combo, Jagged Edge, Relentless Strikes + e. Surrounded (The Other Half), Lucent Blades x3, Pack Hunter</t>
    </r>
  </si>
  <si>
    <r>
      <rPr>
        <rFont val="Arial"/>
        <color theme="1"/>
      </rPr>
      <t xml:space="preserve">Adaptive sword
</t>
    </r>
    <r>
      <rPr>
        <rFont val="Arial"/>
        <i/>
        <color theme="1"/>
      </rPr>
      <t>1H2L combo, Jagged Edge, Relentless Strikes + Whirlwind Blade (The Other Half), Lucent Blades x3, Pack Hunter</t>
    </r>
  </si>
  <si>
    <r>
      <rPr>
        <rFont val="Arial"/>
        <color theme="1"/>
      </rPr>
      <t xml:space="preserve">Caster sword
</t>
    </r>
    <r>
      <rPr>
        <rFont val="Arial"/>
        <i/>
        <color theme="1"/>
      </rPr>
      <t>1H2L combo, Jagged Edge, Relentless Strikes + e. Surrounded (Ill Omen), Lucent Blades x3, Pack Hunter</t>
    </r>
  </si>
  <si>
    <r>
      <rPr>
        <rFont val="Arial"/>
        <color theme="1"/>
      </rPr>
      <t xml:space="preserve">Caster sword
</t>
    </r>
    <r>
      <rPr>
        <rFont val="Arial"/>
        <i/>
        <color theme="1"/>
      </rPr>
      <t>1H2L combo, Jagged Edge, Relentless Strikes + Cold Steel (Ill Omen), Lucent Blades x3, Pack Hunter, Facet of Ruin</t>
    </r>
  </si>
  <si>
    <r>
      <rPr>
        <rFont val="Arial"/>
        <color theme="1"/>
      </rPr>
      <t xml:space="preserve">Ergo Sum
</t>
    </r>
    <r>
      <rPr>
        <rFont val="Arial"/>
        <i/>
        <color theme="1"/>
      </rPr>
      <t>Caster frame, 1H2L combo, Lucent Blades x3, Pack Hunter, Transcendent</t>
    </r>
  </si>
  <si>
    <r>
      <rPr>
        <rFont val="Arial"/>
        <color theme="1"/>
      </rPr>
      <t xml:space="preserve">Bequest
</t>
    </r>
    <r>
      <rPr>
        <rFont val="Arial"/>
        <i/>
        <color theme="1"/>
      </rPr>
      <t>1H2L combo, Jagged Edge, Relentless Strikes + e. Surrounded, Lucent Blades x3, Pack Hunter</t>
    </r>
  </si>
  <si>
    <r>
      <rPr>
        <rFont val="Arial"/>
        <color theme="1"/>
      </rPr>
      <t xml:space="preserve">Ergo Sum
</t>
    </r>
    <r>
      <rPr>
        <rFont val="Arial"/>
        <i/>
        <color theme="1"/>
      </rPr>
      <t>Caster frame, The Perfect Fifth, 1H2L combo, Lucent Blades x3, Pack Hunter, Transcendent, fireteam scaling</t>
    </r>
  </si>
  <si>
    <r>
      <rPr>
        <rFont val="Arial"/>
        <color theme="1"/>
      </rPr>
      <t xml:space="preserve">Ergo Sum
</t>
    </r>
    <r>
      <rPr>
        <rFont val="Arial"/>
        <i/>
        <color theme="1"/>
      </rPr>
      <t>Vortex frame, The Perfect Fifth, unpowered heavy attacks, Lucent Blades x3, Pack Hunter, Transcendent</t>
    </r>
  </si>
  <si>
    <r>
      <rPr>
        <rFont val="Arial"/>
        <color theme="1"/>
      </rPr>
      <t xml:space="preserve">Vortex sword
</t>
    </r>
    <r>
      <rPr>
        <rFont val="Arial"/>
        <i/>
        <color theme="1"/>
      </rPr>
      <t>1H2L combo, Jagged Edge, Relentless Strikes + e. Surrounded (Falling Guillotine), Lucent Blades x3, Pack Hunter</t>
    </r>
  </si>
  <si>
    <r>
      <rPr>
        <rFont val="Arial"/>
        <color theme="1"/>
      </rPr>
      <t xml:space="preserve">Wave frame sword
</t>
    </r>
    <r>
      <rPr>
        <rFont val="Arial"/>
        <i/>
        <color theme="1"/>
      </rPr>
      <t>1HS2L combo, Jagged Edge, Relentless Strikes + Chaos Reshaped + Adept Impact (Summum Bonum (Adept)), Lucent Blades x3, Pack Hunter</t>
    </r>
  </si>
  <si>
    <r>
      <rPr>
        <rFont val="Arial"/>
        <color theme="1"/>
      </rPr>
      <t xml:space="preserve">Wave frame sword
</t>
    </r>
    <r>
      <rPr>
        <rFont val="Arial"/>
        <i/>
        <color theme="1"/>
      </rPr>
      <t>1HS2L combo, Jagged Edge, Relentless Strikes + e. Surrounded + Adept Impact (Summum Bonum (Adept)), Lucent Blades x3, Pack Hunter</t>
    </r>
  </si>
  <si>
    <r>
      <rPr>
        <rFont val="Arial"/>
        <color theme="1"/>
      </rPr>
      <t xml:space="preserve">Adaptive sword
</t>
    </r>
    <r>
      <rPr>
        <rFont val="Arial"/>
        <i/>
        <color theme="1"/>
      </rPr>
      <t>light attacks, Jagged Edge, Relentless Strikes + e. Surrounded (The Other Half), Pack Hunter</t>
    </r>
  </si>
  <si>
    <r>
      <rPr>
        <rFont val="Arial"/>
        <color theme="1"/>
      </rPr>
      <t xml:space="preserve">Adaptive sword
</t>
    </r>
    <r>
      <rPr>
        <rFont val="Arial"/>
        <i/>
        <color theme="1"/>
      </rPr>
      <t>light attacks, Jagged Edge, Relentless Strikes + Whirlwind Blade (The Other Half), Pack Hunter</t>
    </r>
  </si>
  <si>
    <r>
      <rPr>
        <rFont val="Arial"/>
        <color theme="1"/>
      </rPr>
      <t xml:space="preserve">Bequest
</t>
    </r>
    <r>
      <rPr>
        <rFont val="Arial"/>
        <i/>
        <color theme="1"/>
      </rPr>
      <t>light attacks, Jagged Edge, Relentless Strikes + e. Surrounded, Pack Hunter</t>
    </r>
  </si>
  <si>
    <r>
      <rPr>
        <rFont val="Arial"/>
        <color theme="1"/>
      </rPr>
      <t xml:space="preserve">Lightweight sword
</t>
    </r>
    <r>
      <rPr>
        <rFont val="Arial"/>
        <i/>
        <color theme="1"/>
      </rPr>
      <t>light attacks, Jagged Edge, Relentless Strikes + Whirlwind Blade (Goldtusk), Pack Hunter</t>
    </r>
  </si>
  <si>
    <r>
      <rPr>
        <rFont val="Arial"/>
        <color theme="1"/>
      </rPr>
      <t xml:space="preserve">Lightweight sword
</t>
    </r>
    <r>
      <rPr>
        <rFont val="Arial"/>
        <i/>
        <color theme="1"/>
      </rPr>
      <t>3L1H combo, Jagged Edge, Relentless Strikes + Whirlwind Blade (Goldtusk), Lucent Blades x3, Pack Hunter</t>
    </r>
  </si>
</sst>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numFmt numFmtId="165" formatCode="0.000"/>
    <numFmt numFmtId="166" formatCode="0.000000"/>
    <numFmt numFmtId="167" formatCode="#"/>
    <numFmt numFmtId="168" formatCode="0,0"/>
    <numFmt numFmtId="169" formatCode="#,##"/>
    <numFmt numFmtId="170" formatCode="0,000"/>
    <numFmt numFmtId="171" formatCode="#,#"/>
    <numFmt numFmtId="172" formatCode="0.0"/>
  </numFmts>
  <fonts count="65">
    <font>
      <sz val="10.0"/>
      <color rgb="FF000000"/>
      <name val="Arial"/>
      <scheme val="minor"/>
    </font>
    <font>
      <i/>
      <color rgb="FFFFFFFF"/>
      <name val="Arial"/>
      <scheme val="minor"/>
    </font>
    <font>
      <b/>
      <u/>
      <sz val="11.0"/>
      <color rgb="FFD9F0FF"/>
    </font>
    <font>
      <b/>
      <sz val="15.0"/>
      <color rgb="FFFFFFFF"/>
      <name val="Arial"/>
      <scheme val="minor"/>
    </font>
    <font>
      <b/>
      <i/>
      <sz val="12.0"/>
      <color rgb="FF000000"/>
    </font>
    <font>
      <color theme="1"/>
      <name val="Arial"/>
      <scheme val="minor"/>
    </font>
    <font>
      <b/>
      <sz val="10.0"/>
      <color rgb="FFFFFFFF"/>
      <name val="Arial"/>
      <scheme val="minor"/>
    </font>
    <font>
      <b/>
      <sz val="10.0"/>
      <color rgb="FF181A1B"/>
      <name val="Arial"/>
      <scheme val="minor"/>
    </font>
    <font/>
    <font>
      <color rgb="FF181A1B"/>
      <name val="Arial"/>
      <scheme val="minor"/>
    </font>
    <font>
      <b/>
      <color theme="1"/>
      <name val="Arial"/>
      <scheme val="minor"/>
    </font>
    <font>
      <b/>
      <i/>
      <sz val="12.0"/>
      <color rgb="FF000000"/>
      <name val="Arial"/>
      <scheme val="minor"/>
    </font>
    <font>
      <b/>
      <color rgb="FFFFFFFF"/>
      <name val="Arial"/>
      <scheme val="minor"/>
    </font>
    <font>
      <i/>
      <sz val="12.0"/>
      <color theme="1"/>
      <name val="Arial"/>
      <scheme val="minor"/>
    </font>
    <font>
      <color rgb="FF181A1B"/>
    </font>
    <font>
      <u/>
      <color rgb="FF000000"/>
    </font>
    <font>
      <color rgb="FF000000"/>
      <name val="Arial"/>
      <scheme val="minor"/>
    </font>
    <font>
      <b/>
      <i/>
      <sz val="18.0"/>
      <color rgb="FFFFFFFF"/>
      <name val="Arial"/>
      <scheme val="minor"/>
    </font>
    <font>
      <b/>
      <i/>
      <sz val="12.0"/>
      <color rgb="FF181A1B"/>
      <name val="Arial"/>
      <scheme val="minor"/>
    </font>
    <font>
      <i/>
      <color rgb="FF181A1B"/>
      <name val="Arial"/>
      <scheme val="minor"/>
    </font>
    <font>
      <b/>
      <i/>
      <sz val="12.0"/>
      <color theme="1"/>
      <name val="Arial"/>
      <scheme val="minor"/>
    </font>
    <font>
      <i/>
      <color theme="1"/>
      <name val="Arial"/>
      <scheme val="minor"/>
    </font>
    <font>
      <color rgb="FF000000"/>
    </font>
    <font>
      <u/>
      <color rgb="FF000000"/>
    </font>
    <font>
      <b/>
      <color rgb="FFFFFFFF"/>
      <name val="Arial"/>
    </font>
    <font>
      <b/>
      <sz val="11.0"/>
      <color theme="1"/>
      <name val="Arial"/>
    </font>
    <font>
      <color theme="1"/>
      <name val="Arial"/>
    </font>
    <font>
      <i/>
      <sz val="11.0"/>
      <color theme="1"/>
      <name val="Arial"/>
    </font>
    <font>
      <b/>
      <sz val="9.0"/>
      <color rgb="FFFFFFFF"/>
      <name val="Roboto Condensed"/>
    </font>
    <font>
      <sz val="9.0"/>
      <color rgb="FF181A1B"/>
      <name val="Roboto Condensed"/>
    </font>
    <font>
      <sz val="9.0"/>
      <color rgb="FFFFFFFF"/>
      <name val="Roboto Condensed"/>
    </font>
    <font>
      <color theme="1"/>
      <name val="Roboto Condensed"/>
    </font>
    <font>
      <color rgb="FF181A1B"/>
      <name val="Roboto Condensed"/>
    </font>
    <font>
      <sz val="8.0"/>
      <color rgb="FF181A1B"/>
      <name val="Roboto Condensed"/>
    </font>
    <font>
      <sz val="8.0"/>
      <color theme="1"/>
      <name val="Roboto Condensed"/>
    </font>
    <font>
      <u/>
      <sz val="8.0"/>
      <color rgb="FF0000FF"/>
      <name val="Roboto Condensed"/>
    </font>
    <font>
      <i/>
      <sz val="9.0"/>
      <color rgb="FFFFFFFF"/>
      <name val="Roboto Condensed"/>
    </font>
    <font>
      <color theme="1"/>
      <name val="Lato"/>
    </font>
    <font>
      <color rgb="FF181A1B"/>
      <name val="Lato"/>
    </font>
    <font>
      <b/>
      <sz val="8.0"/>
      <color rgb="FF181A1B"/>
      <name val="Arial"/>
      <scheme val="minor"/>
    </font>
    <font>
      <b/>
      <color rgb="FF181A1B"/>
      <name val="Arial"/>
      <scheme val="minor"/>
    </font>
    <font>
      <sz val="9.0"/>
      <color rgb="FF181A1B"/>
      <name val="Arial"/>
      <scheme val="minor"/>
    </font>
    <font>
      <b/>
      <sz val="9.0"/>
      <color rgb="FF181A1B"/>
      <name val="Arial"/>
      <scheme val="minor"/>
    </font>
    <font>
      <u/>
      <color rgb="FF56A3F1"/>
    </font>
    <font>
      <u/>
      <color rgb="FF56A3F1"/>
    </font>
    <font>
      <b/>
      <sz val="10.0"/>
      <color rgb="FF000000"/>
      <name val="Calibri"/>
    </font>
    <font>
      <b/>
      <sz val="10.0"/>
      <color rgb="FF181A1B"/>
      <name val="Calibri"/>
    </font>
    <font>
      <b/>
      <sz val="10.0"/>
      <color theme="1"/>
      <name val="Calibri"/>
    </font>
    <font>
      <sz val="10.0"/>
      <color rgb="FF000000"/>
      <name val="Calibri"/>
    </font>
    <font>
      <sz val="10.0"/>
      <color rgb="FF181A1B"/>
      <name val="Calibri"/>
    </font>
    <font>
      <sz val="10.0"/>
      <color theme="1"/>
      <name val="Calibri"/>
    </font>
    <font>
      <b/>
      <color rgb="FFFFFFFF"/>
    </font>
    <font>
      <b/>
      <color rgb="FF000000"/>
      <name val="Arial"/>
      <scheme val="minor"/>
    </font>
    <font>
      <b/>
      <color rgb="FF181A1B"/>
      <name val="Arial"/>
    </font>
    <font>
      <color rgb="FF181A1B"/>
      <name val="Arial"/>
    </font>
    <font>
      <b/>
      <u/>
      <color rgb="FF000000"/>
      <name val="Arial"/>
    </font>
    <font>
      <b/>
      <u/>
      <sz val="23.0"/>
      <color rgb="FFFFFFFF"/>
      <name val="Archivo Narrow"/>
    </font>
    <font>
      <sz val="9.0"/>
      <color theme="1"/>
      <name val="Arial"/>
      <scheme val="minor"/>
    </font>
    <font>
      <b/>
      <color theme="1"/>
      <name val="Arial"/>
    </font>
    <font>
      <sz val="11.0"/>
      <color rgb="FF000000"/>
      <name val="Calibri"/>
    </font>
    <font>
      <b/>
      <sz val="11.0"/>
      <color rgb="FFFFFFFF"/>
      <name val="&quot;Aptos Narrow&quot;"/>
    </font>
    <font>
      <b/>
      <sz val="11.0"/>
      <color rgb="FFFFFFFF"/>
      <name val="Arial"/>
    </font>
    <font>
      <sz val="11.0"/>
      <color rgb="FF000000"/>
      <name val="&quot;Aptos Narrow&quot;"/>
    </font>
    <font>
      <u/>
      <color rgb="FF56A3F1"/>
    </font>
    <font>
      <u/>
      <color rgb="FF56A3F1"/>
    </font>
  </fonts>
  <fills count="34">
    <fill>
      <patternFill patternType="none"/>
    </fill>
    <fill>
      <patternFill patternType="lightGray"/>
    </fill>
    <fill>
      <patternFill patternType="solid">
        <fgColor rgb="FF303030"/>
        <bgColor rgb="FF303030"/>
      </patternFill>
    </fill>
    <fill>
      <patternFill patternType="solid">
        <fgColor rgb="FF000000"/>
        <bgColor rgb="FF000000"/>
      </patternFill>
    </fill>
    <fill>
      <patternFill patternType="solid">
        <fgColor rgb="FFFFFFFF"/>
        <bgColor rgb="FFFFFFFF"/>
      </patternFill>
    </fill>
    <fill>
      <patternFill patternType="solid">
        <fgColor rgb="FFF3F3F3"/>
        <bgColor rgb="FFF3F3F3"/>
      </patternFill>
    </fill>
    <fill>
      <patternFill patternType="solid">
        <fgColor rgb="FF00FF00"/>
        <bgColor rgb="FF00FF00"/>
      </patternFill>
    </fill>
    <fill>
      <patternFill patternType="solid">
        <fgColor rgb="FF660000"/>
        <bgColor rgb="FF660000"/>
      </patternFill>
    </fill>
    <fill>
      <patternFill patternType="solid">
        <fgColor rgb="FF7F6000"/>
        <bgColor rgb="FF7F6000"/>
      </patternFill>
    </fill>
    <fill>
      <patternFill patternType="solid">
        <fgColor rgb="FF1C4587"/>
        <bgColor rgb="FF1C4587"/>
      </patternFill>
    </fill>
    <fill>
      <patternFill patternType="solid">
        <fgColor rgb="FF274E13"/>
        <bgColor rgb="FF274E13"/>
      </patternFill>
    </fill>
    <fill>
      <patternFill patternType="solid">
        <fgColor rgb="FF2F0000"/>
        <bgColor rgb="FF2F0000"/>
      </patternFill>
    </fill>
    <fill>
      <patternFill patternType="solid">
        <fgColor rgb="FF2F2600"/>
        <bgColor rgb="FF2F2600"/>
      </patternFill>
    </fill>
    <fill>
      <patternFill patternType="solid">
        <fgColor rgb="FF00022F"/>
        <bgColor rgb="FF00022F"/>
      </patternFill>
    </fill>
    <fill>
      <patternFill patternType="solid">
        <fgColor rgb="FF102F00"/>
        <bgColor rgb="FF102F00"/>
      </patternFill>
    </fill>
    <fill>
      <patternFill patternType="solid">
        <fgColor rgb="FFFFFF00"/>
        <bgColor rgb="FFFFFF00"/>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990000"/>
        <bgColor rgb="FF990000"/>
      </patternFill>
    </fill>
    <fill>
      <patternFill patternType="solid">
        <fgColor rgb="FFB45F06"/>
        <bgColor rgb="FFB45F06"/>
      </patternFill>
    </fill>
    <fill>
      <patternFill patternType="solid">
        <fgColor rgb="FF38761D"/>
        <bgColor rgb="FF38761D"/>
      </patternFill>
    </fill>
    <fill>
      <patternFill patternType="solid">
        <fgColor rgb="FF1155CC"/>
        <bgColor rgb="FF1155CC"/>
      </patternFill>
    </fill>
    <fill>
      <patternFill patternType="solid">
        <fgColor rgb="FF434343"/>
        <bgColor rgb="FF434343"/>
      </patternFill>
    </fill>
    <fill>
      <patternFill patternType="solid">
        <fgColor rgb="FF0000FF"/>
        <bgColor rgb="FF0000FF"/>
      </patternFill>
    </fill>
    <fill>
      <patternFill patternType="solid">
        <fgColor rgb="FFFF00FF"/>
        <bgColor rgb="FFFF00FF"/>
      </patternFill>
    </fill>
    <fill>
      <patternFill patternType="solid">
        <fgColor rgb="FF980000"/>
        <bgColor rgb="FF980000"/>
      </patternFill>
    </fill>
    <fill>
      <patternFill patternType="solid">
        <fgColor rgb="FFFF0000"/>
        <bgColor rgb="FFFF0000"/>
      </patternFill>
    </fill>
    <fill>
      <patternFill patternType="solid">
        <fgColor rgb="FFFF9900"/>
        <bgColor rgb="FFFF9900"/>
      </patternFill>
    </fill>
    <fill>
      <patternFill patternType="solid">
        <fgColor rgb="FFD9EAD3"/>
        <bgColor rgb="FFD9EAD3"/>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D0E0E3"/>
        <bgColor rgb="FFD0E0E3"/>
      </patternFill>
    </fill>
  </fills>
  <borders count="16">
    <border/>
    <border>
      <left style="medium">
        <color rgb="FFFFFFFF"/>
      </left>
      <right style="medium">
        <color rgb="FFFFFFFF"/>
      </right>
      <top style="medium">
        <color rgb="FFFFFFFF"/>
      </top>
      <bottom style="medium">
        <color rgb="FFFFFFFF"/>
      </bottom>
    </border>
    <border>
      <left style="thin">
        <color rgb="FF000000"/>
      </left>
    </border>
    <border>
      <left style="thick">
        <color rgb="FF000000"/>
      </left>
    </border>
    <border>
      <bottom style="thin">
        <color rgb="FF000000"/>
      </bottom>
    </border>
    <border>
      <left style="thin">
        <color rgb="FF000000"/>
      </left>
      <bottom style="thin">
        <color rgb="FF000000"/>
      </bottom>
    </border>
    <border>
      <right style="medium">
        <color rgb="FF000000"/>
      </right>
    </border>
    <border>
      <left style="medium">
        <color rgb="FF000000"/>
      </left>
    </border>
    <border>
      <right style="thin">
        <color rgb="FF000000"/>
      </right>
    </border>
    <border>
      <bottom style="medium">
        <color rgb="FF000000"/>
      </bottom>
    </border>
    <border>
      <right style="medium">
        <color rgb="FF000000"/>
      </right>
      <bottom style="medium">
        <color rgb="FF000000"/>
      </bottom>
    </border>
    <border>
      <top style="medium">
        <color rgb="FF000000"/>
      </top>
    </border>
    <border>
      <right style="medium">
        <color rgb="FF000000"/>
      </right>
      <top style="medium">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8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0" fillId="3" fontId="3" numFmtId="0" xfId="0" applyAlignment="1" applyFill="1" applyFont="1">
      <alignment horizontal="center" readingOrder="0" shrinkToFit="0" vertical="center" wrapText="1"/>
    </xf>
    <xf borderId="0" fillId="4" fontId="4" numFmtId="0" xfId="0" applyAlignment="1" applyFill="1" applyFont="1">
      <alignment horizontal="right" readingOrder="0" vertical="center"/>
    </xf>
    <xf borderId="0" fillId="4" fontId="5" numFmtId="0" xfId="0" applyAlignment="1" applyFont="1">
      <alignment readingOrder="0" shrinkToFit="0" vertical="center" wrapText="1"/>
    </xf>
    <xf borderId="2" fillId="2" fontId="6" numFmtId="0" xfId="0" applyAlignment="1" applyBorder="1" applyFont="1">
      <alignment readingOrder="0" shrinkToFit="0" vertical="center" wrapText="1"/>
    </xf>
    <xf borderId="0" fillId="4" fontId="7" numFmtId="0" xfId="0" applyAlignment="1" applyFont="1">
      <alignment horizontal="center" readingOrder="0" shrinkToFit="0" vertical="center" wrapText="1"/>
    </xf>
    <xf borderId="0" fillId="5" fontId="4" numFmtId="0" xfId="0" applyAlignment="1" applyFill="1" applyFont="1">
      <alignment horizontal="right" readingOrder="0" vertical="center"/>
    </xf>
    <xf borderId="0" fillId="5" fontId="5" numFmtId="0" xfId="0" applyAlignment="1" applyFont="1">
      <alignment readingOrder="0" shrinkToFit="0" vertical="center" wrapText="1"/>
    </xf>
    <xf borderId="2" fillId="0" fontId="8" numFmtId="0" xfId="0" applyBorder="1" applyFont="1"/>
    <xf borderId="0" fillId="5" fontId="9" numFmtId="0" xfId="0" applyAlignment="1" applyFont="1">
      <alignment readingOrder="0" shrinkToFit="0" vertical="center" wrapText="1"/>
    </xf>
    <xf borderId="2" fillId="2" fontId="10" numFmtId="0" xfId="0" applyAlignment="1" applyBorder="1" applyFont="1">
      <alignment readingOrder="0" shrinkToFit="0" vertical="center" wrapText="1"/>
    </xf>
    <xf borderId="0" fillId="4" fontId="11" numFmtId="0" xfId="0" applyAlignment="1" applyFont="1">
      <alignment horizontal="right" readingOrder="0" vertical="center"/>
    </xf>
    <xf borderId="0" fillId="4" fontId="9" numFmtId="0" xfId="0" applyAlignment="1" applyFont="1">
      <alignment readingOrder="0" shrinkToFit="0" vertical="center" wrapText="1"/>
    </xf>
    <xf borderId="0" fillId="2" fontId="12"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9" numFmtId="0" xfId="0" applyAlignment="1" applyFont="1">
      <alignment horizontal="left" readingOrder="0" shrinkToFit="0" vertical="center" wrapText="1"/>
    </xf>
    <xf borderId="0" fillId="0" fontId="13" numFmtId="164" xfId="0" applyAlignment="1" applyFont="1" applyNumberFormat="1">
      <alignment horizontal="center" readingOrder="0" shrinkToFit="0" vertical="center" wrapText="1"/>
    </xf>
    <xf borderId="0" fillId="0" fontId="9" numFmtId="0" xfId="0" applyAlignment="1" applyFont="1">
      <alignment readingOrder="0" shrinkToFit="0" vertical="center" wrapText="1"/>
    </xf>
    <xf borderId="0" fillId="0" fontId="14" numFmtId="0" xfId="0" applyAlignment="1" applyFont="1">
      <alignment readingOrder="0" shrinkToFit="0" vertical="center" wrapText="1"/>
    </xf>
    <xf borderId="0" fillId="0" fontId="15" numFmtId="0" xfId="0" applyAlignment="1" applyFont="1">
      <alignment readingOrder="0" shrinkToFit="0" vertical="center" wrapText="1"/>
    </xf>
    <xf borderId="0" fillId="0" fontId="9"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16" numFmtId="0" xfId="0" applyAlignment="1" applyFont="1">
      <alignment horizontal="left" readingOrder="0" shrinkToFit="0" vertical="center" wrapText="1"/>
    </xf>
    <xf borderId="0" fillId="2" fontId="17" numFmtId="0" xfId="0" applyAlignment="1" applyFont="1">
      <alignment horizontal="center" readingOrder="0" shrinkToFit="0" vertical="center" wrapText="1"/>
    </xf>
    <xf borderId="0" fillId="4" fontId="18" numFmtId="0" xfId="0" applyAlignment="1" applyFont="1">
      <alignment horizontal="right" readingOrder="0" shrinkToFit="0" vertical="center" wrapText="1"/>
    </xf>
    <xf borderId="0" fillId="4" fontId="19" numFmtId="0" xfId="0" applyAlignment="1" applyFont="1">
      <alignment horizontal="right" readingOrder="0" shrinkToFit="0" vertical="center" wrapText="1"/>
    </xf>
    <xf borderId="0" fillId="4" fontId="9" numFmtId="0" xfId="0" applyAlignment="1" applyFont="1">
      <alignment readingOrder="0" shrinkToFit="0" vertical="center" wrapText="1"/>
    </xf>
    <xf borderId="0" fillId="5" fontId="20" numFmtId="0" xfId="0" applyAlignment="1" applyFont="1">
      <alignment horizontal="right" readingOrder="0" shrinkToFit="0" vertical="center" wrapText="1"/>
    </xf>
    <xf borderId="0" fillId="5" fontId="21" numFmtId="0" xfId="0" applyAlignment="1" applyFont="1">
      <alignment horizontal="right" readingOrder="0" shrinkToFit="0" vertical="center" wrapText="1"/>
    </xf>
    <xf borderId="0" fillId="5" fontId="22" numFmtId="0" xfId="0" applyAlignment="1" applyFont="1">
      <alignment readingOrder="0" shrinkToFit="0" vertical="center" wrapText="1"/>
    </xf>
    <xf borderId="0" fillId="4" fontId="20" numFmtId="0" xfId="0" applyAlignment="1" applyFont="1">
      <alignment horizontal="right" readingOrder="0" shrinkToFit="0" vertical="center" wrapText="1"/>
    </xf>
    <xf borderId="0" fillId="4" fontId="21" numFmtId="0" xfId="0" applyAlignment="1" applyFont="1">
      <alignment horizontal="right" readingOrder="0" shrinkToFit="0" vertical="center" wrapText="1"/>
    </xf>
    <xf borderId="0" fillId="4" fontId="16" numFmtId="0" xfId="0" applyAlignment="1" applyFont="1">
      <alignment readingOrder="0" shrinkToFit="0" vertical="center" wrapText="1"/>
    </xf>
    <xf borderId="0" fillId="5" fontId="23" numFmtId="0" xfId="0" applyAlignment="1" applyFont="1">
      <alignment readingOrder="0" shrinkToFit="0" vertical="center" wrapText="1"/>
    </xf>
    <xf borderId="0" fillId="5" fontId="16" numFmtId="0" xfId="0" applyAlignment="1" applyFont="1">
      <alignment readingOrder="0" shrinkToFit="0" vertical="center" wrapText="1"/>
    </xf>
    <xf borderId="0" fillId="4" fontId="16" numFmtId="0" xfId="0" applyAlignment="1" applyFont="1">
      <alignment readingOrder="0" shrinkToFit="0" vertical="center" wrapText="1"/>
    </xf>
    <xf borderId="0" fillId="2" fontId="24" numFmtId="0" xfId="0" applyAlignment="1" applyFont="1">
      <alignment horizontal="center" shrinkToFit="0" vertical="center" wrapText="1"/>
    </xf>
    <xf borderId="0" fillId="2" fontId="24" numFmtId="0" xfId="0" applyAlignment="1" applyFont="1">
      <alignment horizontal="center" readingOrder="0" shrinkToFit="0" vertical="center" wrapText="1"/>
    </xf>
    <xf borderId="0" fillId="6" fontId="25" numFmtId="0" xfId="0" applyAlignment="1" applyFill="1" applyFont="1">
      <alignment horizontal="center" readingOrder="0" shrinkToFit="0" vertical="center" wrapText="1"/>
    </xf>
    <xf borderId="0" fillId="0" fontId="5" numFmtId="0" xfId="0" applyAlignment="1" applyFont="1">
      <alignment horizontal="center" vertical="center"/>
    </xf>
    <xf borderId="0" fillId="0" fontId="26" numFmtId="0" xfId="0" applyAlignment="1" applyFont="1">
      <alignment horizontal="center" readingOrder="0" shrinkToFit="0" vertical="center" wrapText="1"/>
    </xf>
    <xf borderId="0" fillId="0" fontId="27"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26" numFmtId="0" xfId="0" applyAlignment="1" applyFont="1">
      <alignment horizontal="center" shrinkToFit="0" vertical="center" wrapText="1"/>
    </xf>
    <xf borderId="0" fillId="0" fontId="5" numFmtId="0" xfId="0" applyAlignment="1" applyFont="1">
      <alignment horizontal="center" readingOrder="0" vertical="center"/>
    </xf>
    <xf borderId="0" fillId="0" fontId="5" numFmtId="0" xfId="0" applyAlignment="1" applyFont="1">
      <alignment horizontal="center" readingOrder="0" shrinkToFit="0" vertical="center" wrapText="1"/>
    </xf>
    <xf borderId="0" fillId="7" fontId="28" numFmtId="0" xfId="0" applyAlignment="1" applyFill="1" applyFont="1">
      <alignment horizontal="center" readingOrder="0" shrinkToFit="0" vertical="center" wrapText="0"/>
    </xf>
    <xf borderId="3" fillId="8" fontId="28" numFmtId="0" xfId="0" applyAlignment="1" applyBorder="1" applyFill="1" applyFont="1">
      <alignment horizontal="center" readingOrder="0" shrinkToFit="0" vertical="center" wrapText="0"/>
    </xf>
    <xf borderId="2" fillId="9" fontId="28" numFmtId="0" xfId="0" applyAlignment="1" applyBorder="1" applyFill="1" applyFont="1">
      <alignment horizontal="center" readingOrder="0" shrinkToFit="0" vertical="center" wrapText="0"/>
    </xf>
    <xf borderId="2" fillId="10" fontId="28" numFmtId="0" xfId="0" applyAlignment="1" applyBorder="1" applyFill="1" applyFont="1">
      <alignment horizontal="center" readingOrder="0" shrinkToFit="0" vertical="center" wrapText="0"/>
    </xf>
    <xf borderId="4" fillId="11" fontId="29" numFmtId="0" xfId="0" applyAlignment="1" applyBorder="1" applyFill="1" applyFont="1">
      <alignment horizontal="left" readingOrder="0" shrinkToFit="0" vertical="center" wrapText="0"/>
    </xf>
    <xf borderId="4" fillId="11" fontId="30" numFmtId="0" xfId="0" applyAlignment="1" applyBorder="1" applyFont="1">
      <alignment horizontal="center" readingOrder="0" shrinkToFit="0" vertical="center" wrapText="0"/>
    </xf>
    <xf borderId="4" fillId="11" fontId="30" numFmtId="0" xfId="0" applyAlignment="1" applyBorder="1" applyFont="1">
      <alignment horizontal="center" readingOrder="0" shrinkToFit="0" vertical="center" wrapText="1"/>
    </xf>
    <xf borderId="4" fillId="11" fontId="30" numFmtId="165" xfId="0" applyAlignment="1" applyBorder="1" applyFont="1" applyNumberFormat="1">
      <alignment horizontal="center" readingOrder="0" shrinkToFit="0" vertical="center" wrapText="0"/>
    </xf>
    <xf borderId="4" fillId="12" fontId="30" numFmtId="0" xfId="0" applyAlignment="1" applyBorder="1" applyFill="1" applyFont="1">
      <alignment horizontal="center" readingOrder="0" shrinkToFit="0" vertical="center" wrapText="0"/>
    </xf>
    <xf borderId="4" fillId="12" fontId="30" numFmtId="2" xfId="0" applyAlignment="1" applyBorder="1" applyFont="1" applyNumberFormat="1">
      <alignment horizontal="center" readingOrder="0" shrinkToFit="0" vertical="center" wrapText="0"/>
    </xf>
    <xf borderId="4" fillId="12" fontId="30" numFmtId="165" xfId="0" applyAlignment="1" applyBorder="1" applyFont="1" applyNumberFormat="1">
      <alignment horizontal="center" readingOrder="0" shrinkToFit="0" vertical="center" wrapText="0"/>
    </xf>
    <xf borderId="5" fillId="13" fontId="30" numFmtId="0" xfId="0" applyAlignment="1" applyBorder="1" applyFill="1" applyFont="1">
      <alignment horizontal="center" readingOrder="0" shrinkToFit="0" vertical="center" wrapText="0"/>
    </xf>
    <xf borderId="0" fillId="13" fontId="30" numFmtId="1" xfId="0" applyAlignment="1" applyFont="1" applyNumberFormat="1">
      <alignment horizontal="center" readingOrder="0" shrinkToFit="0" vertical="center" wrapText="0"/>
    </xf>
    <xf borderId="4" fillId="13" fontId="30" numFmtId="0" xfId="0" applyAlignment="1" applyBorder="1" applyFont="1">
      <alignment horizontal="center" readingOrder="0" shrinkToFit="0" vertical="center" wrapText="0"/>
    </xf>
    <xf borderId="4" fillId="13" fontId="30" numFmtId="166" xfId="0" applyAlignment="1" applyBorder="1" applyFont="1" applyNumberFormat="1">
      <alignment horizontal="center" readingOrder="0" shrinkToFit="0" vertical="center" wrapText="0"/>
    </xf>
    <xf borderId="4" fillId="13" fontId="30" numFmtId="2" xfId="0" applyAlignment="1" applyBorder="1" applyFont="1" applyNumberFormat="1">
      <alignment horizontal="center" readingOrder="0" shrinkToFit="0" vertical="center" wrapText="0"/>
    </xf>
    <xf borderId="4" fillId="13" fontId="30" numFmtId="165" xfId="0" applyAlignment="1" applyBorder="1" applyFont="1" applyNumberFormat="1">
      <alignment horizontal="center" readingOrder="0" shrinkToFit="0" vertical="center" wrapText="0"/>
    </xf>
    <xf borderId="2" fillId="14" fontId="30" numFmtId="0" xfId="0" applyAlignment="1" applyBorder="1" applyFill="1" applyFont="1">
      <alignment horizontal="center" readingOrder="0" shrinkToFit="0" vertical="center" wrapText="0"/>
    </xf>
    <xf borderId="4" fillId="14" fontId="30" numFmtId="2" xfId="0" applyAlignment="1" applyBorder="1" applyFont="1" applyNumberFormat="1">
      <alignment horizontal="center" readingOrder="0" shrinkToFit="0" vertical="center" wrapText="0"/>
    </xf>
    <xf borderId="4" fillId="14" fontId="30" numFmtId="0" xfId="0" applyAlignment="1" applyBorder="1" applyFont="1">
      <alignment horizontal="center" readingOrder="0" shrinkToFit="0" vertical="center" wrapText="0"/>
    </xf>
    <xf borderId="4" fillId="14" fontId="30" numFmtId="165" xfId="0" applyAlignment="1" applyBorder="1" applyFont="1" applyNumberFormat="1">
      <alignment horizontal="center" readingOrder="0" shrinkToFit="0" vertical="center" wrapText="0"/>
    </xf>
    <xf borderId="0" fillId="0" fontId="31" numFmtId="0" xfId="0" applyAlignment="1" applyFont="1">
      <alignment horizontal="center" vertical="center"/>
    </xf>
    <xf borderId="0" fillId="0" fontId="31" numFmtId="0" xfId="0" applyAlignment="1" applyFont="1">
      <alignment horizontal="center" readingOrder="0" vertical="center"/>
    </xf>
    <xf borderId="0" fillId="0" fontId="32" numFmtId="0" xfId="0" applyAlignment="1" applyFont="1">
      <alignment horizontal="center" readingOrder="0" shrinkToFit="0" vertical="center" wrapText="1"/>
    </xf>
    <xf borderId="0" fillId="0" fontId="33" numFmtId="0" xfId="0" applyAlignment="1" applyFont="1">
      <alignment horizontal="center" readingOrder="0" shrinkToFit="0" vertical="center" wrapText="1"/>
    </xf>
    <xf borderId="0" fillId="0" fontId="34" numFmtId="0" xfId="0" applyAlignment="1" applyFont="1">
      <alignment horizontal="center" readingOrder="0" shrinkToFit="0" vertical="center" wrapText="1"/>
    </xf>
    <xf borderId="0" fillId="0" fontId="32" numFmtId="1" xfId="0" applyAlignment="1" applyFont="1" applyNumberFormat="1">
      <alignment horizontal="center" readingOrder="0" vertical="center"/>
    </xf>
    <xf borderId="0" fillId="0" fontId="32" numFmtId="2" xfId="0" applyAlignment="1" applyFont="1" applyNumberFormat="1">
      <alignment horizontal="center" readingOrder="0" vertical="center"/>
    </xf>
    <xf borderId="0" fillId="0" fontId="32" numFmtId="165" xfId="0" applyAlignment="1" applyFont="1" applyNumberFormat="1">
      <alignment horizontal="center" readingOrder="0" vertical="center"/>
    </xf>
    <xf borderId="2" fillId="0" fontId="32" numFmtId="1" xfId="0" applyAlignment="1" applyBorder="1" applyFont="1" applyNumberFormat="1">
      <alignment horizontal="center" readingOrder="0" vertical="center"/>
    </xf>
    <xf borderId="0" fillId="0" fontId="32" numFmtId="1" xfId="0" applyAlignment="1" applyFont="1" applyNumberFormat="1">
      <alignment horizontal="center" readingOrder="0" vertical="center"/>
    </xf>
    <xf borderId="0" fillId="0" fontId="32" numFmtId="166" xfId="0" applyAlignment="1" applyFont="1" applyNumberFormat="1">
      <alignment horizontal="center" readingOrder="0" vertical="center"/>
    </xf>
    <xf borderId="0" fillId="0" fontId="31" numFmtId="165" xfId="0" applyAlignment="1" applyFont="1" applyNumberFormat="1">
      <alignment horizontal="center" readingOrder="0" vertical="center"/>
    </xf>
    <xf borderId="2" fillId="0" fontId="32" numFmtId="1" xfId="0" applyAlignment="1" applyBorder="1" applyFont="1" applyNumberFormat="1">
      <alignment horizontal="center" readingOrder="0" vertical="center"/>
    </xf>
    <xf borderId="0" fillId="0" fontId="32" numFmtId="0" xfId="0" applyAlignment="1" applyFont="1">
      <alignment horizontal="center" readingOrder="0" vertical="center"/>
    </xf>
    <xf borderId="0" fillId="0" fontId="31" numFmtId="2" xfId="0" applyAlignment="1" applyFont="1" applyNumberFormat="1">
      <alignment horizontal="center" readingOrder="0" vertical="center"/>
    </xf>
    <xf borderId="0" fillId="0" fontId="31" numFmtId="0" xfId="0" applyAlignment="1" applyFont="1">
      <alignment horizontal="center" readingOrder="0" shrinkToFit="0" vertical="center" wrapText="1"/>
    </xf>
    <xf borderId="0" fillId="0" fontId="34" numFmtId="0" xfId="0" applyAlignment="1" applyFont="1">
      <alignment horizontal="center" shrinkToFit="0" vertical="center" wrapText="1"/>
    </xf>
    <xf borderId="2" fillId="0" fontId="32" numFmtId="0" xfId="0" applyAlignment="1" applyBorder="1" applyFont="1">
      <alignment horizontal="center" readingOrder="0" vertical="center"/>
    </xf>
    <xf borderId="0" fillId="0" fontId="33" numFmtId="0" xfId="0" applyAlignment="1" applyFont="1">
      <alignment horizontal="center" shrinkToFit="0" vertical="center" wrapText="1"/>
    </xf>
    <xf borderId="0" fillId="0" fontId="31" numFmtId="1" xfId="0" applyAlignment="1" applyFont="1" applyNumberFormat="1">
      <alignment horizontal="center" readingOrder="0" vertical="center"/>
    </xf>
    <xf borderId="0" fillId="0" fontId="31" numFmtId="1" xfId="0" applyAlignment="1" applyFont="1" applyNumberFormat="1">
      <alignment horizontal="center" readingOrder="0" vertical="center"/>
    </xf>
    <xf borderId="0" fillId="15" fontId="33" numFmtId="0" xfId="0" applyAlignment="1" applyFill="1" applyFont="1">
      <alignment horizontal="center" readingOrder="0" shrinkToFit="0" vertical="center" wrapText="1"/>
    </xf>
    <xf borderId="0" fillId="0" fontId="31" numFmtId="166" xfId="0" applyAlignment="1" applyFont="1" applyNumberFormat="1">
      <alignment horizontal="center" readingOrder="0" vertical="center"/>
    </xf>
    <xf borderId="0" fillId="15" fontId="32" numFmtId="2" xfId="0" applyAlignment="1" applyFont="1" applyNumberFormat="1">
      <alignment horizontal="center" readingOrder="0" vertical="center"/>
    </xf>
    <xf borderId="0" fillId="15" fontId="31" numFmtId="165" xfId="0" applyAlignment="1" applyFont="1" applyNumberFormat="1">
      <alignment horizontal="center" readingOrder="0" vertical="center"/>
    </xf>
    <xf borderId="0" fillId="0" fontId="34" numFmtId="0" xfId="0" applyAlignment="1" applyFont="1">
      <alignment horizontal="center" readingOrder="0" shrinkToFit="0" vertical="center" wrapText="1"/>
    </xf>
    <xf borderId="0" fillId="0" fontId="35" numFmtId="0" xfId="0" applyAlignment="1" applyFont="1">
      <alignment horizontal="center" readingOrder="0" shrinkToFit="0" vertical="center" wrapText="1"/>
    </xf>
    <xf borderId="0" fillId="3" fontId="36" numFmtId="0" xfId="0" applyAlignment="1" applyFont="1">
      <alignment horizontal="left" readingOrder="0" vertical="center"/>
    </xf>
    <xf borderId="0" fillId="3" fontId="36" numFmtId="0" xfId="0" applyAlignment="1" applyFont="1">
      <alignment horizontal="center" readingOrder="0" vertical="center"/>
    </xf>
    <xf borderId="0" fillId="3" fontId="36" numFmtId="0" xfId="0" applyAlignment="1" applyFont="1">
      <alignment horizontal="center" readingOrder="0" shrinkToFit="0" vertical="center" wrapText="1"/>
    </xf>
    <xf borderId="0" fillId="3" fontId="36" numFmtId="2" xfId="0" applyAlignment="1" applyFont="1" applyNumberFormat="1">
      <alignment horizontal="center" readingOrder="0" vertical="center"/>
    </xf>
    <xf borderId="0" fillId="3" fontId="36" numFmtId="165" xfId="0" applyAlignment="1" applyFont="1" applyNumberFormat="1">
      <alignment horizontal="center" readingOrder="0" vertical="center"/>
    </xf>
    <xf borderId="2" fillId="3" fontId="36" numFmtId="0" xfId="0" applyAlignment="1" applyBorder="1" applyFont="1">
      <alignment horizontal="center" readingOrder="0" vertical="center"/>
    </xf>
    <xf borderId="0" fillId="0" fontId="37" numFmtId="0" xfId="0" applyAlignment="1" applyFont="1">
      <alignment horizontal="center" readingOrder="0" vertical="center"/>
    </xf>
    <xf borderId="0" fillId="0" fontId="37" numFmtId="0" xfId="0" applyAlignment="1" applyFont="1">
      <alignment horizontal="center" vertical="center"/>
    </xf>
    <xf borderId="0" fillId="0" fontId="38" numFmtId="0" xfId="0" applyAlignment="1" applyFont="1">
      <alignment horizontal="center" readingOrder="0" vertical="center"/>
    </xf>
    <xf borderId="0" fillId="2" fontId="12" numFmtId="0" xfId="0" applyAlignment="1" applyFont="1">
      <alignment horizontal="center" readingOrder="0" shrinkToFit="0" vertical="center" wrapText="0"/>
    </xf>
    <xf borderId="0" fillId="2" fontId="12" numFmtId="9" xfId="0" applyAlignment="1" applyFont="1" applyNumberFormat="1">
      <alignment horizontal="center" readingOrder="0" shrinkToFit="0" vertical="center" wrapText="0"/>
    </xf>
    <xf borderId="0" fillId="2" fontId="12" numFmtId="1" xfId="0" applyAlignment="1" applyFont="1" applyNumberFormat="1">
      <alignment horizontal="center" readingOrder="0" shrinkToFit="0" vertical="center" wrapText="0"/>
    </xf>
    <xf borderId="0" fillId="0" fontId="9" numFmtId="0" xfId="0" applyAlignment="1" applyFont="1">
      <alignment horizontal="center" readingOrder="0" vertical="center"/>
    </xf>
    <xf borderId="0" fillId="0" fontId="9" numFmtId="1" xfId="0" applyAlignment="1" applyFont="1" applyNumberFormat="1">
      <alignment horizontal="center" readingOrder="0" vertical="center"/>
    </xf>
    <xf borderId="0" fillId="0" fontId="9" numFmtId="2" xfId="0" applyAlignment="1" applyFont="1" applyNumberFormat="1">
      <alignment horizontal="center" readingOrder="0" vertical="center"/>
    </xf>
    <xf borderId="0" fillId="0" fontId="9" numFmtId="1" xfId="0" applyAlignment="1" applyFont="1" applyNumberFormat="1">
      <alignment horizontal="center" readingOrder="0" vertical="center"/>
    </xf>
    <xf borderId="0" fillId="0" fontId="5" numFmtId="1" xfId="0" applyAlignment="1" applyFont="1" applyNumberFormat="1">
      <alignment horizontal="center" readingOrder="0" vertical="center"/>
    </xf>
    <xf borderId="0" fillId="0" fontId="5" numFmtId="2" xfId="0" applyAlignment="1" applyFont="1" applyNumberFormat="1">
      <alignment horizontal="center" readingOrder="0" vertical="center"/>
    </xf>
    <xf borderId="0" fillId="0" fontId="9" numFmtId="0" xfId="0" applyAlignment="1" applyFont="1">
      <alignment horizontal="center" readingOrder="0" shrinkToFit="0" vertical="center" wrapText="1"/>
    </xf>
    <xf borderId="0" fillId="0" fontId="5" numFmtId="165" xfId="0" applyAlignment="1" applyFont="1" applyNumberFormat="1">
      <alignment horizontal="center" readingOrder="0" vertical="center"/>
    </xf>
    <xf borderId="0" fillId="0" fontId="5" numFmtId="1" xfId="0" applyAlignment="1" applyFont="1" applyNumberFormat="1">
      <alignment horizontal="center" readingOrder="0" vertical="center"/>
    </xf>
    <xf borderId="0" fillId="0" fontId="39" numFmtId="0" xfId="0" applyAlignment="1" applyFont="1">
      <alignment horizontal="center" readingOrder="0" vertical="center"/>
    </xf>
    <xf borderId="0" fillId="0" fontId="40" numFmtId="0" xfId="0" applyAlignment="1" applyFont="1">
      <alignment horizontal="center" readingOrder="0" vertical="center"/>
    </xf>
    <xf borderId="0" fillId="0" fontId="10" numFmtId="0" xfId="0" applyAlignment="1" applyFont="1">
      <alignment horizontal="center" vertical="center"/>
    </xf>
    <xf borderId="0" fillId="0" fontId="41" numFmtId="0" xfId="0" applyAlignment="1" applyFont="1">
      <alignment horizontal="center" readingOrder="0" vertical="center"/>
    </xf>
    <xf borderId="0" fillId="0" fontId="42" numFmtId="0" xfId="0" applyAlignment="1" applyFont="1">
      <alignment horizontal="center" readingOrder="0" vertical="center"/>
    </xf>
    <xf borderId="0" fillId="16" fontId="9" numFmtId="0" xfId="0" applyAlignment="1" applyFill="1" applyFont="1">
      <alignment horizontal="center" readingOrder="0" vertical="center"/>
    </xf>
    <xf borderId="0" fillId="0" fontId="9" numFmtId="0" xfId="0" applyAlignment="1" applyFont="1">
      <alignment horizontal="center" readingOrder="0" vertical="center"/>
    </xf>
    <xf borderId="0" fillId="0" fontId="5" numFmtId="167" xfId="0" applyAlignment="1" applyFont="1" applyNumberFormat="1">
      <alignment horizontal="center" vertical="center"/>
    </xf>
    <xf borderId="0" fillId="0" fontId="9" numFmtId="167" xfId="0" applyAlignment="1" applyFont="1" applyNumberFormat="1">
      <alignment horizontal="center" readingOrder="0" vertical="center"/>
    </xf>
    <xf borderId="0" fillId="0" fontId="43" numFmtId="0" xfId="0" applyAlignment="1" applyFont="1">
      <alignment horizontal="left" readingOrder="0" vertical="center"/>
    </xf>
    <xf borderId="0" fillId="17" fontId="9" numFmtId="0" xfId="0" applyAlignment="1" applyFill="1" applyFont="1">
      <alignment horizontal="center" readingOrder="0" vertical="center"/>
    </xf>
    <xf borderId="0" fillId="17" fontId="44" numFmtId="0" xfId="0" applyAlignment="1" applyFont="1">
      <alignment horizontal="left" readingOrder="0" vertical="center"/>
    </xf>
    <xf borderId="0" fillId="17" fontId="9" numFmtId="0" xfId="0" applyAlignment="1" applyFont="1">
      <alignment horizontal="center" readingOrder="0" vertical="center"/>
    </xf>
    <xf borderId="0" fillId="17" fontId="5" numFmtId="0" xfId="0" applyAlignment="1" applyFont="1">
      <alignment horizontal="center" vertical="center"/>
    </xf>
    <xf borderId="0" fillId="17" fontId="5" numFmtId="167" xfId="0" applyAlignment="1" applyFont="1" applyNumberFormat="1">
      <alignment horizontal="center" vertical="center"/>
    </xf>
    <xf borderId="0" fillId="17" fontId="9" numFmtId="167" xfId="0" applyAlignment="1" applyFont="1" applyNumberFormat="1">
      <alignment horizontal="center" readingOrder="0" vertical="center"/>
    </xf>
    <xf borderId="0" fillId="18" fontId="9" numFmtId="0" xfId="0" applyAlignment="1" applyFill="1" applyFont="1">
      <alignment horizontal="center" readingOrder="0" vertical="center"/>
    </xf>
    <xf borderId="0" fillId="0" fontId="9" numFmtId="0" xfId="0" applyAlignment="1" applyFont="1">
      <alignment horizontal="center" vertical="center"/>
    </xf>
    <xf borderId="0" fillId="17" fontId="9" numFmtId="0" xfId="0" applyAlignment="1" applyFont="1">
      <alignment horizontal="center" vertical="center"/>
    </xf>
    <xf borderId="0" fillId="0" fontId="45" numFmtId="0" xfId="0" applyAlignment="1" applyFont="1">
      <alignment horizontal="left" readingOrder="0" textRotation="30" vertical="bottom"/>
    </xf>
    <xf borderId="0" fillId="0" fontId="46" numFmtId="0" xfId="0" applyAlignment="1" applyFont="1">
      <alignment horizontal="left" readingOrder="0" textRotation="30" vertical="bottom"/>
    </xf>
    <xf borderId="0" fillId="0" fontId="46" numFmtId="0" xfId="0" applyAlignment="1" applyFont="1">
      <alignment horizontal="left" readingOrder="0" textRotation="30" vertical="bottom"/>
    </xf>
    <xf borderId="0" fillId="0" fontId="47" numFmtId="0" xfId="0" applyAlignment="1" applyFont="1">
      <alignment horizontal="left" readingOrder="0" textRotation="30" vertical="bottom"/>
    </xf>
    <xf borderId="0" fillId="0" fontId="46" numFmtId="0" xfId="0" applyAlignment="1" applyFont="1">
      <alignment horizontal="left" textRotation="30" vertical="bottom"/>
    </xf>
    <xf borderId="0" fillId="0" fontId="47" numFmtId="0" xfId="0" applyAlignment="1" applyFont="1">
      <alignment horizontal="left" textRotation="30" vertical="bottom"/>
    </xf>
    <xf borderId="0" fillId="0" fontId="48" numFmtId="0" xfId="0" applyAlignment="1" applyFont="1">
      <alignment horizontal="left" readingOrder="0" shrinkToFit="0" vertical="bottom" wrapText="0"/>
    </xf>
    <xf borderId="0" fillId="0" fontId="48" numFmtId="0" xfId="0" applyAlignment="1" applyFont="1">
      <alignment horizontal="right" readingOrder="0" shrinkToFit="0" vertical="bottom" wrapText="0"/>
    </xf>
    <xf borderId="0" fillId="0" fontId="49" numFmtId="0" xfId="0" applyAlignment="1" applyFont="1">
      <alignment horizontal="left" readingOrder="0" shrinkToFit="0" vertical="bottom" wrapText="0"/>
    </xf>
    <xf borderId="0" fillId="0" fontId="50" numFmtId="0" xfId="0" applyAlignment="1" applyFont="1">
      <alignment horizontal="left" readingOrder="0" vertical="center"/>
    </xf>
    <xf borderId="0" fillId="6" fontId="48" numFmtId="0" xfId="0" applyAlignment="1" applyFont="1">
      <alignment horizontal="left" readingOrder="0" shrinkToFit="0" vertical="bottom" wrapText="0"/>
    </xf>
    <xf borderId="0" fillId="0" fontId="50" numFmtId="0" xfId="0" applyAlignment="1" applyFont="1">
      <alignment horizontal="left" readingOrder="0"/>
    </xf>
    <xf borderId="0" fillId="0" fontId="50" numFmtId="0" xfId="0" applyAlignment="1" applyFont="1">
      <alignment readingOrder="0"/>
    </xf>
    <xf borderId="0" fillId="0" fontId="50" numFmtId="0" xfId="0" applyAlignment="1" applyFont="1">
      <alignment horizontal="left" vertical="center"/>
    </xf>
    <xf borderId="0" fillId="2" fontId="12" numFmtId="0" xfId="0" applyAlignment="1" applyFont="1">
      <alignment horizontal="center" readingOrder="0" shrinkToFit="0" vertical="center" wrapText="1"/>
    </xf>
    <xf borderId="6" fillId="2" fontId="12" numFmtId="0" xfId="0" applyAlignment="1" applyBorder="1" applyFont="1">
      <alignment horizontal="center" readingOrder="0" vertical="center"/>
    </xf>
    <xf borderId="0" fillId="2" fontId="12" numFmtId="0" xfId="0" applyAlignment="1" applyFont="1">
      <alignment horizontal="center" readingOrder="0" vertical="center"/>
    </xf>
    <xf borderId="6" fillId="0" fontId="5" numFmtId="0" xfId="0" applyAlignment="1" applyBorder="1" applyFont="1">
      <alignment horizontal="center" readingOrder="0" vertical="center"/>
    </xf>
    <xf borderId="0" fillId="0" fontId="9" numFmtId="49" xfId="0" applyAlignment="1" applyFont="1" applyNumberFormat="1">
      <alignment horizontal="center" readingOrder="0" vertical="center"/>
    </xf>
    <xf borderId="0" fillId="0" fontId="9" numFmtId="165" xfId="0" applyAlignment="1" applyFont="1" applyNumberFormat="1">
      <alignment horizontal="center" readingOrder="0" vertical="center"/>
    </xf>
    <xf borderId="6" fillId="0" fontId="5" numFmtId="165" xfId="0" applyAlignment="1" applyBorder="1" applyFont="1" applyNumberFormat="1">
      <alignment horizontal="center" readingOrder="0" vertical="center"/>
    </xf>
    <xf borderId="0" fillId="0" fontId="5" numFmtId="168" xfId="0" applyAlignment="1" applyFont="1" applyNumberFormat="1">
      <alignment horizontal="center" readingOrder="0" vertical="center"/>
    </xf>
    <xf borderId="6" fillId="0" fontId="5" numFmtId="169" xfId="0" applyAlignment="1" applyBorder="1" applyFont="1" applyNumberFormat="1">
      <alignment horizontal="center" vertical="center"/>
    </xf>
    <xf borderId="0" fillId="0" fontId="5" numFmtId="169" xfId="0" applyAlignment="1" applyFont="1" applyNumberFormat="1">
      <alignment horizontal="center" readingOrder="0" vertical="center"/>
    </xf>
    <xf borderId="0" fillId="0" fontId="38" numFmtId="165" xfId="0" applyAlignment="1" applyFont="1" applyNumberFormat="1">
      <alignment horizontal="center" readingOrder="0" vertical="center"/>
    </xf>
    <xf borderId="7" fillId="0" fontId="38" numFmtId="165" xfId="0" applyAlignment="1" applyBorder="1" applyFont="1" applyNumberFormat="1">
      <alignment horizontal="center" readingOrder="0" vertical="center"/>
    </xf>
    <xf borderId="0" fillId="0" fontId="5" numFmtId="49" xfId="0" applyAlignment="1" applyFont="1" applyNumberFormat="1">
      <alignment horizontal="center" readingOrder="0" vertical="center"/>
    </xf>
    <xf borderId="0" fillId="0" fontId="5" numFmtId="165" xfId="0" applyAlignment="1" applyFont="1" applyNumberFormat="1">
      <alignment horizontal="center" vertical="center"/>
    </xf>
    <xf borderId="6" fillId="0" fontId="5" numFmtId="0" xfId="0" applyAlignment="1" applyBorder="1" applyFont="1">
      <alignment horizontal="center" vertical="center"/>
    </xf>
    <xf borderId="0" fillId="0" fontId="9" numFmtId="168" xfId="0" applyAlignment="1" applyFont="1" applyNumberFormat="1">
      <alignment horizontal="center" readingOrder="0" vertical="center"/>
    </xf>
    <xf borderId="0" fillId="17" fontId="5" numFmtId="0" xfId="0" applyAlignment="1" applyFont="1">
      <alignment horizontal="center" readingOrder="0" shrinkToFit="0" vertical="center" wrapText="1"/>
    </xf>
    <xf borderId="0" fillId="17" fontId="9" numFmtId="0" xfId="0" applyAlignment="1" applyFont="1">
      <alignment horizontal="center" readingOrder="0" shrinkToFit="0" vertical="center" wrapText="1"/>
    </xf>
    <xf borderId="0" fillId="17" fontId="9" numFmtId="49" xfId="0" applyAlignment="1" applyFont="1" applyNumberFormat="1">
      <alignment horizontal="center" readingOrder="0" vertical="center"/>
    </xf>
    <xf borderId="0" fillId="17" fontId="9" numFmtId="165" xfId="0" applyAlignment="1" applyFont="1" applyNumberFormat="1">
      <alignment horizontal="center" readingOrder="0" vertical="center"/>
    </xf>
    <xf borderId="6" fillId="17" fontId="5" numFmtId="165" xfId="0" applyAlignment="1" applyBorder="1" applyFont="1" applyNumberFormat="1">
      <alignment horizontal="center" readingOrder="0" vertical="center"/>
    </xf>
    <xf borderId="0" fillId="17" fontId="9" numFmtId="168" xfId="0" applyAlignment="1" applyFont="1" applyNumberFormat="1">
      <alignment horizontal="center" readingOrder="0" vertical="center"/>
    </xf>
    <xf borderId="0" fillId="17" fontId="5" numFmtId="165" xfId="0" applyAlignment="1" applyFont="1" applyNumberFormat="1">
      <alignment horizontal="center" readingOrder="0" vertical="center"/>
    </xf>
    <xf borderId="6" fillId="17" fontId="5" numFmtId="169" xfId="0" applyAlignment="1" applyBorder="1" applyFont="1" applyNumberFormat="1">
      <alignment horizontal="center" vertical="center"/>
    </xf>
    <xf borderId="0" fillId="17" fontId="5" numFmtId="169" xfId="0" applyAlignment="1" applyFont="1" applyNumberFormat="1">
      <alignment horizontal="center" readingOrder="0" vertical="center"/>
    </xf>
    <xf borderId="7" fillId="17" fontId="38" numFmtId="165" xfId="0" applyAlignment="1" applyBorder="1" applyFont="1" applyNumberFormat="1">
      <alignment horizontal="center" readingOrder="0" vertical="center"/>
    </xf>
    <xf borderId="0" fillId="17" fontId="38" numFmtId="165" xfId="0" applyAlignment="1" applyFont="1" applyNumberFormat="1">
      <alignment horizontal="center" readingOrder="0" vertical="center"/>
    </xf>
    <xf borderId="6" fillId="17" fontId="9" numFmtId="0" xfId="0" applyAlignment="1" applyBorder="1" applyFont="1">
      <alignment horizontal="center" readingOrder="0" vertical="center"/>
    </xf>
    <xf borderId="6" fillId="0" fontId="31" numFmtId="0" xfId="0" applyAlignment="1" applyBorder="1" applyFont="1">
      <alignment horizontal="center" vertical="center"/>
    </xf>
    <xf borderId="6" fillId="17" fontId="5" numFmtId="0" xfId="0" applyAlignment="1" applyBorder="1" applyFont="1">
      <alignment horizontal="center" vertical="center"/>
    </xf>
    <xf borderId="0" fillId="17" fontId="5" numFmtId="49" xfId="0" applyAlignment="1" applyFont="1" applyNumberFormat="1">
      <alignment horizontal="center" readingOrder="0" vertical="center"/>
    </xf>
    <xf borderId="0" fillId="17" fontId="5" numFmtId="168" xfId="0" applyAlignment="1" applyFont="1" applyNumberFormat="1">
      <alignment horizontal="center" readingOrder="0" vertical="center"/>
    </xf>
    <xf borderId="6" fillId="17" fontId="9" numFmtId="165" xfId="0" applyAlignment="1" applyBorder="1" applyFont="1" applyNumberFormat="1">
      <alignment horizontal="center" readingOrder="0" vertical="center"/>
    </xf>
    <xf borderId="6" fillId="0" fontId="9" numFmtId="165" xfId="0" applyAlignment="1" applyBorder="1" applyFont="1" applyNumberFormat="1">
      <alignment horizontal="center" readingOrder="0" vertical="center"/>
    </xf>
    <xf borderId="0" fillId="17" fontId="9" numFmtId="3" xfId="0" applyAlignment="1" applyFont="1" applyNumberFormat="1">
      <alignment horizontal="center" readingOrder="0" vertical="center"/>
    </xf>
    <xf borderId="6" fillId="0" fontId="9" numFmtId="0" xfId="0" applyAlignment="1" applyBorder="1" applyFont="1">
      <alignment horizontal="center" readingOrder="0" vertical="center"/>
    </xf>
    <xf borderId="0" fillId="0" fontId="9" numFmtId="3" xfId="0" applyAlignment="1" applyFont="1" applyNumberFormat="1">
      <alignment horizontal="center" readingOrder="0" vertical="center"/>
    </xf>
    <xf borderId="0" fillId="0" fontId="9" numFmtId="169" xfId="0" applyAlignment="1" applyFont="1" applyNumberFormat="1">
      <alignment horizontal="center" readingOrder="0" vertical="center"/>
    </xf>
    <xf borderId="7" fillId="2" fontId="12" numFmtId="168" xfId="0" applyAlignment="1" applyBorder="1" applyFont="1" applyNumberFormat="1">
      <alignment horizontal="center" readingOrder="0" vertical="center"/>
    </xf>
    <xf borderId="0" fillId="2" fontId="12" numFmtId="167" xfId="0" applyAlignment="1" applyFont="1" applyNumberFormat="1">
      <alignment horizontal="center" readingOrder="0" vertical="center"/>
    </xf>
    <xf borderId="7" fillId="2" fontId="12" numFmtId="0" xfId="0" applyAlignment="1" applyBorder="1" applyFont="1">
      <alignment horizontal="center" readingOrder="0" vertical="center"/>
    </xf>
    <xf borderId="7" fillId="0" fontId="5" numFmtId="168" xfId="0" applyAlignment="1" applyBorder="1" applyFont="1" applyNumberFormat="1">
      <alignment horizontal="center" readingOrder="0" vertical="center"/>
    </xf>
    <xf borderId="0" fillId="0" fontId="5" numFmtId="167" xfId="0" applyAlignment="1" applyFont="1" applyNumberFormat="1">
      <alignment horizontal="center" readingOrder="0" vertical="center"/>
    </xf>
    <xf borderId="0" fillId="0" fontId="9" numFmtId="165" xfId="0" applyAlignment="1" applyFont="1" applyNumberFormat="1">
      <alignment horizontal="center" readingOrder="0" vertical="center"/>
    </xf>
    <xf borderId="0" fillId="0" fontId="5" numFmtId="165" xfId="0" applyAlignment="1" applyFont="1" applyNumberFormat="1">
      <alignment horizontal="center" readingOrder="0" vertical="center"/>
    </xf>
    <xf borderId="7" fillId="0" fontId="9" numFmtId="165" xfId="0" applyAlignment="1" applyBorder="1" applyFont="1" applyNumberFormat="1">
      <alignment horizontal="center" readingOrder="0" vertical="center"/>
    </xf>
    <xf borderId="7" fillId="0" fontId="5" numFmtId="169" xfId="0" applyAlignment="1" applyBorder="1" applyFont="1" applyNumberFormat="1">
      <alignment horizontal="center" readingOrder="0" vertical="center"/>
    </xf>
    <xf borderId="7" fillId="0" fontId="9" numFmtId="168" xfId="0" applyAlignment="1" applyBorder="1" applyFont="1" applyNumberFormat="1">
      <alignment horizontal="center" readingOrder="0" vertical="center"/>
    </xf>
    <xf borderId="7" fillId="0" fontId="5" numFmtId="165" xfId="0" applyAlignment="1" applyBorder="1" applyFont="1" applyNumberFormat="1">
      <alignment horizontal="center" readingOrder="0" vertical="center"/>
    </xf>
    <xf borderId="0" fillId="0" fontId="5" numFmtId="0" xfId="0" applyAlignment="1" applyFont="1">
      <alignment horizontal="center" readingOrder="0" shrinkToFit="0" vertical="center" wrapText="1"/>
    </xf>
    <xf borderId="0" fillId="0" fontId="5" numFmtId="165" xfId="0" applyAlignment="1" applyFont="1" applyNumberFormat="1">
      <alignment horizontal="center" vertical="center"/>
    </xf>
    <xf borderId="0" fillId="17" fontId="5" numFmtId="0" xfId="0" applyAlignment="1" applyFont="1">
      <alignment horizontal="center" readingOrder="0" vertical="center"/>
    </xf>
    <xf borderId="7" fillId="17" fontId="9" numFmtId="168" xfId="0" applyAlignment="1" applyBorder="1" applyFont="1" applyNumberFormat="1">
      <alignment horizontal="center" readingOrder="0" vertical="center"/>
    </xf>
    <xf borderId="0" fillId="17" fontId="5" numFmtId="165" xfId="0" applyAlignment="1" applyFont="1" applyNumberFormat="1">
      <alignment horizontal="center" readingOrder="0" vertical="center"/>
    </xf>
    <xf borderId="7" fillId="17" fontId="5" numFmtId="165" xfId="0" applyAlignment="1" applyBorder="1" applyFont="1" applyNumberFormat="1">
      <alignment horizontal="center" readingOrder="0" vertical="center"/>
    </xf>
    <xf borderId="7" fillId="17" fontId="5" numFmtId="169" xfId="0" applyAlignment="1" applyBorder="1" applyFont="1" applyNumberFormat="1">
      <alignment horizontal="center" readingOrder="0" vertical="center"/>
    </xf>
    <xf borderId="7" fillId="0" fontId="5" numFmtId="1" xfId="0" applyAlignment="1" applyBorder="1" applyFont="1" applyNumberFormat="1">
      <alignment horizontal="center" readingOrder="0" vertical="center"/>
    </xf>
    <xf borderId="6" fillId="17" fontId="5" numFmtId="0" xfId="0" applyAlignment="1" applyBorder="1" applyFont="1">
      <alignment horizontal="center" readingOrder="0" vertical="center"/>
    </xf>
    <xf borderId="0" fillId="17" fontId="5" numFmtId="165" xfId="0" applyAlignment="1" applyFont="1" applyNumberFormat="1">
      <alignment horizontal="center" vertical="center"/>
    </xf>
    <xf borderId="6" fillId="17" fontId="31" numFmtId="0" xfId="0" applyAlignment="1" applyBorder="1" applyFont="1">
      <alignment horizontal="center" vertical="center"/>
    </xf>
    <xf borderId="0" fillId="17" fontId="9" numFmtId="1" xfId="0" applyAlignment="1" applyFont="1" applyNumberFormat="1">
      <alignment horizontal="center" readingOrder="0" vertical="center"/>
    </xf>
    <xf borderId="0" fillId="17" fontId="5" numFmtId="167" xfId="0" applyAlignment="1" applyFont="1" applyNumberFormat="1">
      <alignment horizontal="center" readingOrder="0" vertical="center"/>
    </xf>
    <xf borderId="7" fillId="17" fontId="9" numFmtId="165" xfId="0" applyAlignment="1" applyBorder="1" applyFont="1" applyNumberFormat="1">
      <alignment horizontal="center" readingOrder="0" vertical="center"/>
    </xf>
    <xf borderId="0" fillId="17" fontId="9" numFmtId="165" xfId="0" applyAlignment="1" applyFont="1" applyNumberFormat="1">
      <alignment horizontal="center" readingOrder="0" vertical="center"/>
    </xf>
    <xf borderId="6" fillId="0" fontId="37" numFmtId="0" xfId="0" applyAlignment="1" applyBorder="1" applyFont="1">
      <alignment horizontal="center" readingOrder="0" vertical="center"/>
    </xf>
    <xf borderId="0" fillId="19" fontId="12" numFmtId="0" xfId="0" applyAlignment="1" applyFill="1" applyFont="1">
      <alignment horizontal="center" readingOrder="0" shrinkToFit="0" vertical="center" wrapText="1"/>
    </xf>
    <xf borderId="0" fillId="20" fontId="51" numFmtId="169" xfId="0" applyAlignment="1" applyFill="1" applyFont="1" applyNumberFormat="1">
      <alignment horizontal="center" readingOrder="0" shrinkToFit="0" vertical="center" wrapText="1"/>
    </xf>
    <xf borderId="0" fillId="2" fontId="12" numFmtId="168" xfId="0" applyAlignment="1" applyFont="1" applyNumberFormat="1">
      <alignment horizontal="center" readingOrder="0" shrinkToFit="0" vertical="center" wrapText="1"/>
    </xf>
    <xf borderId="8" fillId="2" fontId="12" numFmtId="0" xfId="0" applyAlignment="1" applyBorder="1" applyFont="1">
      <alignment horizontal="center" readingOrder="0" shrinkToFit="0" vertical="center" wrapText="1"/>
    </xf>
    <xf borderId="0" fillId="0" fontId="5" numFmtId="169" xfId="0" applyAlignment="1" applyFont="1" applyNumberFormat="1">
      <alignment horizontal="center" readingOrder="0" shrinkToFit="0" vertical="center" wrapText="1"/>
    </xf>
    <xf borderId="0" fillId="0" fontId="5" numFmtId="168" xfId="0" applyAlignment="1" applyFont="1" applyNumberFormat="1">
      <alignment horizontal="center" readingOrder="0" shrinkToFit="0" vertical="center" wrapText="1"/>
    </xf>
    <xf borderId="0" fillId="0" fontId="5" numFmtId="1" xfId="0" applyAlignment="1" applyFont="1" applyNumberFormat="1">
      <alignment horizontal="center" readingOrder="0" shrinkToFit="0" vertical="center" wrapText="1"/>
    </xf>
    <xf borderId="8" fillId="0" fontId="5" numFmtId="0" xfId="0" applyAlignment="1" applyBorder="1" applyFont="1">
      <alignment horizontal="center" readingOrder="0" shrinkToFit="0" vertical="center" wrapText="1"/>
    </xf>
    <xf borderId="0" fillId="0" fontId="9" numFmtId="1" xfId="0" applyAlignment="1" applyFont="1" applyNumberFormat="1">
      <alignment horizontal="center" readingOrder="0" shrinkToFit="0" vertical="center" wrapText="1"/>
    </xf>
    <xf borderId="0" fillId="0" fontId="9" numFmtId="169" xfId="0" applyAlignment="1" applyFont="1" applyNumberFormat="1">
      <alignment horizontal="center" readingOrder="0" shrinkToFit="0" vertical="center" wrapText="1"/>
    </xf>
    <xf borderId="0" fillId="0" fontId="9" numFmtId="168" xfId="0" applyAlignment="1" applyFont="1" applyNumberFormat="1">
      <alignment horizontal="center" readingOrder="0" shrinkToFit="0" vertical="center" wrapText="1"/>
    </xf>
    <xf borderId="9" fillId="21" fontId="12" numFmtId="1" xfId="0" applyAlignment="1" applyBorder="1" applyFill="1" applyFont="1" applyNumberFormat="1">
      <alignment horizontal="center" readingOrder="0" shrinkToFit="0" vertical="center" wrapText="1"/>
    </xf>
    <xf borderId="10" fillId="0" fontId="8" numFmtId="0" xfId="0" applyBorder="1" applyFont="1"/>
    <xf borderId="9" fillId="22" fontId="12" numFmtId="169" xfId="0" applyAlignment="1" applyBorder="1" applyFill="1" applyFont="1" applyNumberFormat="1">
      <alignment horizontal="center" readingOrder="0" vertical="center"/>
    </xf>
    <xf borderId="9" fillId="0" fontId="8" numFmtId="0" xfId="0" applyBorder="1" applyFont="1"/>
    <xf borderId="9" fillId="19" fontId="12" numFmtId="169" xfId="0" applyAlignment="1" applyBorder="1" applyFont="1" applyNumberFormat="1">
      <alignment horizontal="center" readingOrder="0" shrinkToFit="0" vertical="center" wrapText="1"/>
    </xf>
    <xf borderId="0" fillId="2" fontId="12" numFmtId="1" xfId="0" applyAlignment="1" applyFont="1" applyNumberFormat="1">
      <alignment horizontal="center" readingOrder="0" vertical="center"/>
    </xf>
    <xf borderId="0" fillId="2" fontId="12" numFmtId="1" xfId="0" applyAlignment="1" applyFont="1" applyNumberFormat="1">
      <alignment horizontal="center" readingOrder="0" shrinkToFit="0" vertical="center" wrapText="1"/>
    </xf>
    <xf borderId="6" fillId="2" fontId="12" numFmtId="1" xfId="0" applyAlignment="1" applyBorder="1" applyFont="1" applyNumberFormat="1">
      <alignment horizontal="center" readingOrder="0" shrinkToFit="0" vertical="center" wrapText="1"/>
    </xf>
    <xf borderId="0" fillId="2" fontId="12" numFmtId="169" xfId="0" applyAlignment="1" applyFont="1" applyNumberFormat="1">
      <alignment horizontal="center" readingOrder="0" vertical="center"/>
    </xf>
    <xf borderId="6" fillId="0" fontId="8" numFmtId="0" xfId="0" applyBorder="1" applyFont="1"/>
    <xf borderId="6" fillId="2" fontId="12" numFmtId="1" xfId="0" applyAlignment="1" applyBorder="1" applyFont="1" applyNumberFormat="1">
      <alignment horizontal="center" readingOrder="0" vertical="center"/>
    </xf>
    <xf borderId="0" fillId="0" fontId="5" numFmtId="1" xfId="0" applyAlignment="1" applyFont="1" applyNumberFormat="1">
      <alignment horizontal="center" readingOrder="0" shrinkToFit="0" vertical="center" wrapText="1"/>
    </xf>
    <xf borderId="6" fillId="0" fontId="5" numFmtId="0" xfId="0" applyAlignment="1" applyBorder="1" applyFont="1">
      <alignment horizontal="center" shrinkToFit="0" vertical="center" wrapText="1"/>
    </xf>
    <xf borderId="0" fillId="3" fontId="12" numFmtId="169" xfId="0" applyAlignment="1" applyFont="1" applyNumberFormat="1">
      <alignment horizontal="center" readingOrder="0" vertical="center"/>
    </xf>
    <xf borderId="0" fillId="5" fontId="5" numFmtId="169" xfId="0" applyAlignment="1" applyFont="1" applyNumberFormat="1">
      <alignment horizontal="center" readingOrder="0" vertical="center"/>
    </xf>
    <xf borderId="0" fillId="5" fontId="5" numFmtId="165" xfId="0" applyAlignment="1" applyFont="1" applyNumberFormat="1">
      <alignment horizontal="center" readingOrder="0" vertical="center"/>
    </xf>
    <xf borderId="6" fillId="0" fontId="5" numFmtId="165" xfId="0" applyAlignment="1" applyBorder="1" applyFont="1" applyNumberFormat="1">
      <alignment horizontal="center" readingOrder="0" vertical="center"/>
    </xf>
    <xf borderId="0" fillId="0" fontId="10" numFmtId="165" xfId="0" applyAlignment="1" applyFont="1" applyNumberFormat="1">
      <alignment horizontal="center" readingOrder="0" vertical="center"/>
    </xf>
    <xf borderId="6" fillId="0" fontId="5" numFmtId="2" xfId="0" applyAlignment="1" applyBorder="1" applyFont="1" applyNumberFormat="1">
      <alignment horizontal="center" readingOrder="0" vertical="center"/>
    </xf>
    <xf borderId="7" fillId="0" fontId="5" numFmtId="165" xfId="0" applyAlignment="1" applyBorder="1" applyFont="1" applyNumberFormat="1">
      <alignment horizontal="center" readingOrder="0" shrinkToFit="0" vertical="center" wrapText="1"/>
    </xf>
    <xf borderId="7" fillId="0" fontId="52" numFmtId="165" xfId="0" applyAlignment="1" applyBorder="1" applyFont="1" applyNumberFormat="1">
      <alignment horizontal="center" readingOrder="0" shrinkToFit="0" vertical="center" wrapText="1"/>
    </xf>
    <xf borderId="11" fillId="0" fontId="5" numFmtId="1" xfId="0" applyAlignment="1" applyBorder="1" applyFont="1" applyNumberFormat="1">
      <alignment horizontal="center" readingOrder="0" shrinkToFit="0" vertical="center" wrapText="1"/>
    </xf>
    <xf borderId="11" fillId="0" fontId="8" numFmtId="0" xfId="0" applyBorder="1" applyFont="1"/>
    <xf borderId="10" fillId="21" fontId="12" numFmtId="1" xfId="0" applyAlignment="1" applyBorder="1" applyFont="1" applyNumberFormat="1">
      <alignment horizontal="center" readingOrder="0" shrinkToFit="0" vertical="center" wrapText="1"/>
    </xf>
    <xf borderId="9" fillId="23" fontId="12" numFmtId="169" xfId="0" applyAlignment="1" applyBorder="1" applyFill="1" applyFont="1" applyNumberFormat="1">
      <alignment horizontal="center" readingOrder="0" shrinkToFit="0" vertical="center" wrapText="1"/>
    </xf>
    <xf borderId="9" fillId="24" fontId="12" numFmtId="169" xfId="0" applyAlignment="1" applyBorder="1" applyFill="1" applyFont="1" applyNumberFormat="1">
      <alignment horizontal="center" readingOrder="0" shrinkToFit="0" vertical="center" wrapText="1"/>
    </xf>
    <xf borderId="9" fillId="25" fontId="12" numFmtId="169" xfId="0" applyAlignment="1" applyBorder="1" applyFill="1" applyFont="1" applyNumberFormat="1">
      <alignment horizontal="center" readingOrder="0" shrinkToFit="0" vertical="center" wrapText="1"/>
    </xf>
    <xf borderId="9" fillId="26" fontId="12" numFmtId="169" xfId="0" applyAlignment="1" applyBorder="1" applyFill="1" applyFont="1" applyNumberFormat="1">
      <alignment horizontal="center" readingOrder="0" shrinkToFit="0" vertical="center" wrapText="1"/>
    </xf>
    <xf borderId="9" fillId="27" fontId="12" numFmtId="169" xfId="0" applyAlignment="1" applyBorder="1" applyFill="1" applyFont="1" applyNumberFormat="1">
      <alignment horizontal="center" readingOrder="0" shrinkToFit="0" vertical="center" wrapText="1"/>
    </xf>
    <xf borderId="9" fillId="28" fontId="12" numFmtId="169" xfId="0" applyAlignment="1" applyBorder="1" applyFill="1" applyFont="1" applyNumberFormat="1">
      <alignment horizontal="center" readingOrder="0" shrinkToFit="0" vertical="center" wrapText="1"/>
    </xf>
    <xf borderId="12" fillId="2" fontId="12" numFmtId="1" xfId="0" applyAlignment="1" applyBorder="1" applyFont="1" applyNumberFormat="1">
      <alignment horizontal="center" readingOrder="0" shrinkToFit="0" vertical="center" wrapText="1"/>
    </xf>
    <xf borderId="11" fillId="2" fontId="12" numFmtId="169" xfId="0" applyAlignment="1" applyBorder="1" applyFont="1" applyNumberFormat="1">
      <alignment horizontal="center" readingOrder="0" vertical="center"/>
    </xf>
    <xf borderId="12" fillId="2" fontId="12" numFmtId="169" xfId="0" applyAlignment="1" applyBorder="1" applyFont="1" applyNumberFormat="1">
      <alignment horizontal="center" readingOrder="0" vertical="center"/>
    </xf>
    <xf borderId="6" fillId="0" fontId="5" numFmtId="1" xfId="0" applyAlignment="1" applyBorder="1" applyFont="1" applyNumberFormat="1">
      <alignment horizontal="center" readingOrder="0" shrinkToFit="0" vertical="center" wrapText="1"/>
    </xf>
    <xf borderId="0" fillId="0" fontId="5" numFmtId="169" xfId="0" applyAlignment="1" applyFont="1" applyNumberFormat="1">
      <alignment horizontal="center" readingOrder="0" vertical="center"/>
    </xf>
    <xf borderId="6" fillId="0" fontId="5" numFmtId="169" xfId="0" applyAlignment="1" applyBorder="1" applyFont="1" applyNumberFormat="1">
      <alignment horizontal="center" readingOrder="0" vertical="center"/>
    </xf>
    <xf borderId="6" fillId="0" fontId="21" numFmtId="1" xfId="0" applyAlignment="1" applyBorder="1" applyFont="1" applyNumberFormat="1">
      <alignment horizontal="center" readingOrder="0" shrinkToFit="0" vertical="center" wrapText="1"/>
    </xf>
    <xf borderId="0" fillId="0" fontId="5" numFmtId="169" xfId="0" applyAlignment="1" applyFont="1" applyNumberFormat="1">
      <alignment horizontal="center" vertical="center"/>
    </xf>
    <xf borderId="7" fillId="0" fontId="5" numFmtId="165" xfId="0" applyAlignment="1" applyBorder="1" applyFont="1" applyNumberFormat="1">
      <alignment horizontal="center" vertical="center"/>
    </xf>
    <xf borderId="6" fillId="0" fontId="5" numFmtId="169" xfId="0" applyAlignment="1" applyBorder="1" applyFont="1" applyNumberFormat="1">
      <alignment horizontal="center" vertical="center"/>
    </xf>
    <xf borderId="6" fillId="0" fontId="5" numFmtId="165" xfId="0" applyAlignment="1" applyBorder="1" applyFont="1" applyNumberFormat="1">
      <alignment horizontal="center" vertical="center"/>
    </xf>
    <xf borderId="7" fillId="0" fontId="5" numFmtId="169" xfId="0" applyAlignment="1" applyBorder="1" applyFont="1" applyNumberFormat="1">
      <alignment horizontal="center" readingOrder="0" vertical="center"/>
    </xf>
    <xf borderId="7" fillId="0" fontId="8" numFmtId="0" xfId="0" applyBorder="1" applyFont="1"/>
    <xf borderId="0" fillId="0" fontId="53" numFmtId="0" xfId="0" applyAlignment="1" applyFont="1">
      <alignment horizontal="center" vertical="bottom"/>
    </xf>
    <xf borderId="0" fillId="0" fontId="53" numFmtId="0" xfId="0" applyAlignment="1" applyFont="1">
      <alignment horizontal="center" readingOrder="0" vertical="bottom"/>
    </xf>
    <xf borderId="0" fillId="0" fontId="5" numFmtId="0" xfId="0" applyAlignment="1" applyFont="1">
      <alignment horizontal="center"/>
    </xf>
    <xf borderId="0" fillId="0" fontId="54" numFmtId="0" xfId="0" applyAlignment="1" applyFont="1">
      <alignment readingOrder="0" vertical="bottom"/>
    </xf>
    <xf borderId="0" fillId="0" fontId="54" numFmtId="0" xfId="0" applyAlignment="1" applyFont="1">
      <alignment vertical="bottom"/>
    </xf>
    <xf borderId="0" fillId="0" fontId="54" numFmtId="1" xfId="0" applyAlignment="1" applyFont="1" applyNumberFormat="1">
      <alignment horizontal="right" readingOrder="0" vertical="bottom"/>
    </xf>
    <xf borderId="0" fillId="0" fontId="54" numFmtId="0" xfId="0" applyAlignment="1" applyFont="1">
      <alignment horizontal="right" readingOrder="0" vertical="bottom"/>
    </xf>
    <xf borderId="0" fillId="0" fontId="55" numFmtId="0" xfId="0" applyAlignment="1" applyFont="1">
      <alignment readingOrder="0" shrinkToFit="0" vertical="center" wrapText="1"/>
    </xf>
    <xf borderId="0" fillId="0" fontId="54" numFmtId="0" xfId="0" applyAlignment="1" applyFont="1">
      <alignment horizontal="left" readingOrder="0" shrinkToFit="0" vertical="center" wrapText="1"/>
    </xf>
    <xf borderId="0" fillId="3" fontId="56" numFmtId="0" xfId="0" applyAlignment="1" applyFont="1">
      <alignment horizontal="center" readingOrder="0" shrinkToFit="0" vertical="center" wrapText="1"/>
    </xf>
    <xf borderId="0" fillId="0" fontId="26" numFmtId="1" xfId="0" applyAlignment="1" applyFont="1" applyNumberFormat="1">
      <alignment horizontal="right" vertical="bottom"/>
    </xf>
    <xf borderId="0" fillId="0" fontId="9" numFmtId="0" xfId="0" applyAlignment="1" applyFont="1">
      <alignment readingOrder="0"/>
    </xf>
    <xf borderId="0" fillId="0" fontId="26" numFmtId="0" xfId="0" applyAlignment="1" applyFont="1">
      <alignment vertical="bottom"/>
    </xf>
    <xf borderId="0" fillId="0" fontId="53" numFmtId="0" xfId="0" applyAlignment="1" applyFont="1">
      <alignment horizontal="center" readingOrder="0" vertical="center"/>
    </xf>
    <xf borderId="0" fillId="0" fontId="53" numFmtId="165" xfId="0" applyAlignment="1" applyFont="1" applyNumberFormat="1">
      <alignment horizontal="center" readingOrder="0" vertical="center"/>
    </xf>
    <xf borderId="0" fillId="0" fontId="53" numFmtId="170" xfId="0" applyAlignment="1" applyFont="1" applyNumberFormat="1">
      <alignment horizontal="center" readingOrder="0" vertical="center"/>
    </xf>
    <xf borderId="0" fillId="0" fontId="53" numFmtId="10" xfId="0" applyAlignment="1" applyFont="1" applyNumberFormat="1">
      <alignment horizontal="center" readingOrder="0" vertical="center"/>
    </xf>
    <xf borderId="0" fillId="0" fontId="53" numFmtId="2" xfId="0" applyAlignment="1" applyFont="1" applyNumberFormat="1">
      <alignment horizontal="center" readingOrder="0" vertical="center"/>
    </xf>
    <xf borderId="0" fillId="0" fontId="54" numFmtId="0" xfId="0" applyAlignment="1" applyFont="1">
      <alignment horizontal="right" readingOrder="0" vertical="center"/>
    </xf>
    <xf borderId="0" fillId="0" fontId="54" numFmtId="0" xfId="0" applyAlignment="1" applyFont="1">
      <alignment readingOrder="0" vertical="center"/>
    </xf>
    <xf borderId="0" fillId="0" fontId="54" numFmtId="165" xfId="0" applyAlignment="1" applyFont="1" applyNumberFormat="1">
      <alignment horizontal="right" readingOrder="0" vertical="center"/>
    </xf>
    <xf borderId="0" fillId="0" fontId="54" numFmtId="170" xfId="0" applyAlignment="1" applyFont="1" applyNumberFormat="1">
      <alignment horizontal="right" readingOrder="0" vertical="center"/>
    </xf>
    <xf borderId="0" fillId="0" fontId="54" numFmtId="10" xfId="0" applyAlignment="1" applyFont="1" applyNumberFormat="1">
      <alignment horizontal="right" readingOrder="0" vertical="center"/>
    </xf>
    <xf borderId="0" fillId="0" fontId="54" numFmtId="169" xfId="0" applyAlignment="1" applyFont="1" applyNumberFormat="1">
      <alignment horizontal="right" readingOrder="0" vertical="center"/>
    </xf>
    <xf borderId="0" fillId="0" fontId="54" numFmtId="0" xfId="0" applyAlignment="1" applyFont="1">
      <alignment vertical="center"/>
    </xf>
    <xf borderId="0" fillId="0" fontId="41" numFmtId="0" xfId="0" applyAlignment="1" applyFont="1">
      <alignment horizontal="center" readingOrder="0" shrinkToFit="0" vertical="center" wrapText="1"/>
    </xf>
    <xf borderId="0" fillId="0" fontId="9" numFmtId="171" xfId="0" applyAlignment="1" applyFont="1" applyNumberFormat="1">
      <alignment horizontal="center" readingOrder="0" vertical="center"/>
    </xf>
    <xf borderId="0" fillId="0" fontId="5" numFmtId="171" xfId="0" applyAlignment="1" applyFont="1" applyNumberFormat="1">
      <alignment horizontal="center" readingOrder="0" vertical="center"/>
    </xf>
    <xf borderId="0" fillId="0" fontId="9" numFmtId="171" xfId="0" applyAlignment="1" applyFont="1" applyNumberFormat="1">
      <alignment horizontal="center" readingOrder="0" vertical="center"/>
    </xf>
    <xf borderId="0" fillId="0" fontId="5" numFmtId="171" xfId="0" applyAlignment="1" applyFont="1" applyNumberFormat="1">
      <alignment horizontal="center" readingOrder="0" vertical="center"/>
    </xf>
    <xf borderId="0" fillId="0" fontId="57" numFmtId="0" xfId="0" applyAlignment="1" applyFont="1">
      <alignment horizontal="center" readingOrder="0" shrinkToFit="0" vertical="center" wrapText="1"/>
    </xf>
    <xf borderId="0" fillId="0" fontId="40" numFmtId="0" xfId="0" applyAlignment="1" applyFont="1">
      <alignment horizontal="center" readingOrder="0" shrinkToFit="0" vertical="center" wrapText="1"/>
    </xf>
    <xf borderId="0" fillId="0" fontId="26" numFmtId="0" xfId="0" applyAlignment="1" applyFont="1">
      <alignment horizontal="center"/>
    </xf>
    <xf borderId="0" fillId="5" fontId="5" numFmtId="0" xfId="0" applyAlignment="1" applyFont="1">
      <alignment horizontal="center" vertical="center"/>
    </xf>
    <xf borderId="0" fillId="29" fontId="10" numFmtId="0" xfId="0" applyAlignment="1" applyFill="1" applyFont="1">
      <alignment horizontal="center" readingOrder="0"/>
    </xf>
    <xf borderId="0" fillId="18" fontId="10" numFmtId="0" xfId="0" applyAlignment="1" applyFont="1">
      <alignment horizontal="center" readingOrder="0"/>
    </xf>
    <xf borderId="0" fillId="0" fontId="10" numFmtId="0" xfId="0" applyAlignment="1" applyFont="1">
      <alignment horizontal="center" readingOrder="0"/>
    </xf>
    <xf borderId="0" fillId="0" fontId="5" numFmtId="0" xfId="0" applyAlignment="1" applyFont="1">
      <alignment horizontal="center" readingOrder="0"/>
    </xf>
    <xf borderId="0" fillId="0" fontId="10" numFmtId="172" xfId="0" applyAlignment="1" applyFont="1" applyNumberFormat="1">
      <alignment horizontal="center"/>
    </xf>
    <xf borderId="0" fillId="0" fontId="10" numFmtId="0" xfId="0" applyAlignment="1" applyFont="1">
      <alignment horizontal="center" readingOrder="0" shrinkToFit="0" wrapText="0"/>
    </xf>
    <xf borderId="0" fillId="0" fontId="40" numFmtId="0" xfId="0" applyAlignment="1" applyFont="1">
      <alignment horizontal="center" readingOrder="0"/>
    </xf>
    <xf borderId="0" fillId="0" fontId="26" numFmtId="0" xfId="0" applyAlignment="1" applyFont="1">
      <alignment readingOrder="0" vertical="bottom"/>
    </xf>
    <xf borderId="0" fillId="0" fontId="58" numFmtId="3" xfId="0" applyAlignment="1" applyFont="1" applyNumberFormat="1">
      <alignment horizontal="right" vertical="bottom"/>
    </xf>
    <xf borderId="0" fillId="5" fontId="5" numFmtId="0" xfId="0" applyAlignment="1" applyFont="1">
      <alignment horizontal="center"/>
    </xf>
    <xf borderId="0" fillId="0" fontId="59" numFmtId="0" xfId="0" applyAlignment="1" applyFont="1">
      <alignment horizontal="right" shrinkToFit="0" vertical="bottom" wrapText="0"/>
    </xf>
    <xf borderId="0" fillId="0" fontId="59" numFmtId="169" xfId="0" applyAlignment="1" applyFont="1" applyNumberFormat="1">
      <alignment horizontal="center" readingOrder="0" shrinkToFit="0" vertical="center" wrapText="0"/>
    </xf>
    <xf borderId="0" fillId="0" fontId="5" numFmtId="172" xfId="0" applyAlignment="1" applyFont="1" applyNumberFormat="1">
      <alignment horizontal="center" vertical="center"/>
    </xf>
    <xf borderId="0" fillId="30" fontId="9" numFmtId="0" xfId="0" applyAlignment="1" applyFill="1" applyFont="1">
      <alignment horizontal="center" readingOrder="0"/>
    </xf>
    <xf borderId="0" fillId="0" fontId="9" numFmtId="0" xfId="0" applyAlignment="1" applyFont="1">
      <alignment horizontal="center" readingOrder="0"/>
    </xf>
    <xf borderId="0" fillId="0" fontId="5" numFmtId="1" xfId="0" applyAlignment="1" applyFont="1" applyNumberFormat="1">
      <alignment horizontal="center" readingOrder="0"/>
    </xf>
    <xf borderId="0" fillId="0" fontId="26" numFmtId="3" xfId="0" applyAlignment="1" applyFont="1" applyNumberFormat="1">
      <alignment horizontal="right" vertical="bottom"/>
    </xf>
    <xf borderId="0" fillId="0" fontId="21" numFmtId="0" xfId="0" applyAlignment="1" applyFont="1">
      <alignment horizontal="center" readingOrder="0"/>
    </xf>
    <xf borderId="0" fillId="0" fontId="21" numFmtId="1" xfId="0" applyAlignment="1" applyFont="1" applyNumberFormat="1">
      <alignment horizontal="center" readingOrder="0" vertical="center"/>
    </xf>
    <xf borderId="0" fillId="0" fontId="21" numFmtId="1" xfId="0" applyAlignment="1" applyFont="1" applyNumberFormat="1">
      <alignment horizontal="center" readingOrder="0" vertical="center"/>
    </xf>
    <xf borderId="0" fillId="15" fontId="9" numFmtId="0" xfId="0" applyAlignment="1" applyFont="1">
      <alignment horizontal="center" readingOrder="0"/>
    </xf>
    <xf borderId="0" fillId="0" fontId="5" numFmtId="4" xfId="0" applyAlignment="1" applyFont="1" applyNumberFormat="1">
      <alignment horizontal="center"/>
    </xf>
    <xf borderId="0" fillId="16" fontId="10" numFmtId="0" xfId="0" applyAlignment="1" applyFont="1">
      <alignment horizontal="center" readingOrder="0"/>
    </xf>
    <xf borderId="0" fillId="17" fontId="9" numFmtId="0" xfId="0" applyAlignment="1" applyFont="1">
      <alignment horizontal="center" readingOrder="0"/>
    </xf>
    <xf borderId="0" fillId="0" fontId="5" numFmtId="1" xfId="0" applyAlignment="1" applyFont="1" applyNumberFormat="1">
      <alignment horizontal="center"/>
    </xf>
    <xf borderId="0" fillId="0" fontId="5" numFmtId="0" xfId="0" applyFont="1"/>
    <xf borderId="0" fillId="31" fontId="10" numFmtId="0" xfId="0" applyAlignment="1" applyFill="1" applyFont="1">
      <alignment horizontal="center" readingOrder="0"/>
    </xf>
    <xf borderId="0" fillId="17" fontId="10" numFmtId="0" xfId="0" applyAlignment="1" applyFont="1">
      <alignment horizontal="center" readingOrder="0"/>
    </xf>
    <xf borderId="0" fillId="0" fontId="21" numFmtId="0" xfId="0" applyAlignment="1" applyFont="1">
      <alignment horizontal="center" readingOrder="0"/>
    </xf>
    <xf borderId="0" fillId="0" fontId="5" numFmtId="0" xfId="0" applyAlignment="1" applyFont="1">
      <alignment readingOrder="0"/>
    </xf>
    <xf borderId="0" fillId="0" fontId="5" numFmtId="2" xfId="0" applyAlignment="1" applyFont="1" applyNumberFormat="1">
      <alignment horizontal="center"/>
    </xf>
    <xf borderId="0" fillId="16" fontId="9" numFmtId="0" xfId="0" applyAlignment="1" applyFont="1">
      <alignment horizontal="center" readingOrder="0"/>
    </xf>
    <xf borderId="0" fillId="5" fontId="40" numFmtId="0" xfId="0" applyAlignment="1" applyFont="1">
      <alignment horizontal="center" readingOrder="0"/>
    </xf>
    <xf borderId="0" fillId="32" fontId="10" numFmtId="0" xfId="0" applyAlignment="1" applyFill="1" applyFont="1">
      <alignment horizontal="center" readingOrder="0"/>
    </xf>
    <xf borderId="0" fillId="0" fontId="5" numFmtId="0" xfId="0" applyAlignment="1" applyFont="1">
      <alignment horizontal="center" readingOrder="0"/>
    </xf>
    <xf borderId="0" fillId="30" fontId="10" numFmtId="0" xfId="0" applyAlignment="1" applyFont="1">
      <alignment horizontal="center" readingOrder="0"/>
    </xf>
    <xf borderId="0" fillId="0" fontId="5" numFmtId="0" xfId="0" applyAlignment="1" applyFont="1">
      <alignment horizontal="center" readingOrder="0" shrinkToFit="0" wrapText="1"/>
    </xf>
    <xf borderId="0" fillId="0" fontId="9" numFmtId="1" xfId="0" applyAlignment="1" applyFont="1" applyNumberFormat="1">
      <alignment horizontal="center" readingOrder="0"/>
    </xf>
    <xf borderId="0" fillId="0" fontId="5" numFmtId="1" xfId="0" applyAlignment="1" applyFont="1" applyNumberFormat="1">
      <alignment horizontal="center" readingOrder="0" shrinkToFit="0" wrapText="1"/>
    </xf>
    <xf borderId="0" fillId="0" fontId="5" numFmtId="165" xfId="0" applyAlignment="1" applyFont="1" applyNumberFormat="1">
      <alignment horizontal="center"/>
    </xf>
    <xf borderId="0" fillId="0" fontId="21" numFmtId="0" xfId="0" applyAlignment="1" applyFont="1">
      <alignment horizontal="center" readingOrder="0" shrinkToFit="0" vertical="center" wrapText="1"/>
    </xf>
    <xf borderId="0" fillId="0" fontId="5" numFmtId="1" xfId="0" applyAlignment="1" applyFont="1" applyNumberFormat="1">
      <alignment horizontal="center" vertical="center"/>
    </xf>
    <xf borderId="0" fillId="0" fontId="9" numFmtId="0" xfId="0" applyAlignment="1" applyFont="1">
      <alignment horizontal="center" readingOrder="0" shrinkToFit="0" wrapText="1"/>
    </xf>
    <xf borderId="13" fillId="3" fontId="60" numFmtId="0" xfId="0" applyAlignment="1" applyBorder="1" applyFont="1">
      <alignment readingOrder="0" shrinkToFit="0" vertical="bottom" wrapText="0"/>
    </xf>
    <xf borderId="14" fillId="3" fontId="60" numFmtId="0" xfId="0" applyAlignment="1" applyBorder="1" applyFont="1">
      <alignment readingOrder="0" shrinkToFit="0" vertical="bottom" wrapText="0"/>
    </xf>
    <xf borderId="14" fillId="3" fontId="61" numFmtId="0" xfId="0" applyAlignment="1" applyBorder="1" applyFont="1">
      <alignment readingOrder="0" shrinkToFit="0" vertical="bottom" wrapText="0"/>
    </xf>
    <xf borderId="15" fillId="3" fontId="60" numFmtId="0" xfId="0" applyAlignment="1" applyBorder="1" applyFont="1">
      <alignment readingOrder="0" shrinkToFit="0" vertical="bottom" wrapText="0"/>
    </xf>
    <xf borderId="13" fillId="0" fontId="62" numFmtId="0" xfId="0" applyAlignment="1" applyBorder="1" applyFont="1">
      <alignment readingOrder="0" shrinkToFit="0" vertical="bottom" wrapText="0"/>
    </xf>
    <xf borderId="14" fillId="0" fontId="62" numFmtId="0" xfId="0" applyAlignment="1" applyBorder="1" applyFont="1">
      <alignment readingOrder="0" shrinkToFit="0" vertical="bottom" wrapText="0"/>
    </xf>
    <xf borderId="14" fillId="0" fontId="62" numFmtId="0" xfId="0" applyAlignment="1" applyBorder="1" applyFont="1">
      <alignment horizontal="right" readingOrder="0" shrinkToFit="0" vertical="bottom" wrapText="0"/>
    </xf>
    <xf borderId="14" fillId="0" fontId="62" numFmtId="1" xfId="0" applyAlignment="1" applyBorder="1" applyFont="1" applyNumberFormat="1">
      <alignment horizontal="right" readingOrder="0" shrinkToFit="0" vertical="bottom" wrapText="0"/>
    </xf>
    <xf borderId="15" fillId="0" fontId="62" numFmtId="165" xfId="0" applyAlignment="1" applyBorder="1" applyFont="1" applyNumberFormat="1">
      <alignment horizontal="right" readingOrder="0" shrinkToFit="0" vertical="bottom" wrapText="0"/>
    </xf>
    <xf borderId="14" fillId="0" fontId="62" numFmtId="1" xfId="0" applyAlignment="1" applyBorder="1" applyFont="1" applyNumberFormat="1">
      <alignment horizontal="right" readingOrder="0" shrinkToFit="0" vertical="bottom" wrapText="0"/>
    </xf>
    <xf borderId="0" fillId="17" fontId="9" numFmtId="0" xfId="0" applyAlignment="1" applyFont="1">
      <alignment horizontal="center" readingOrder="0" shrinkToFit="0" wrapText="0"/>
    </xf>
    <xf borderId="0" fillId="17" fontId="5" numFmtId="165" xfId="0" applyAlignment="1" applyFont="1" applyNumberFormat="1">
      <alignment horizontal="center"/>
    </xf>
    <xf borderId="0" fillId="31" fontId="9" numFmtId="0" xfId="0" applyAlignment="1" applyFont="1">
      <alignment horizontal="center" readingOrder="0"/>
    </xf>
    <xf borderId="0" fillId="31" fontId="9" numFmtId="0" xfId="0" applyAlignment="1" applyFont="1">
      <alignment horizontal="center" readingOrder="0" shrinkToFit="0" wrapText="0"/>
    </xf>
    <xf borderId="0" fillId="16" fontId="9" numFmtId="0" xfId="0" applyAlignment="1" applyFont="1">
      <alignment horizontal="center" readingOrder="0" shrinkToFit="0" wrapText="0"/>
    </xf>
    <xf borderId="0" fillId="16" fontId="5" numFmtId="165" xfId="0" applyAlignment="1" applyFont="1" applyNumberFormat="1">
      <alignment horizontal="center"/>
    </xf>
    <xf borderId="0" fillId="29" fontId="9" numFmtId="0" xfId="0" applyAlignment="1" applyFont="1">
      <alignment horizontal="center" readingOrder="0"/>
    </xf>
    <xf borderId="0" fillId="29" fontId="9" numFmtId="0" xfId="0" applyAlignment="1" applyFont="1">
      <alignment horizontal="center" readingOrder="0" shrinkToFit="0" wrapText="0"/>
    </xf>
    <xf borderId="0" fillId="29" fontId="5" numFmtId="165" xfId="0" applyAlignment="1" applyFont="1" applyNumberFormat="1">
      <alignment horizontal="center"/>
    </xf>
    <xf borderId="0" fillId="33" fontId="9" numFmtId="0" xfId="0" applyAlignment="1" applyFill="1" applyFont="1">
      <alignment horizontal="center" readingOrder="0"/>
    </xf>
    <xf borderId="0" fillId="33" fontId="9" numFmtId="0" xfId="0" applyAlignment="1" applyFont="1">
      <alignment horizontal="center" readingOrder="0" shrinkToFit="0" wrapText="0"/>
    </xf>
    <xf borderId="0" fillId="33" fontId="5" numFmtId="165" xfId="0" applyAlignment="1" applyFont="1" applyNumberFormat="1">
      <alignment horizontal="center"/>
    </xf>
    <xf borderId="0" fillId="33" fontId="63" numFmtId="0" xfId="0" applyAlignment="1" applyFont="1">
      <alignment horizontal="center" readingOrder="0" shrinkToFit="0" wrapText="0"/>
    </xf>
    <xf borderId="0" fillId="30" fontId="64" numFmtId="0" xfId="0" applyAlignment="1" applyFont="1">
      <alignment horizontal="center" readingOrder="0" shrinkToFit="0" wrapText="0"/>
    </xf>
    <xf borderId="0" fillId="30" fontId="5" numFmtId="165" xfId="0" applyAlignment="1" applyFont="1" applyNumberFormat="1">
      <alignment horizontal="center"/>
    </xf>
    <xf borderId="0" fillId="30" fontId="9" numFmtId="0" xfId="0" applyAlignment="1" applyFont="1">
      <alignment horizontal="center" readingOrder="0" shrinkToFit="0" wrapText="0"/>
    </xf>
    <xf borderId="0" fillId="18" fontId="9" numFmtId="0" xfId="0" applyAlignment="1" applyFont="1">
      <alignment horizontal="center" readingOrder="0"/>
    </xf>
    <xf borderId="0" fillId="18" fontId="9" numFmtId="0" xfId="0" applyAlignment="1" applyFont="1">
      <alignment horizontal="center" readingOrder="0" shrinkToFit="0" wrapText="0"/>
    </xf>
    <xf borderId="0" fillId="18" fontId="5" numFmtId="165" xfId="0" applyAlignment="1" applyFont="1" applyNumberFormat="1">
      <alignment horizontal="center"/>
    </xf>
    <xf borderId="0" fillId="32" fontId="9" numFmtId="0" xfId="0" applyAlignment="1" applyFont="1">
      <alignment horizontal="center" readingOrder="0"/>
    </xf>
    <xf borderId="0" fillId="32" fontId="9" numFmtId="0" xfId="0" applyAlignment="1" applyFont="1">
      <alignment horizontal="center" readingOrder="0" shrinkToFit="0" wrapText="0"/>
    </xf>
    <xf borderId="0" fillId="32" fontId="5" numFmtId="165" xfId="0" applyAlignment="1" applyFont="1" applyNumberFormat="1">
      <alignment horizontal="center"/>
    </xf>
    <xf borderId="0" fillId="0" fontId="5" numFmtId="165" xfId="0" applyAlignment="1" applyFont="1" applyNumberFormat="1">
      <alignment horizontal="center" readingOrder="0"/>
    </xf>
  </cellXfs>
  <cellStyles count="1">
    <cellStyle xfId="0" name="Normal" builtinId="0"/>
  </cellStyles>
  <dxfs count="16">
    <dxf>
      <font/>
      <fill>
        <patternFill patternType="none"/>
      </fill>
      <border/>
    </dxf>
    <dxf>
      <font/>
      <fill>
        <patternFill patternType="solid">
          <fgColor rgb="FF303030"/>
          <bgColor rgb="FF303030"/>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F0000"/>
          <bgColor rgb="FFFF0000"/>
        </patternFill>
      </fill>
      <border/>
    </dxf>
    <dxf>
      <font/>
      <fill>
        <patternFill patternType="solid">
          <fgColor rgb="FF00FF00"/>
          <bgColor rgb="FF00FF00"/>
        </patternFill>
      </fill>
      <border/>
    </dxf>
    <dxf>
      <font/>
      <fill>
        <patternFill patternType="solid">
          <fgColor rgb="FFFFFF00"/>
          <bgColor rgb="FFFFFF00"/>
        </patternFill>
      </fill>
      <border/>
    </dxf>
    <dxf>
      <font/>
      <fill>
        <patternFill patternType="solid">
          <fgColor rgb="FFFF9900"/>
          <bgColor rgb="FFFF9900"/>
        </patternFill>
      </fill>
      <border/>
    </dxf>
    <dxf>
      <font/>
      <fill>
        <patternFill patternType="solid">
          <fgColor rgb="FFF3F3F3"/>
          <bgColor rgb="FFF3F3F3"/>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E67C73"/>
          <bgColor rgb="FFE67C73"/>
        </patternFill>
      </fill>
      <border/>
    </dxf>
    <dxf>
      <font/>
      <fill>
        <patternFill patternType="solid">
          <fgColor rgb="FFD9D2E9"/>
          <bgColor rgb="FFD9D2E9"/>
        </patternFill>
      </fill>
      <border/>
    </dxf>
    <dxf>
      <font/>
      <fill>
        <patternFill patternType="solid">
          <fgColor rgb="FFD9EAD3"/>
          <bgColor rgb="FFD9EAD3"/>
        </patternFill>
      </fill>
      <border/>
    </dxf>
    <dxf>
      <font/>
      <fill>
        <patternFill patternType="solid">
          <fgColor rgb="FFC9DAF8"/>
          <bgColor rgb="FFC9DAF8"/>
        </patternFill>
      </fill>
      <border/>
    </dxf>
    <dxf>
      <font/>
      <fill>
        <patternFill patternType="solid">
          <fgColor rgb="FFFFF2CC"/>
          <bgColor rgb="FFFFF2CC"/>
        </patternFill>
      </fill>
      <border/>
    </dxf>
  </dxfs>
  <tableStyles count="1">
    <tableStyle count="3" pivot="0" name="Changelog-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Season 28 Rotation Damage over Time (s)</a:t>
            </a:r>
          </a:p>
        </c:rich>
      </c:tx>
      <c:overlay val="0"/>
    </c:title>
    <c:plotArea>
      <c:layout>
        <c:manualLayout>
          <c:xMode val="edge"/>
          <c:yMode val="edge"/>
          <c:x val="0.06133911441516328"/>
          <c:y val="0.10243217960710944"/>
          <c:w val="0.7827439229888304"/>
          <c:h val="0.80266604303087"/>
        </c:manualLayout>
      </c:layout>
      <c:lineChart>
        <c:ser>
          <c:idx val="0"/>
          <c:order val="0"/>
          <c:tx>
            <c:strRef>
              <c:f>'Graphing (S28)'!$C$10</c:f>
            </c:strRef>
          </c:tx>
          <c:spPr>
            <a:ln cmpd="sng">
              <a:solidFill>
                <a:srgbClr val="4285F4"/>
              </a:solidFill>
            </a:ln>
          </c:spPr>
          <c:marker>
            <c:symbol val="none"/>
          </c:marker>
          <c:cat>
            <c:strRef>
              <c:f>'Graphing (S28)'!$A$11:$A$1402</c:f>
            </c:strRef>
          </c:cat>
          <c:val>
            <c:numRef>
              <c:f>'Graphing (S28)'!$C$11:$C$1402</c:f>
              <c:numCache/>
            </c:numRef>
          </c:val>
          <c:smooth val="0"/>
        </c:ser>
        <c:ser>
          <c:idx val="1"/>
          <c:order val="1"/>
          <c:tx>
            <c:strRef>
              <c:f>'Graphing (S28)'!$B$10</c:f>
            </c:strRef>
          </c:tx>
          <c:spPr>
            <a:ln cmpd="sng">
              <a:solidFill>
                <a:srgbClr val="EA4335"/>
              </a:solidFill>
            </a:ln>
          </c:spPr>
          <c:marker>
            <c:symbol val="none"/>
          </c:marker>
          <c:cat>
            <c:strRef>
              <c:f>'Graphing (S28)'!$A$11:$A$1402</c:f>
            </c:strRef>
          </c:cat>
          <c:val>
            <c:numRef>
              <c:f>'Graphing (S28)'!$B$11:$B$1402</c:f>
              <c:numCache/>
            </c:numRef>
          </c:val>
          <c:smooth val="0"/>
        </c:ser>
        <c:ser>
          <c:idx val="2"/>
          <c:order val="2"/>
          <c:tx>
            <c:strRef>
              <c:f>'Graphing (S28)'!$D$10</c:f>
            </c:strRef>
          </c:tx>
          <c:spPr>
            <a:ln cmpd="sng">
              <a:solidFill>
                <a:srgbClr val="FBBC04"/>
              </a:solidFill>
            </a:ln>
          </c:spPr>
          <c:marker>
            <c:symbol val="none"/>
          </c:marker>
          <c:cat>
            <c:strRef>
              <c:f>'Graphing (S28)'!$A$11:$A$1402</c:f>
            </c:strRef>
          </c:cat>
          <c:val>
            <c:numRef>
              <c:f>'Graphing (S28)'!$D$11:$D$1402</c:f>
              <c:numCache/>
            </c:numRef>
          </c:val>
          <c:smooth val="0"/>
        </c:ser>
        <c:ser>
          <c:idx val="3"/>
          <c:order val="3"/>
          <c:tx>
            <c:strRef>
              <c:f>'Graphing (S28)'!$E$10</c:f>
            </c:strRef>
          </c:tx>
          <c:spPr>
            <a:ln cmpd="sng">
              <a:solidFill>
                <a:srgbClr val="34A853"/>
              </a:solidFill>
            </a:ln>
          </c:spPr>
          <c:marker>
            <c:symbol val="none"/>
          </c:marker>
          <c:cat>
            <c:strRef>
              <c:f>'Graphing (S28)'!$A$11:$A$1402</c:f>
            </c:strRef>
          </c:cat>
          <c:val>
            <c:numRef>
              <c:f>'Graphing (S28)'!$E$11:$E$1402</c:f>
              <c:numCache/>
            </c:numRef>
          </c:val>
          <c:smooth val="0"/>
        </c:ser>
        <c:ser>
          <c:idx val="4"/>
          <c:order val="4"/>
          <c:tx>
            <c:strRef>
              <c:f>'Graphing (S28)'!$F$10</c:f>
            </c:strRef>
          </c:tx>
          <c:spPr>
            <a:ln cmpd="sng">
              <a:solidFill>
                <a:srgbClr val="FF6D01"/>
              </a:solidFill>
            </a:ln>
          </c:spPr>
          <c:marker>
            <c:symbol val="none"/>
          </c:marker>
          <c:cat>
            <c:strRef>
              <c:f>'Graphing (S28)'!$A$11:$A$1402</c:f>
            </c:strRef>
          </c:cat>
          <c:val>
            <c:numRef>
              <c:f>'Graphing (S28)'!$F$11:$F$1402</c:f>
              <c:numCache/>
            </c:numRef>
          </c:val>
          <c:smooth val="0"/>
        </c:ser>
        <c:ser>
          <c:idx val="5"/>
          <c:order val="5"/>
          <c:tx>
            <c:strRef>
              <c:f>'Graphing (S28)'!$G$10</c:f>
            </c:strRef>
          </c:tx>
          <c:spPr>
            <a:ln cmpd="sng">
              <a:solidFill>
                <a:srgbClr val="46BDC6"/>
              </a:solidFill>
            </a:ln>
          </c:spPr>
          <c:marker>
            <c:symbol val="none"/>
          </c:marker>
          <c:cat>
            <c:strRef>
              <c:f>'Graphing (S28)'!$A$11:$A$1402</c:f>
            </c:strRef>
          </c:cat>
          <c:val>
            <c:numRef>
              <c:f>'Graphing (S28)'!$G$11:$G$1402</c:f>
              <c:numCache/>
            </c:numRef>
          </c:val>
          <c:smooth val="0"/>
        </c:ser>
        <c:ser>
          <c:idx val="6"/>
          <c:order val="6"/>
          <c:tx>
            <c:strRef>
              <c:f>'Graphing (S28)'!$H$10</c:f>
            </c:strRef>
          </c:tx>
          <c:spPr>
            <a:ln cmpd="sng">
              <a:solidFill>
                <a:srgbClr val="7BAAF7"/>
              </a:solidFill>
            </a:ln>
          </c:spPr>
          <c:marker>
            <c:symbol val="none"/>
          </c:marker>
          <c:cat>
            <c:strRef>
              <c:f>'Graphing (S28)'!$A$11:$A$1402</c:f>
            </c:strRef>
          </c:cat>
          <c:val>
            <c:numRef>
              <c:f>'Graphing (S28)'!$H$11:$H$1402</c:f>
              <c:numCache/>
            </c:numRef>
          </c:val>
          <c:smooth val="0"/>
        </c:ser>
        <c:ser>
          <c:idx val="7"/>
          <c:order val="7"/>
          <c:tx>
            <c:strRef>
              <c:f>'Graphing (S28)'!$I$10</c:f>
            </c:strRef>
          </c:tx>
          <c:spPr>
            <a:ln cmpd="sng">
              <a:solidFill>
                <a:srgbClr val="F07B72"/>
              </a:solidFill>
            </a:ln>
          </c:spPr>
          <c:marker>
            <c:symbol val="none"/>
          </c:marker>
          <c:cat>
            <c:strRef>
              <c:f>'Graphing (S28)'!$A$11:$A$1402</c:f>
            </c:strRef>
          </c:cat>
          <c:val>
            <c:numRef>
              <c:f>'Graphing (S28)'!$I$11:$I$1402</c:f>
              <c:numCache/>
            </c:numRef>
          </c:val>
          <c:smooth val="0"/>
        </c:ser>
        <c:ser>
          <c:idx val="8"/>
          <c:order val="8"/>
          <c:tx>
            <c:strRef>
              <c:f>'Graphing (S28)'!$J$10</c:f>
            </c:strRef>
          </c:tx>
          <c:spPr>
            <a:ln cmpd="sng">
              <a:solidFill>
                <a:srgbClr val="FCD04F"/>
              </a:solidFill>
            </a:ln>
          </c:spPr>
          <c:marker>
            <c:symbol val="none"/>
          </c:marker>
          <c:cat>
            <c:strRef>
              <c:f>'Graphing (S28)'!$A$11:$A$1402</c:f>
            </c:strRef>
          </c:cat>
          <c:val>
            <c:numRef>
              <c:f>'Graphing (S28)'!$J$11:$J$1402</c:f>
              <c:numCache/>
            </c:numRef>
          </c:val>
          <c:smooth val="0"/>
        </c:ser>
        <c:ser>
          <c:idx val="9"/>
          <c:order val="9"/>
          <c:tx>
            <c:strRef>
              <c:f>'Graphing (S28)'!$K$10</c:f>
            </c:strRef>
          </c:tx>
          <c:spPr>
            <a:ln cmpd="sng">
              <a:solidFill>
                <a:srgbClr val="71C287"/>
              </a:solidFill>
            </a:ln>
          </c:spPr>
          <c:marker>
            <c:symbol val="none"/>
          </c:marker>
          <c:cat>
            <c:strRef>
              <c:f>'Graphing (S28)'!$A$11:$A$1402</c:f>
            </c:strRef>
          </c:cat>
          <c:val>
            <c:numRef>
              <c:f>'Graphing (S28)'!$K$11:$K$1402</c:f>
              <c:numCache/>
            </c:numRef>
          </c:val>
          <c:smooth val="0"/>
        </c:ser>
        <c:ser>
          <c:idx val="10"/>
          <c:order val="10"/>
          <c:tx>
            <c:strRef>
              <c:f>'Graphing (S28)'!$L$10</c:f>
            </c:strRef>
          </c:tx>
          <c:spPr>
            <a:ln cmpd="sng">
              <a:solidFill>
                <a:srgbClr val="FF994D"/>
              </a:solidFill>
            </a:ln>
          </c:spPr>
          <c:marker>
            <c:symbol val="none"/>
          </c:marker>
          <c:cat>
            <c:strRef>
              <c:f>'Graphing (S28)'!$A$11:$A$1402</c:f>
            </c:strRef>
          </c:cat>
          <c:val>
            <c:numRef>
              <c:f>'Graphing (S28)'!$L$11:$L$1402</c:f>
              <c:numCache/>
            </c:numRef>
          </c:val>
          <c:smooth val="0"/>
        </c:ser>
        <c:ser>
          <c:idx val="11"/>
          <c:order val="11"/>
          <c:tx>
            <c:strRef>
              <c:f>'Graphing (S28)'!$M$10</c:f>
            </c:strRef>
          </c:tx>
          <c:spPr>
            <a:ln cmpd="sng">
              <a:solidFill>
                <a:srgbClr val="7ED1D7"/>
              </a:solidFill>
            </a:ln>
          </c:spPr>
          <c:marker>
            <c:symbol val="none"/>
          </c:marker>
          <c:cat>
            <c:strRef>
              <c:f>'Graphing (S28)'!$A$11:$A$1402</c:f>
            </c:strRef>
          </c:cat>
          <c:val>
            <c:numRef>
              <c:f>'Graphing (S28)'!$M$11:$M$1402</c:f>
              <c:numCache/>
            </c:numRef>
          </c:val>
          <c:smooth val="0"/>
        </c:ser>
        <c:ser>
          <c:idx val="12"/>
          <c:order val="12"/>
          <c:tx>
            <c:strRef>
              <c:f>'Graphing (S28)'!$N$10</c:f>
            </c:strRef>
          </c:tx>
          <c:spPr>
            <a:ln cmpd="sng">
              <a:solidFill>
                <a:srgbClr val="B3CEFB"/>
              </a:solidFill>
            </a:ln>
          </c:spPr>
          <c:marker>
            <c:symbol val="none"/>
          </c:marker>
          <c:cat>
            <c:strRef>
              <c:f>'Graphing (S28)'!$A$11:$A$1402</c:f>
            </c:strRef>
          </c:cat>
          <c:val>
            <c:numRef>
              <c:f>'Graphing (S28)'!$N$11:$N$1402</c:f>
              <c:numCache/>
            </c:numRef>
          </c:val>
          <c:smooth val="0"/>
        </c:ser>
        <c:ser>
          <c:idx val="13"/>
          <c:order val="13"/>
          <c:tx>
            <c:strRef>
              <c:f>'Graphing (S28)'!$O$10</c:f>
            </c:strRef>
          </c:tx>
          <c:spPr>
            <a:ln cmpd="sng">
              <a:solidFill>
                <a:srgbClr val="F7B4AE"/>
              </a:solidFill>
            </a:ln>
          </c:spPr>
          <c:marker>
            <c:symbol val="none"/>
          </c:marker>
          <c:cat>
            <c:strRef>
              <c:f>'Graphing (S28)'!$A$11:$A$1402</c:f>
            </c:strRef>
          </c:cat>
          <c:val>
            <c:numRef>
              <c:f>'Graphing (S28)'!$O$11:$O$1402</c:f>
              <c:numCache/>
            </c:numRef>
          </c:val>
          <c:smooth val="0"/>
        </c:ser>
        <c:ser>
          <c:idx val="14"/>
          <c:order val="14"/>
          <c:tx>
            <c:strRef>
              <c:f>'Graphing (S28)'!$P$10</c:f>
            </c:strRef>
          </c:tx>
          <c:spPr>
            <a:ln cmpd="sng">
              <a:solidFill>
                <a:srgbClr val="FDE49B"/>
              </a:solidFill>
            </a:ln>
          </c:spPr>
          <c:marker>
            <c:symbol val="none"/>
          </c:marker>
          <c:cat>
            <c:strRef>
              <c:f>'Graphing (S28)'!$A$11:$A$1402</c:f>
            </c:strRef>
          </c:cat>
          <c:val>
            <c:numRef>
              <c:f>'Graphing (S28)'!$P$11:$P$1402</c:f>
              <c:numCache/>
            </c:numRef>
          </c:val>
          <c:smooth val="0"/>
        </c:ser>
        <c:ser>
          <c:idx val="15"/>
          <c:order val="15"/>
          <c:tx>
            <c:strRef>
              <c:f>'Graphing (S28)'!$Q$10</c:f>
            </c:strRef>
          </c:tx>
          <c:spPr>
            <a:ln cmpd="sng">
              <a:solidFill>
                <a:srgbClr val="AEDCBA"/>
              </a:solidFill>
            </a:ln>
          </c:spPr>
          <c:marker>
            <c:symbol val="none"/>
          </c:marker>
          <c:cat>
            <c:strRef>
              <c:f>'Graphing (S28)'!$A$11:$A$1402</c:f>
            </c:strRef>
          </c:cat>
          <c:val>
            <c:numRef>
              <c:f>'Graphing (S28)'!$Q$11:$Q$1402</c:f>
              <c:numCache/>
            </c:numRef>
          </c:val>
          <c:smooth val="0"/>
        </c:ser>
        <c:ser>
          <c:idx val="16"/>
          <c:order val="16"/>
          <c:tx>
            <c:strRef>
              <c:f>'Graphing (S28)'!$R$10</c:f>
            </c:strRef>
          </c:tx>
          <c:spPr>
            <a:ln cmpd="sng">
              <a:solidFill>
                <a:srgbClr val="FFC599"/>
              </a:solidFill>
            </a:ln>
          </c:spPr>
          <c:marker>
            <c:symbol val="none"/>
          </c:marker>
          <c:cat>
            <c:strRef>
              <c:f>'Graphing (S28)'!$A$11:$A$1402</c:f>
            </c:strRef>
          </c:cat>
          <c:val>
            <c:numRef>
              <c:f>'Graphing (S28)'!$R$11:$R$1402</c:f>
              <c:numCache/>
            </c:numRef>
          </c:val>
          <c:smooth val="0"/>
        </c:ser>
        <c:axId val="1724409765"/>
        <c:axId val="1906905151"/>
      </c:lineChart>
      <c:catAx>
        <c:axId val="1724409765"/>
        <c:scaling>
          <c:orientation val="minMax"/>
          <c:max val="80.0"/>
        </c:scaling>
        <c:delete val="0"/>
        <c:axPos val="b"/>
        <c:title>
          <c:tx>
            <c:rich>
              <a:bodyPr/>
              <a:lstStyle/>
              <a:p>
                <a:pPr lvl="0">
                  <a:defRPr b="0">
                    <a:solidFill>
                      <a:srgbClr val="000000"/>
                    </a:solidFill>
                    <a:latin typeface="+mn-lt"/>
                  </a:defRPr>
                </a:pPr>
                <a:r>
                  <a:rPr b="0">
                    <a:solidFill>
                      <a:srgbClr val="000000"/>
                    </a:solidFill>
                    <a:latin typeface="+mn-lt"/>
                  </a:rPr>
                  <a:t>Time (s)</a:t>
                </a:r>
              </a:p>
            </c:rich>
          </c:tx>
          <c:overlay val="0"/>
        </c:title>
        <c:numFmt formatCode="General" sourceLinked="1"/>
        <c:majorTickMark val="none"/>
        <c:minorTickMark val="none"/>
        <c:spPr/>
        <c:txPr>
          <a:bodyPr/>
          <a:lstStyle/>
          <a:p>
            <a:pPr lvl="0">
              <a:defRPr b="0">
                <a:solidFill>
                  <a:srgbClr val="000000"/>
                </a:solidFill>
                <a:latin typeface="+mn-lt"/>
              </a:defRPr>
            </a:pPr>
          </a:p>
        </c:txPr>
        <c:crossAx val="1906905151"/>
      </c:catAx>
      <c:valAx>
        <c:axId val="1906905151"/>
        <c:scaling>
          <c:orientation val="minMax"/>
          <c:max val="25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4409765"/>
      </c:valAx>
    </c:plotArea>
    <c:legend>
      <c:legendPos val="r"/>
      <c:overlay val="0"/>
      <c:txPr>
        <a:bodyPr/>
        <a:lstStyle/>
        <a:p>
          <a:pPr lvl="0">
            <a:defRPr b="0" sz="18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Solo Damage vs. Time (s)</a:t>
            </a:r>
          </a:p>
        </c:rich>
      </c:tx>
      <c:overlay val="0"/>
    </c:title>
    <c:plotArea>
      <c:layout/>
      <c:areaChart>
        <c:ser>
          <c:idx val="0"/>
          <c:order val="0"/>
          <c:tx>
            <c:strRef>
              <c:f>Testing!$AA$1</c:f>
            </c:strRef>
          </c:tx>
          <c:spPr>
            <a:solidFill>
              <a:srgbClr val="4285F4">
                <a:alpha val="30000"/>
              </a:srgbClr>
            </a:solidFill>
            <a:ln cmpd="sng">
              <a:solidFill>
                <a:srgbClr val="4285F4"/>
              </a:solidFill>
            </a:ln>
          </c:spPr>
          <c:cat>
            <c:strRef>
              <c:f>Testing!$Z$2:$Z$701</c:f>
            </c:strRef>
          </c:cat>
          <c:val>
            <c:numRef>
              <c:f>Testing!$AA$2:$AA$701</c:f>
              <c:numCache/>
            </c:numRef>
          </c:val>
        </c:ser>
        <c:ser>
          <c:idx val="1"/>
          <c:order val="1"/>
          <c:tx>
            <c:strRef>
              <c:f>Testing!$AB$1</c:f>
            </c:strRef>
          </c:tx>
          <c:spPr>
            <a:solidFill>
              <a:srgbClr val="EA4335">
                <a:alpha val="30000"/>
              </a:srgbClr>
            </a:solidFill>
            <a:ln cmpd="sng">
              <a:solidFill>
                <a:srgbClr val="EA4335"/>
              </a:solidFill>
            </a:ln>
          </c:spPr>
          <c:cat>
            <c:strRef>
              <c:f>Testing!$Z$2:$Z$701</c:f>
            </c:strRef>
          </c:cat>
          <c:val>
            <c:numRef>
              <c:f>Testing!$AB$2:$AB$701</c:f>
              <c:numCache/>
            </c:numRef>
          </c:val>
        </c:ser>
        <c:ser>
          <c:idx val="2"/>
          <c:order val="2"/>
          <c:tx>
            <c:strRef>
              <c:f>Testing!$AC$1</c:f>
            </c:strRef>
          </c:tx>
          <c:spPr>
            <a:solidFill>
              <a:srgbClr val="FBBC04">
                <a:alpha val="30000"/>
              </a:srgbClr>
            </a:solidFill>
            <a:ln cmpd="sng">
              <a:solidFill>
                <a:srgbClr val="FBBC04"/>
              </a:solidFill>
            </a:ln>
          </c:spPr>
          <c:cat>
            <c:strRef>
              <c:f>Testing!$Z$2:$Z$701</c:f>
            </c:strRef>
          </c:cat>
          <c:val>
            <c:numRef>
              <c:f>Testing!$AC$2:$AC$701</c:f>
              <c:numCache/>
            </c:numRef>
          </c:val>
        </c:ser>
        <c:axId val="43599311"/>
        <c:axId val="1618633741"/>
      </c:areaChart>
      <c:catAx>
        <c:axId val="435993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18633741"/>
      </c:catAx>
      <c:valAx>
        <c:axId val="16186337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599311"/>
      </c:valAx>
    </c:plotArea>
    <c:legend>
      <c:legendPos val="b"/>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37.png"/></Relationships>
</file>

<file path=xl/drawings/_rels/drawing4.xml.rels><?xml version="1.0" encoding="UTF-8" standalone="yes"?><Relationships xmlns="http://schemas.openxmlformats.org/package/2006/relationships"><Relationship Id="rId40" Type="http://schemas.openxmlformats.org/officeDocument/2006/relationships/image" Target="../media/image15.jpg"/><Relationship Id="rId42" Type="http://schemas.openxmlformats.org/officeDocument/2006/relationships/image" Target="../media/image48.jpg"/><Relationship Id="rId41" Type="http://schemas.openxmlformats.org/officeDocument/2006/relationships/image" Target="../media/image23.jpg"/><Relationship Id="rId44" Type="http://schemas.openxmlformats.org/officeDocument/2006/relationships/image" Target="../media/image24.jpg"/><Relationship Id="rId43" Type="http://schemas.openxmlformats.org/officeDocument/2006/relationships/image" Target="../media/image60.jpg"/><Relationship Id="rId46" Type="http://schemas.openxmlformats.org/officeDocument/2006/relationships/image" Target="../media/image7.jpg"/><Relationship Id="rId45" Type="http://schemas.openxmlformats.org/officeDocument/2006/relationships/image" Target="../media/image17.jpg"/><Relationship Id="rId107" Type="http://schemas.openxmlformats.org/officeDocument/2006/relationships/image" Target="../media/image77.jpg"/><Relationship Id="rId106" Type="http://schemas.openxmlformats.org/officeDocument/2006/relationships/image" Target="../media/image142.jpg"/><Relationship Id="rId105" Type="http://schemas.openxmlformats.org/officeDocument/2006/relationships/image" Target="../media/image241.jpg"/><Relationship Id="rId104" Type="http://schemas.openxmlformats.org/officeDocument/2006/relationships/image" Target="../media/image101.jpg"/><Relationship Id="rId109" Type="http://schemas.openxmlformats.org/officeDocument/2006/relationships/image" Target="../media/image256.jpg"/><Relationship Id="rId108" Type="http://schemas.openxmlformats.org/officeDocument/2006/relationships/image" Target="../media/image98.jpg"/><Relationship Id="rId48" Type="http://schemas.openxmlformats.org/officeDocument/2006/relationships/image" Target="../media/image13.jpg"/><Relationship Id="rId47" Type="http://schemas.openxmlformats.org/officeDocument/2006/relationships/image" Target="../media/image88.jpg"/><Relationship Id="rId49" Type="http://schemas.openxmlformats.org/officeDocument/2006/relationships/image" Target="../media/image33.jpg"/><Relationship Id="rId103" Type="http://schemas.openxmlformats.org/officeDocument/2006/relationships/image" Target="../media/image79.jpg"/><Relationship Id="rId102" Type="http://schemas.openxmlformats.org/officeDocument/2006/relationships/image" Target="../media/image71.jpg"/><Relationship Id="rId101" Type="http://schemas.openxmlformats.org/officeDocument/2006/relationships/image" Target="../media/image72.jpg"/><Relationship Id="rId100" Type="http://schemas.openxmlformats.org/officeDocument/2006/relationships/image" Target="../media/image91.jpg"/><Relationship Id="rId31" Type="http://schemas.openxmlformats.org/officeDocument/2006/relationships/image" Target="../media/image36.jpg"/><Relationship Id="rId30" Type="http://schemas.openxmlformats.org/officeDocument/2006/relationships/image" Target="../media/image5.jpg"/><Relationship Id="rId33" Type="http://schemas.openxmlformats.org/officeDocument/2006/relationships/image" Target="../media/image29.jpg"/><Relationship Id="rId32" Type="http://schemas.openxmlformats.org/officeDocument/2006/relationships/image" Target="../media/image20.jpg"/><Relationship Id="rId35" Type="http://schemas.openxmlformats.org/officeDocument/2006/relationships/image" Target="../media/image35.jpg"/><Relationship Id="rId34" Type="http://schemas.openxmlformats.org/officeDocument/2006/relationships/image" Target="../media/image99.jpg"/><Relationship Id="rId37" Type="http://schemas.openxmlformats.org/officeDocument/2006/relationships/image" Target="../media/image32.jpg"/><Relationship Id="rId36" Type="http://schemas.openxmlformats.org/officeDocument/2006/relationships/image" Target="../media/image34.jpg"/><Relationship Id="rId39" Type="http://schemas.openxmlformats.org/officeDocument/2006/relationships/image" Target="../media/image18.jpg"/><Relationship Id="rId38" Type="http://schemas.openxmlformats.org/officeDocument/2006/relationships/image" Target="../media/image90.jpg"/><Relationship Id="rId20" Type="http://schemas.openxmlformats.org/officeDocument/2006/relationships/image" Target="../media/image117.jpg"/><Relationship Id="rId22" Type="http://schemas.openxmlformats.org/officeDocument/2006/relationships/image" Target="../media/image85.jpg"/><Relationship Id="rId21" Type="http://schemas.openxmlformats.org/officeDocument/2006/relationships/image" Target="../media/image4.jpg"/><Relationship Id="rId24" Type="http://schemas.openxmlformats.org/officeDocument/2006/relationships/image" Target="../media/image10.jpg"/><Relationship Id="rId23" Type="http://schemas.openxmlformats.org/officeDocument/2006/relationships/image" Target="../media/image27.jpg"/><Relationship Id="rId26" Type="http://schemas.openxmlformats.org/officeDocument/2006/relationships/image" Target="../media/image64.jpg"/><Relationship Id="rId25" Type="http://schemas.openxmlformats.org/officeDocument/2006/relationships/image" Target="../media/image12.jpg"/><Relationship Id="rId28" Type="http://schemas.openxmlformats.org/officeDocument/2006/relationships/image" Target="../media/image16.jpg"/><Relationship Id="rId27" Type="http://schemas.openxmlformats.org/officeDocument/2006/relationships/image" Target="../media/image8.jpg"/><Relationship Id="rId29" Type="http://schemas.openxmlformats.org/officeDocument/2006/relationships/image" Target="../media/image2.jpg"/><Relationship Id="rId95" Type="http://schemas.openxmlformats.org/officeDocument/2006/relationships/image" Target="../media/image62.jpg"/><Relationship Id="rId94" Type="http://schemas.openxmlformats.org/officeDocument/2006/relationships/image" Target="../media/image76.jpg"/><Relationship Id="rId97" Type="http://schemas.openxmlformats.org/officeDocument/2006/relationships/image" Target="../media/image78.jpg"/><Relationship Id="rId96" Type="http://schemas.openxmlformats.org/officeDocument/2006/relationships/image" Target="../media/image82.jpg"/><Relationship Id="rId11" Type="http://schemas.openxmlformats.org/officeDocument/2006/relationships/image" Target="../media/image84.jpg"/><Relationship Id="rId99" Type="http://schemas.openxmlformats.org/officeDocument/2006/relationships/image" Target="../media/image68.jpg"/><Relationship Id="rId10" Type="http://schemas.openxmlformats.org/officeDocument/2006/relationships/image" Target="../media/image38.jpg"/><Relationship Id="rId98" Type="http://schemas.openxmlformats.org/officeDocument/2006/relationships/image" Target="../media/image74.jpg"/><Relationship Id="rId13" Type="http://schemas.openxmlformats.org/officeDocument/2006/relationships/image" Target="../media/image46.jpg"/><Relationship Id="rId12" Type="http://schemas.openxmlformats.org/officeDocument/2006/relationships/image" Target="../media/image11.jpg"/><Relationship Id="rId91" Type="http://schemas.openxmlformats.org/officeDocument/2006/relationships/image" Target="../media/image87.jpg"/><Relationship Id="rId90" Type="http://schemas.openxmlformats.org/officeDocument/2006/relationships/image" Target="../media/image66.jpg"/><Relationship Id="rId93" Type="http://schemas.openxmlformats.org/officeDocument/2006/relationships/image" Target="../media/image107.jpg"/><Relationship Id="rId92" Type="http://schemas.openxmlformats.org/officeDocument/2006/relationships/image" Target="../media/image69.jpg"/><Relationship Id="rId15" Type="http://schemas.openxmlformats.org/officeDocument/2006/relationships/image" Target="../media/image50.jpg"/><Relationship Id="rId14" Type="http://schemas.openxmlformats.org/officeDocument/2006/relationships/image" Target="../media/image114.jpg"/><Relationship Id="rId17" Type="http://schemas.openxmlformats.org/officeDocument/2006/relationships/image" Target="../media/image135.jpg"/><Relationship Id="rId16" Type="http://schemas.openxmlformats.org/officeDocument/2006/relationships/image" Target="../media/image229.jpg"/><Relationship Id="rId19" Type="http://schemas.openxmlformats.org/officeDocument/2006/relationships/image" Target="../media/image6.jpg"/><Relationship Id="rId18" Type="http://schemas.openxmlformats.org/officeDocument/2006/relationships/image" Target="../media/image42.jpg"/><Relationship Id="rId84" Type="http://schemas.openxmlformats.org/officeDocument/2006/relationships/image" Target="../media/image59.jpg"/><Relationship Id="rId83" Type="http://schemas.openxmlformats.org/officeDocument/2006/relationships/image" Target="../media/image129.jpg"/><Relationship Id="rId86" Type="http://schemas.openxmlformats.org/officeDocument/2006/relationships/image" Target="../media/image145.jpg"/><Relationship Id="rId85" Type="http://schemas.openxmlformats.org/officeDocument/2006/relationships/image" Target="../media/image116.jpg"/><Relationship Id="rId88" Type="http://schemas.openxmlformats.org/officeDocument/2006/relationships/image" Target="../media/image52.jpg"/><Relationship Id="rId87" Type="http://schemas.openxmlformats.org/officeDocument/2006/relationships/image" Target="../media/image147.jpg"/><Relationship Id="rId89" Type="http://schemas.openxmlformats.org/officeDocument/2006/relationships/image" Target="../media/image61.jpg"/><Relationship Id="rId80" Type="http://schemas.openxmlformats.org/officeDocument/2006/relationships/image" Target="../media/image120.jpg"/><Relationship Id="rId82" Type="http://schemas.openxmlformats.org/officeDocument/2006/relationships/image" Target="../media/image49.jpg"/><Relationship Id="rId81" Type="http://schemas.openxmlformats.org/officeDocument/2006/relationships/image" Target="../media/image65.jpg"/><Relationship Id="rId1" Type="http://schemas.openxmlformats.org/officeDocument/2006/relationships/image" Target="../media/image21.jpg"/><Relationship Id="rId2" Type="http://schemas.openxmlformats.org/officeDocument/2006/relationships/image" Target="../media/image14.jpg"/><Relationship Id="rId3" Type="http://schemas.openxmlformats.org/officeDocument/2006/relationships/image" Target="../media/image3.jpg"/><Relationship Id="rId4" Type="http://schemas.openxmlformats.org/officeDocument/2006/relationships/image" Target="../media/image22.jpg"/><Relationship Id="rId9" Type="http://schemas.openxmlformats.org/officeDocument/2006/relationships/image" Target="../media/image40.jpg"/><Relationship Id="rId5" Type="http://schemas.openxmlformats.org/officeDocument/2006/relationships/image" Target="../media/image30.jpg"/><Relationship Id="rId6" Type="http://schemas.openxmlformats.org/officeDocument/2006/relationships/image" Target="../media/image1.jpg"/><Relationship Id="rId7" Type="http://schemas.openxmlformats.org/officeDocument/2006/relationships/image" Target="../media/image9.jpg"/><Relationship Id="rId8" Type="http://schemas.openxmlformats.org/officeDocument/2006/relationships/image" Target="../media/image73.jpg"/><Relationship Id="rId73" Type="http://schemas.openxmlformats.org/officeDocument/2006/relationships/image" Target="../media/image283.jpg"/><Relationship Id="rId72" Type="http://schemas.openxmlformats.org/officeDocument/2006/relationships/image" Target="../media/image70.jpg"/><Relationship Id="rId75" Type="http://schemas.openxmlformats.org/officeDocument/2006/relationships/image" Target="../media/image53.jpg"/><Relationship Id="rId74" Type="http://schemas.openxmlformats.org/officeDocument/2006/relationships/image" Target="../media/image57.jpg"/><Relationship Id="rId77" Type="http://schemas.openxmlformats.org/officeDocument/2006/relationships/image" Target="../media/image56.jpg"/><Relationship Id="rId76" Type="http://schemas.openxmlformats.org/officeDocument/2006/relationships/image" Target="../media/image54.jpg"/><Relationship Id="rId79" Type="http://schemas.openxmlformats.org/officeDocument/2006/relationships/image" Target="../media/image80.jpg"/><Relationship Id="rId78" Type="http://schemas.openxmlformats.org/officeDocument/2006/relationships/image" Target="../media/image63.jpg"/><Relationship Id="rId71" Type="http://schemas.openxmlformats.org/officeDocument/2006/relationships/image" Target="../media/image55.jpg"/><Relationship Id="rId70" Type="http://schemas.openxmlformats.org/officeDocument/2006/relationships/image" Target="../media/image102.jpg"/><Relationship Id="rId62" Type="http://schemas.openxmlformats.org/officeDocument/2006/relationships/image" Target="../media/image47.jpg"/><Relationship Id="rId61" Type="http://schemas.openxmlformats.org/officeDocument/2006/relationships/image" Target="../media/image106.jpg"/><Relationship Id="rId64" Type="http://schemas.openxmlformats.org/officeDocument/2006/relationships/image" Target="../media/image134.jpg"/><Relationship Id="rId63" Type="http://schemas.openxmlformats.org/officeDocument/2006/relationships/image" Target="../media/image39.jpg"/><Relationship Id="rId66" Type="http://schemas.openxmlformats.org/officeDocument/2006/relationships/image" Target="../media/image75.jpg"/><Relationship Id="rId65" Type="http://schemas.openxmlformats.org/officeDocument/2006/relationships/image" Target="../media/image44.jpg"/><Relationship Id="rId68" Type="http://schemas.openxmlformats.org/officeDocument/2006/relationships/image" Target="../media/image67.jpg"/><Relationship Id="rId67" Type="http://schemas.openxmlformats.org/officeDocument/2006/relationships/image" Target="../media/image204.jpg"/><Relationship Id="rId60" Type="http://schemas.openxmlformats.org/officeDocument/2006/relationships/image" Target="../media/image58.jpg"/><Relationship Id="rId69" Type="http://schemas.openxmlformats.org/officeDocument/2006/relationships/image" Target="../media/image51.jpg"/><Relationship Id="rId51" Type="http://schemas.openxmlformats.org/officeDocument/2006/relationships/image" Target="../media/image31.jpg"/><Relationship Id="rId50" Type="http://schemas.openxmlformats.org/officeDocument/2006/relationships/image" Target="../media/image19.jpg"/><Relationship Id="rId53" Type="http://schemas.openxmlformats.org/officeDocument/2006/relationships/image" Target="../media/image216.jpg"/><Relationship Id="rId52" Type="http://schemas.openxmlformats.org/officeDocument/2006/relationships/image" Target="../media/image127.jpg"/><Relationship Id="rId55" Type="http://schemas.openxmlformats.org/officeDocument/2006/relationships/image" Target="../media/image41.jpg"/><Relationship Id="rId54" Type="http://schemas.openxmlformats.org/officeDocument/2006/relationships/image" Target="../media/image25.jpg"/><Relationship Id="rId57" Type="http://schemas.openxmlformats.org/officeDocument/2006/relationships/image" Target="../media/image28.jpg"/><Relationship Id="rId56" Type="http://schemas.openxmlformats.org/officeDocument/2006/relationships/image" Target="../media/image26.jpg"/><Relationship Id="rId59" Type="http://schemas.openxmlformats.org/officeDocument/2006/relationships/image" Target="../media/image43.jpg"/><Relationship Id="rId58" Type="http://schemas.openxmlformats.org/officeDocument/2006/relationships/image" Target="../media/image45.jpg"/></Relationships>
</file>

<file path=xl/drawings/_rels/drawing5.xml.rels><?xml version="1.0" encoding="UTF-8" standalone="yes"?><Relationships xmlns="http://schemas.openxmlformats.org/package/2006/relationships"><Relationship Id="rId40" Type="http://schemas.openxmlformats.org/officeDocument/2006/relationships/image" Target="../media/image122.jpg"/><Relationship Id="rId190" Type="http://schemas.openxmlformats.org/officeDocument/2006/relationships/image" Target="../media/image90.jpg"/><Relationship Id="rId42" Type="http://schemas.openxmlformats.org/officeDocument/2006/relationships/image" Target="../media/image249.jpg"/><Relationship Id="rId41" Type="http://schemas.openxmlformats.org/officeDocument/2006/relationships/image" Target="../media/image132.jpg"/><Relationship Id="rId44" Type="http://schemas.openxmlformats.org/officeDocument/2006/relationships/image" Target="../media/image133.jpg"/><Relationship Id="rId194" Type="http://schemas.openxmlformats.org/officeDocument/2006/relationships/image" Target="../media/image292.jpg"/><Relationship Id="rId43" Type="http://schemas.openxmlformats.org/officeDocument/2006/relationships/image" Target="../media/image123.jpg"/><Relationship Id="rId193" Type="http://schemas.openxmlformats.org/officeDocument/2006/relationships/image" Target="../media/image280.jpg"/><Relationship Id="rId46" Type="http://schemas.openxmlformats.org/officeDocument/2006/relationships/image" Target="../media/image11.jpg"/><Relationship Id="rId192" Type="http://schemas.openxmlformats.org/officeDocument/2006/relationships/image" Target="../media/image310.jpg"/><Relationship Id="rId45" Type="http://schemas.openxmlformats.org/officeDocument/2006/relationships/image" Target="../media/image207.jpg"/><Relationship Id="rId191" Type="http://schemas.openxmlformats.org/officeDocument/2006/relationships/image" Target="../media/image289.jpg"/><Relationship Id="rId48" Type="http://schemas.openxmlformats.org/officeDocument/2006/relationships/image" Target="../media/image159.jpg"/><Relationship Id="rId187" Type="http://schemas.openxmlformats.org/officeDocument/2006/relationships/image" Target="../media/image265.jpg"/><Relationship Id="rId47" Type="http://schemas.openxmlformats.org/officeDocument/2006/relationships/image" Target="../media/image184.jpg"/><Relationship Id="rId186" Type="http://schemas.openxmlformats.org/officeDocument/2006/relationships/image" Target="../media/image267.jpg"/><Relationship Id="rId185" Type="http://schemas.openxmlformats.org/officeDocument/2006/relationships/image" Target="../media/image302.jpg"/><Relationship Id="rId49" Type="http://schemas.openxmlformats.org/officeDocument/2006/relationships/image" Target="../media/image131.jpg"/><Relationship Id="rId184" Type="http://schemas.openxmlformats.org/officeDocument/2006/relationships/image" Target="../media/image269.jpg"/><Relationship Id="rId189" Type="http://schemas.openxmlformats.org/officeDocument/2006/relationships/image" Target="../media/image276.jpg"/><Relationship Id="rId188" Type="http://schemas.openxmlformats.org/officeDocument/2006/relationships/image" Target="../media/image275.jpg"/><Relationship Id="rId31" Type="http://schemas.openxmlformats.org/officeDocument/2006/relationships/image" Target="../media/image144.jpg"/><Relationship Id="rId30" Type="http://schemas.openxmlformats.org/officeDocument/2006/relationships/image" Target="../media/image113.jpg"/><Relationship Id="rId33" Type="http://schemas.openxmlformats.org/officeDocument/2006/relationships/image" Target="../media/image18.jpg"/><Relationship Id="rId183" Type="http://schemas.openxmlformats.org/officeDocument/2006/relationships/image" Target="../media/image270.jpg"/><Relationship Id="rId32" Type="http://schemas.openxmlformats.org/officeDocument/2006/relationships/image" Target="../media/image119.jpg"/><Relationship Id="rId182" Type="http://schemas.openxmlformats.org/officeDocument/2006/relationships/image" Target="../media/image279.jpg"/><Relationship Id="rId35" Type="http://schemas.openxmlformats.org/officeDocument/2006/relationships/image" Target="../media/image140.jpg"/><Relationship Id="rId181" Type="http://schemas.openxmlformats.org/officeDocument/2006/relationships/image" Target="../media/image261.jpg"/><Relationship Id="rId34" Type="http://schemas.openxmlformats.org/officeDocument/2006/relationships/image" Target="../media/image201.jpg"/><Relationship Id="rId180" Type="http://schemas.openxmlformats.org/officeDocument/2006/relationships/image" Target="../media/image262.jpg"/><Relationship Id="rId37" Type="http://schemas.openxmlformats.org/officeDocument/2006/relationships/image" Target="../media/image41.jpg"/><Relationship Id="rId176" Type="http://schemas.openxmlformats.org/officeDocument/2006/relationships/image" Target="../media/image254.jpg"/><Relationship Id="rId36" Type="http://schemas.openxmlformats.org/officeDocument/2006/relationships/image" Target="../media/image125.jpg"/><Relationship Id="rId175" Type="http://schemas.openxmlformats.org/officeDocument/2006/relationships/image" Target="../media/image257.jpg"/><Relationship Id="rId39" Type="http://schemas.openxmlformats.org/officeDocument/2006/relationships/image" Target="../media/image118.jpg"/><Relationship Id="rId174" Type="http://schemas.openxmlformats.org/officeDocument/2006/relationships/image" Target="../media/image272.jpg"/><Relationship Id="rId38" Type="http://schemas.openxmlformats.org/officeDocument/2006/relationships/image" Target="../media/image69.jpg"/><Relationship Id="rId173" Type="http://schemas.openxmlformats.org/officeDocument/2006/relationships/image" Target="../media/image277.jpg"/><Relationship Id="rId179" Type="http://schemas.openxmlformats.org/officeDocument/2006/relationships/image" Target="../media/image266.jpg"/><Relationship Id="rId178" Type="http://schemas.openxmlformats.org/officeDocument/2006/relationships/image" Target="../media/image264.jpg"/><Relationship Id="rId177" Type="http://schemas.openxmlformats.org/officeDocument/2006/relationships/image" Target="../media/image273.jpg"/><Relationship Id="rId20" Type="http://schemas.openxmlformats.org/officeDocument/2006/relationships/image" Target="../media/image124.jpg"/><Relationship Id="rId22" Type="http://schemas.openxmlformats.org/officeDocument/2006/relationships/image" Target="../media/image136.jpg"/><Relationship Id="rId21" Type="http://schemas.openxmlformats.org/officeDocument/2006/relationships/image" Target="../media/image143.jpg"/><Relationship Id="rId24" Type="http://schemas.openxmlformats.org/officeDocument/2006/relationships/image" Target="../media/image212.jpg"/><Relationship Id="rId23" Type="http://schemas.openxmlformats.org/officeDocument/2006/relationships/image" Target="../media/image108.jpg"/><Relationship Id="rId26" Type="http://schemas.openxmlformats.org/officeDocument/2006/relationships/image" Target="../media/image110.jpg"/><Relationship Id="rId25" Type="http://schemas.openxmlformats.org/officeDocument/2006/relationships/image" Target="../media/image128.jpg"/><Relationship Id="rId28" Type="http://schemas.openxmlformats.org/officeDocument/2006/relationships/image" Target="../media/image121.jpg"/><Relationship Id="rId27" Type="http://schemas.openxmlformats.org/officeDocument/2006/relationships/image" Target="../media/image111.jpg"/><Relationship Id="rId29" Type="http://schemas.openxmlformats.org/officeDocument/2006/relationships/image" Target="../media/image109.jpg"/><Relationship Id="rId11" Type="http://schemas.openxmlformats.org/officeDocument/2006/relationships/image" Target="../media/image97.jpg"/><Relationship Id="rId10" Type="http://schemas.openxmlformats.org/officeDocument/2006/relationships/image" Target="../media/image86.jpg"/><Relationship Id="rId13" Type="http://schemas.openxmlformats.org/officeDocument/2006/relationships/image" Target="../media/image104.jpg"/><Relationship Id="rId12" Type="http://schemas.openxmlformats.org/officeDocument/2006/relationships/image" Target="../media/image96.jpg"/><Relationship Id="rId15" Type="http://schemas.openxmlformats.org/officeDocument/2006/relationships/image" Target="../media/image89.jpg"/><Relationship Id="rId198" Type="http://schemas.openxmlformats.org/officeDocument/2006/relationships/image" Target="../media/image329.jpg"/><Relationship Id="rId14" Type="http://schemas.openxmlformats.org/officeDocument/2006/relationships/image" Target="../media/image27.jpg"/><Relationship Id="rId197" Type="http://schemas.openxmlformats.org/officeDocument/2006/relationships/image" Target="../media/image287.jpg"/><Relationship Id="rId17" Type="http://schemas.openxmlformats.org/officeDocument/2006/relationships/image" Target="../media/image93.jpg"/><Relationship Id="rId196" Type="http://schemas.openxmlformats.org/officeDocument/2006/relationships/image" Target="../media/image284.jpg"/><Relationship Id="rId16" Type="http://schemas.openxmlformats.org/officeDocument/2006/relationships/image" Target="../media/image112.jpg"/><Relationship Id="rId195" Type="http://schemas.openxmlformats.org/officeDocument/2006/relationships/image" Target="../media/image303.jpg"/><Relationship Id="rId19" Type="http://schemas.openxmlformats.org/officeDocument/2006/relationships/image" Target="../media/image153.jpg"/><Relationship Id="rId18" Type="http://schemas.openxmlformats.org/officeDocument/2006/relationships/image" Target="../media/image103.jpg"/><Relationship Id="rId199" Type="http://schemas.openxmlformats.org/officeDocument/2006/relationships/image" Target="../media/image314.jpg"/><Relationship Id="rId84" Type="http://schemas.openxmlformats.org/officeDocument/2006/relationships/image" Target="../media/image52.jpg"/><Relationship Id="rId83" Type="http://schemas.openxmlformats.org/officeDocument/2006/relationships/image" Target="../media/image4.jpg"/><Relationship Id="rId86" Type="http://schemas.openxmlformats.org/officeDocument/2006/relationships/image" Target="../media/image330.jpg"/><Relationship Id="rId85" Type="http://schemas.openxmlformats.org/officeDocument/2006/relationships/image" Target="../media/image179.jpg"/><Relationship Id="rId88" Type="http://schemas.openxmlformats.org/officeDocument/2006/relationships/image" Target="../media/image180.jpg"/><Relationship Id="rId150" Type="http://schemas.openxmlformats.org/officeDocument/2006/relationships/image" Target="../media/image274.jpg"/><Relationship Id="rId87" Type="http://schemas.openxmlformats.org/officeDocument/2006/relationships/image" Target="../media/image174.jpg"/><Relationship Id="rId89" Type="http://schemas.openxmlformats.org/officeDocument/2006/relationships/image" Target="../media/image176.jpg"/><Relationship Id="rId80" Type="http://schemas.openxmlformats.org/officeDocument/2006/relationships/image" Target="../media/image171.jpg"/><Relationship Id="rId82" Type="http://schemas.openxmlformats.org/officeDocument/2006/relationships/image" Target="../media/image295.jpg"/><Relationship Id="rId81" Type="http://schemas.openxmlformats.org/officeDocument/2006/relationships/image" Target="../media/image169.jpg"/><Relationship Id="rId1" Type="http://schemas.openxmlformats.org/officeDocument/2006/relationships/image" Target="../media/image83.jpg"/><Relationship Id="rId2" Type="http://schemas.openxmlformats.org/officeDocument/2006/relationships/image" Target="../media/image81.jpg"/><Relationship Id="rId3" Type="http://schemas.openxmlformats.org/officeDocument/2006/relationships/image" Target="../media/image94.jpg"/><Relationship Id="rId149" Type="http://schemas.openxmlformats.org/officeDocument/2006/relationships/image" Target="../media/image230.jpg"/><Relationship Id="rId4" Type="http://schemas.openxmlformats.org/officeDocument/2006/relationships/image" Target="../media/image105.jpg"/><Relationship Id="rId148" Type="http://schemas.openxmlformats.org/officeDocument/2006/relationships/image" Target="../media/image238.jpg"/><Relationship Id="rId9" Type="http://schemas.openxmlformats.org/officeDocument/2006/relationships/image" Target="../media/image137.jpg"/><Relationship Id="rId143" Type="http://schemas.openxmlformats.org/officeDocument/2006/relationships/image" Target="../media/image222.jpg"/><Relationship Id="rId142" Type="http://schemas.openxmlformats.org/officeDocument/2006/relationships/image" Target="../media/image220.jpg"/><Relationship Id="rId141" Type="http://schemas.openxmlformats.org/officeDocument/2006/relationships/image" Target="../media/image221.jpg"/><Relationship Id="rId140" Type="http://schemas.openxmlformats.org/officeDocument/2006/relationships/image" Target="../media/image225.jpg"/><Relationship Id="rId5" Type="http://schemas.openxmlformats.org/officeDocument/2006/relationships/image" Target="../media/image38.jpg"/><Relationship Id="rId147" Type="http://schemas.openxmlformats.org/officeDocument/2006/relationships/image" Target="../media/image242.jpg"/><Relationship Id="rId6" Type="http://schemas.openxmlformats.org/officeDocument/2006/relationships/image" Target="../media/image92.jpg"/><Relationship Id="rId146" Type="http://schemas.openxmlformats.org/officeDocument/2006/relationships/image" Target="../media/image234.jpg"/><Relationship Id="rId7" Type="http://schemas.openxmlformats.org/officeDocument/2006/relationships/image" Target="../media/image100.jpg"/><Relationship Id="rId145" Type="http://schemas.openxmlformats.org/officeDocument/2006/relationships/image" Target="../media/image235.jpg"/><Relationship Id="rId8" Type="http://schemas.openxmlformats.org/officeDocument/2006/relationships/image" Target="../media/image95.jpg"/><Relationship Id="rId144" Type="http://schemas.openxmlformats.org/officeDocument/2006/relationships/image" Target="../media/image239.jpg"/><Relationship Id="rId73" Type="http://schemas.openxmlformats.org/officeDocument/2006/relationships/image" Target="../media/image209.jpg"/><Relationship Id="rId72" Type="http://schemas.openxmlformats.org/officeDocument/2006/relationships/image" Target="../media/image173.jpg"/><Relationship Id="rId75" Type="http://schemas.openxmlformats.org/officeDocument/2006/relationships/image" Target="../media/image165.jpg"/><Relationship Id="rId74" Type="http://schemas.openxmlformats.org/officeDocument/2006/relationships/image" Target="../media/image166.jpg"/><Relationship Id="rId77" Type="http://schemas.openxmlformats.org/officeDocument/2006/relationships/image" Target="../media/image7.jpg"/><Relationship Id="rId76" Type="http://schemas.openxmlformats.org/officeDocument/2006/relationships/image" Target="../media/image162.jpg"/><Relationship Id="rId79" Type="http://schemas.openxmlformats.org/officeDocument/2006/relationships/image" Target="../media/image163.jpg"/><Relationship Id="rId78" Type="http://schemas.openxmlformats.org/officeDocument/2006/relationships/image" Target="../media/image172.jpg"/><Relationship Id="rId71" Type="http://schemas.openxmlformats.org/officeDocument/2006/relationships/image" Target="../media/image190.jpg"/><Relationship Id="rId70" Type="http://schemas.openxmlformats.org/officeDocument/2006/relationships/image" Target="../media/image102.jpg"/><Relationship Id="rId139" Type="http://schemas.openxmlformats.org/officeDocument/2006/relationships/image" Target="../media/image226.jpg"/><Relationship Id="rId138" Type="http://schemas.openxmlformats.org/officeDocument/2006/relationships/image" Target="../media/image219.jpg"/><Relationship Id="rId137" Type="http://schemas.openxmlformats.org/officeDocument/2006/relationships/image" Target="../media/image306.jpg"/><Relationship Id="rId132" Type="http://schemas.openxmlformats.org/officeDocument/2006/relationships/image" Target="../media/image22.jpg"/><Relationship Id="rId131" Type="http://schemas.openxmlformats.org/officeDocument/2006/relationships/image" Target="../media/image231.jpg"/><Relationship Id="rId130" Type="http://schemas.openxmlformats.org/officeDocument/2006/relationships/image" Target="../media/image215.jpg"/><Relationship Id="rId136" Type="http://schemas.openxmlformats.org/officeDocument/2006/relationships/image" Target="../media/image319.jpg"/><Relationship Id="rId135" Type="http://schemas.openxmlformats.org/officeDocument/2006/relationships/image" Target="../media/image44.jpg"/><Relationship Id="rId134" Type="http://schemas.openxmlformats.org/officeDocument/2006/relationships/image" Target="../media/image223.jpg"/><Relationship Id="rId133" Type="http://schemas.openxmlformats.org/officeDocument/2006/relationships/image" Target="../media/image332.jpg"/><Relationship Id="rId62" Type="http://schemas.openxmlformats.org/officeDocument/2006/relationships/image" Target="../media/image247.jpg"/><Relationship Id="rId61" Type="http://schemas.openxmlformats.org/officeDocument/2006/relationships/image" Target="../media/image191.jpg"/><Relationship Id="rId64" Type="http://schemas.openxmlformats.org/officeDocument/2006/relationships/image" Target="../media/image28.jpg"/><Relationship Id="rId63" Type="http://schemas.openxmlformats.org/officeDocument/2006/relationships/image" Target="../media/image39.jpg"/><Relationship Id="rId66" Type="http://schemas.openxmlformats.org/officeDocument/2006/relationships/image" Target="../media/image167.jpg"/><Relationship Id="rId172" Type="http://schemas.openxmlformats.org/officeDocument/2006/relationships/image" Target="../media/image282.jpg"/><Relationship Id="rId65" Type="http://schemas.openxmlformats.org/officeDocument/2006/relationships/image" Target="../media/image145.jpg"/><Relationship Id="rId171" Type="http://schemas.openxmlformats.org/officeDocument/2006/relationships/image" Target="../media/image255.jpg"/><Relationship Id="rId68" Type="http://schemas.openxmlformats.org/officeDocument/2006/relationships/image" Target="../media/image160.jpg"/><Relationship Id="rId170" Type="http://schemas.openxmlformats.org/officeDocument/2006/relationships/image" Target="../media/image260.jpg"/><Relationship Id="rId67" Type="http://schemas.openxmlformats.org/officeDocument/2006/relationships/image" Target="../media/image152.jpg"/><Relationship Id="rId60" Type="http://schemas.openxmlformats.org/officeDocument/2006/relationships/image" Target="../media/image154.jpg"/><Relationship Id="rId165" Type="http://schemas.openxmlformats.org/officeDocument/2006/relationships/image" Target="../media/image251.jpg"/><Relationship Id="rId69" Type="http://schemas.openxmlformats.org/officeDocument/2006/relationships/image" Target="../media/image161.jpg"/><Relationship Id="rId164" Type="http://schemas.openxmlformats.org/officeDocument/2006/relationships/image" Target="../media/image263.jpg"/><Relationship Id="rId163" Type="http://schemas.openxmlformats.org/officeDocument/2006/relationships/image" Target="../media/image241.jpg"/><Relationship Id="rId162" Type="http://schemas.openxmlformats.org/officeDocument/2006/relationships/image" Target="../media/image309.jpg"/><Relationship Id="rId169" Type="http://schemas.openxmlformats.org/officeDocument/2006/relationships/image" Target="../media/image281.jpg"/><Relationship Id="rId168" Type="http://schemas.openxmlformats.org/officeDocument/2006/relationships/image" Target="../media/image73.jpg"/><Relationship Id="rId167" Type="http://schemas.openxmlformats.org/officeDocument/2006/relationships/image" Target="../media/image47.jpg"/><Relationship Id="rId166" Type="http://schemas.openxmlformats.org/officeDocument/2006/relationships/image" Target="../media/image259.jpg"/><Relationship Id="rId51" Type="http://schemas.openxmlformats.org/officeDocument/2006/relationships/image" Target="../media/image51.jpg"/><Relationship Id="rId50" Type="http://schemas.openxmlformats.org/officeDocument/2006/relationships/image" Target="../media/image130.jpg"/><Relationship Id="rId53" Type="http://schemas.openxmlformats.org/officeDocument/2006/relationships/image" Target="../media/image46.jpg"/><Relationship Id="rId52" Type="http://schemas.openxmlformats.org/officeDocument/2006/relationships/image" Target="../media/image15.jpg"/><Relationship Id="rId55" Type="http://schemas.openxmlformats.org/officeDocument/2006/relationships/image" Target="../media/image34.jpg"/><Relationship Id="rId161" Type="http://schemas.openxmlformats.org/officeDocument/2006/relationships/image" Target="../media/image68.jpg"/><Relationship Id="rId54" Type="http://schemas.openxmlformats.org/officeDocument/2006/relationships/image" Target="../media/image283.jpg"/><Relationship Id="rId160" Type="http://schemas.openxmlformats.org/officeDocument/2006/relationships/image" Target="../media/image6.jpg"/><Relationship Id="rId57" Type="http://schemas.openxmlformats.org/officeDocument/2006/relationships/image" Target="../media/image31.jpg"/><Relationship Id="rId56" Type="http://schemas.openxmlformats.org/officeDocument/2006/relationships/image" Target="../media/image117.jpg"/><Relationship Id="rId159" Type="http://schemas.openxmlformats.org/officeDocument/2006/relationships/image" Target="../media/image252.jpg"/><Relationship Id="rId59" Type="http://schemas.openxmlformats.org/officeDocument/2006/relationships/image" Target="../media/image224.jpg"/><Relationship Id="rId154" Type="http://schemas.openxmlformats.org/officeDocument/2006/relationships/image" Target="../media/image248.jpg"/><Relationship Id="rId58" Type="http://schemas.openxmlformats.org/officeDocument/2006/relationships/image" Target="../media/image148.jpg"/><Relationship Id="rId153" Type="http://schemas.openxmlformats.org/officeDocument/2006/relationships/image" Target="../media/image233.jpg"/><Relationship Id="rId152" Type="http://schemas.openxmlformats.org/officeDocument/2006/relationships/image" Target="../media/image403.jpg"/><Relationship Id="rId151" Type="http://schemas.openxmlformats.org/officeDocument/2006/relationships/image" Target="../media/image232.jpg"/><Relationship Id="rId158" Type="http://schemas.openxmlformats.org/officeDocument/2006/relationships/image" Target="../media/image426.jpg"/><Relationship Id="rId157" Type="http://schemas.openxmlformats.org/officeDocument/2006/relationships/image" Target="../media/image243.jpg"/><Relationship Id="rId156" Type="http://schemas.openxmlformats.org/officeDocument/2006/relationships/image" Target="../media/image271.jpg"/><Relationship Id="rId155" Type="http://schemas.openxmlformats.org/officeDocument/2006/relationships/image" Target="../media/image63.jpg"/><Relationship Id="rId107" Type="http://schemas.openxmlformats.org/officeDocument/2006/relationships/image" Target="../media/image268.jpg"/><Relationship Id="rId228" Type="http://schemas.openxmlformats.org/officeDocument/2006/relationships/image" Target="../media/image17.jpg"/><Relationship Id="rId106" Type="http://schemas.openxmlformats.org/officeDocument/2006/relationships/image" Target="../media/image183.jpg"/><Relationship Id="rId227" Type="http://schemas.openxmlformats.org/officeDocument/2006/relationships/image" Target="../media/image320.jpg"/><Relationship Id="rId105" Type="http://schemas.openxmlformats.org/officeDocument/2006/relationships/image" Target="../media/image245.jpg"/><Relationship Id="rId226" Type="http://schemas.openxmlformats.org/officeDocument/2006/relationships/image" Target="../media/image70.jpg"/><Relationship Id="rId104" Type="http://schemas.openxmlformats.org/officeDocument/2006/relationships/image" Target="../media/image186.jpg"/><Relationship Id="rId225" Type="http://schemas.openxmlformats.org/officeDocument/2006/relationships/image" Target="../media/image402.jpg"/><Relationship Id="rId109" Type="http://schemas.openxmlformats.org/officeDocument/2006/relationships/image" Target="../media/image227.jpg"/><Relationship Id="rId108" Type="http://schemas.openxmlformats.org/officeDocument/2006/relationships/image" Target="../media/image36.jpg"/><Relationship Id="rId229" Type="http://schemas.openxmlformats.org/officeDocument/2006/relationships/image" Target="../media/image318.jpg"/><Relationship Id="rId220" Type="http://schemas.openxmlformats.org/officeDocument/2006/relationships/image" Target="../media/image323.jpg"/><Relationship Id="rId103" Type="http://schemas.openxmlformats.org/officeDocument/2006/relationships/image" Target="../media/image116.jpg"/><Relationship Id="rId224" Type="http://schemas.openxmlformats.org/officeDocument/2006/relationships/image" Target="../media/image327.jpg"/><Relationship Id="rId102" Type="http://schemas.openxmlformats.org/officeDocument/2006/relationships/image" Target="../media/image194.jpg"/><Relationship Id="rId223" Type="http://schemas.openxmlformats.org/officeDocument/2006/relationships/image" Target="../media/image315.jpg"/><Relationship Id="rId101" Type="http://schemas.openxmlformats.org/officeDocument/2006/relationships/image" Target="../media/image188.jpg"/><Relationship Id="rId222" Type="http://schemas.openxmlformats.org/officeDocument/2006/relationships/image" Target="../media/image307.png"/><Relationship Id="rId100" Type="http://schemas.openxmlformats.org/officeDocument/2006/relationships/image" Target="../media/image250.jpg"/><Relationship Id="rId221" Type="http://schemas.openxmlformats.org/officeDocument/2006/relationships/image" Target="../media/image49.jpg"/><Relationship Id="rId217" Type="http://schemas.openxmlformats.org/officeDocument/2006/relationships/image" Target="../media/image311.jpg"/><Relationship Id="rId216" Type="http://schemas.openxmlformats.org/officeDocument/2006/relationships/image" Target="../media/image3.jpg"/><Relationship Id="rId215" Type="http://schemas.openxmlformats.org/officeDocument/2006/relationships/image" Target="../media/image50.jpg"/><Relationship Id="rId214" Type="http://schemas.openxmlformats.org/officeDocument/2006/relationships/image" Target="../media/image305.jpg"/><Relationship Id="rId219" Type="http://schemas.openxmlformats.org/officeDocument/2006/relationships/image" Target="../media/image312.jpg"/><Relationship Id="rId218" Type="http://schemas.openxmlformats.org/officeDocument/2006/relationships/image" Target="../media/image341.jpg"/><Relationship Id="rId213" Type="http://schemas.openxmlformats.org/officeDocument/2006/relationships/image" Target="../media/image40.jpg"/><Relationship Id="rId212" Type="http://schemas.openxmlformats.org/officeDocument/2006/relationships/image" Target="../media/image322.jpg"/><Relationship Id="rId211" Type="http://schemas.openxmlformats.org/officeDocument/2006/relationships/image" Target="../media/image299.jpg"/><Relationship Id="rId210" Type="http://schemas.openxmlformats.org/officeDocument/2006/relationships/image" Target="../media/image142.jpg"/><Relationship Id="rId129" Type="http://schemas.openxmlformats.org/officeDocument/2006/relationships/image" Target="../media/image211.jpg"/><Relationship Id="rId128" Type="http://schemas.openxmlformats.org/officeDocument/2006/relationships/image" Target="../media/image30.jpg"/><Relationship Id="rId127" Type="http://schemas.openxmlformats.org/officeDocument/2006/relationships/image" Target="../media/image203.jpg"/><Relationship Id="rId126" Type="http://schemas.openxmlformats.org/officeDocument/2006/relationships/image" Target="../media/image205.jpg"/><Relationship Id="rId121" Type="http://schemas.openxmlformats.org/officeDocument/2006/relationships/image" Target="../media/image296.jpg"/><Relationship Id="rId120" Type="http://schemas.openxmlformats.org/officeDocument/2006/relationships/image" Target="../media/image197.jpg"/><Relationship Id="rId125" Type="http://schemas.openxmlformats.org/officeDocument/2006/relationships/image" Target="../media/image237.jpg"/><Relationship Id="rId124" Type="http://schemas.openxmlformats.org/officeDocument/2006/relationships/image" Target="../media/image213.jpg"/><Relationship Id="rId123" Type="http://schemas.openxmlformats.org/officeDocument/2006/relationships/image" Target="../media/image26.jpg"/><Relationship Id="rId122" Type="http://schemas.openxmlformats.org/officeDocument/2006/relationships/image" Target="../media/image214.jpg"/><Relationship Id="rId95" Type="http://schemas.openxmlformats.org/officeDocument/2006/relationships/image" Target="../media/image218.jpg"/><Relationship Id="rId94" Type="http://schemas.openxmlformats.org/officeDocument/2006/relationships/image" Target="../media/image129.jpg"/><Relationship Id="rId97" Type="http://schemas.openxmlformats.org/officeDocument/2006/relationships/image" Target="../media/image258.jpg"/><Relationship Id="rId96" Type="http://schemas.openxmlformats.org/officeDocument/2006/relationships/image" Target="../media/image195.jpg"/><Relationship Id="rId99" Type="http://schemas.openxmlformats.org/officeDocument/2006/relationships/image" Target="../media/image182.jpg"/><Relationship Id="rId98" Type="http://schemas.openxmlformats.org/officeDocument/2006/relationships/image" Target="../media/image5.jpg"/><Relationship Id="rId91" Type="http://schemas.openxmlformats.org/officeDocument/2006/relationships/image" Target="../media/image175.jpg"/><Relationship Id="rId90" Type="http://schemas.openxmlformats.org/officeDocument/2006/relationships/image" Target="../media/image236.jpg"/><Relationship Id="rId93" Type="http://schemas.openxmlformats.org/officeDocument/2006/relationships/image" Target="../media/image177.png"/><Relationship Id="rId92" Type="http://schemas.openxmlformats.org/officeDocument/2006/relationships/image" Target="../media/image178.jpg"/><Relationship Id="rId118" Type="http://schemas.openxmlformats.org/officeDocument/2006/relationships/image" Target="../media/image202.jpg"/><Relationship Id="rId117" Type="http://schemas.openxmlformats.org/officeDocument/2006/relationships/image" Target="../media/image198.jpg"/><Relationship Id="rId116" Type="http://schemas.openxmlformats.org/officeDocument/2006/relationships/image" Target="../media/image199.jpg"/><Relationship Id="rId115" Type="http://schemas.openxmlformats.org/officeDocument/2006/relationships/image" Target="../media/image316.jpg"/><Relationship Id="rId119" Type="http://schemas.openxmlformats.org/officeDocument/2006/relationships/image" Target="../media/image308.jpg"/><Relationship Id="rId110" Type="http://schemas.openxmlformats.org/officeDocument/2006/relationships/image" Target="../media/image240.jpg"/><Relationship Id="rId231" Type="http://schemas.openxmlformats.org/officeDocument/2006/relationships/image" Target="../media/image317.jpg"/><Relationship Id="rId230" Type="http://schemas.openxmlformats.org/officeDocument/2006/relationships/image" Target="../media/image66.jpg"/><Relationship Id="rId114" Type="http://schemas.openxmlformats.org/officeDocument/2006/relationships/image" Target="../media/image192.jpg"/><Relationship Id="rId113" Type="http://schemas.openxmlformats.org/officeDocument/2006/relationships/image" Target="../media/image196.jpg"/><Relationship Id="rId234" Type="http://schemas.openxmlformats.org/officeDocument/2006/relationships/image" Target="../media/image321.jpg"/><Relationship Id="rId112" Type="http://schemas.openxmlformats.org/officeDocument/2006/relationships/image" Target="../media/image208.jpg"/><Relationship Id="rId233" Type="http://schemas.openxmlformats.org/officeDocument/2006/relationships/image" Target="../media/image134.jpg"/><Relationship Id="rId111" Type="http://schemas.openxmlformats.org/officeDocument/2006/relationships/image" Target="../media/image193.jpg"/><Relationship Id="rId232" Type="http://schemas.openxmlformats.org/officeDocument/2006/relationships/image" Target="../media/image324.jpg"/><Relationship Id="rId206" Type="http://schemas.openxmlformats.org/officeDocument/2006/relationships/image" Target="../media/image229.jpg"/><Relationship Id="rId205" Type="http://schemas.openxmlformats.org/officeDocument/2006/relationships/image" Target="../media/image127.jpg"/><Relationship Id="rId204" Type="http://schemas.openxmlformats.org/officeDocument/2006/relationships/image" Target="../media/image288.jpg"/><Relationship Id="rId203" Type="http://schemas.openxmlformats.org/officeDocument/2006/relationships/image" Target="../media/image301.jpg"/><Relationship Id="rId209" Type="http://schemas.openxmlformats.org/officeDocument/2006/relationships/image" Target="../media/image8.jpg"/><Relationship Id="rId208" Type="http://schemas.openxmlformats.org/officeDocument/2006/relationships/image" Target="../media/image72.jpg"/><Relationship Id="rId207" Type="http://schemas.openxmlformats.org/officeDocument/2006/relationships/image" Target="../media/image298.jpg"/><Relationship Id="rId202" Type="http://schemas.openxmlformats.org/officeDocument/2006/relationships/image" Target="../media/image60.jpg"/><Relationship Id="rId201" Type="http://schemas.openxmlformats.org/officeDocument/2006/relationships/image" Target="../media/image48.jpg"/><Relationship Id="rId200" Type="http://schemas.openxmlformats.org/officeDocument/2006/relationships/image" Target="../media/image294.jpg"/></Relationships>
</file>

<file path=xl/drawings/_rels/drawing6.xml.rels><?xml version="1.0" encoding="UTF-8" standalone="yes"?><Relationships xmlns="http://schemas.openxmlformats.org/package/2006/relationships"><Relationship Id="rId40" Type="http://schemas.openxmlformats.org/officeDocument/2006/relationships/image" Target="../media/image122.jpg"/><Relationship Id="rId190" Type="http://schemas.openxmlformats.org/officeDocument/2006/relationships/image" Target="../media/image90.jpg"/><Relationship Id="rId42" Type="http://schemas.openxmlformats.org/officeDocument/2006/relationships/image" Target="../media/image249.jpg"/><Relationship Id="rId41" Type="http://schemas.openxmlformats.org/officeDocument/2006/relationships/image" Target="../media/image132.jpg"/><Relationship Id="rId44" Type="http://schemas.openxmlformats.org/officeDocument/2006/relationships/image" Target="../media/image133.jpg"/><Relationship Id="rId194" Type="http://schemas.openxmlformats.org/officeDocument/2006/relationships/image" Target="../media/image292.jpg"/><Relationship Id="rId43" Type="http://schemas.openxmlformats.org/officeDocument/2006/relationships/image" Target="../media/image123.jpg"/><Relationship Id="rId193" Type="http://schemas.openxmlformats.org/officeDocument/2006/relationships/image" Target="../media/image280.jpg"/><Relationship Id="rId46" Type="http://schemas.openxmlformats.org/officeDocument/2006/relationships/image" Target="../media/image11.jpg"/><Relationship Id="rId192" Type="http://schemas.openxmlformats.org/officeDocument/2006/relationships/image" Target="../media/image310.jpg"/><Relationship Id="rId45" Type="http://schemas.openxmlformats.org/officeDocument/2006/relationships/image" Target="../media/image207.jpg"/><Relationship Id="rId191" Type="http://schemas.openxmlformats.org/officeDocument/2006/relationships/image" Target="../media/image289.jpg"/><Relationship Id="rId48" Type="http://schemas.openxmlformats.org/officeDocument/2006/relationships/image" Target="../media/image159.jpg"/><Relationship Id="rId187" Type="http://schemas.openxmlformats.org/officeDocument/2006/relationships/image" Target="../media/image265.jpg"/><Relationship Id="rId47" Type="http://schemas.openxmlformats.org/officeDocument/2006/relationships/image" Target="../media/image184.jpg"/><Relationship Id="rId186" Type="http://schemas.openxmlformats.org/officeDocument/2006/relationships/image" Target="../media/image302.jpg"/><Relationship Id="rId185" Type="http://schemas.openxmlformats.org/officeDocument/2006/relationships/image" Target="../media/image267.jpg"/><Relationship Id="rId49" Type="http://schemas.openxmlformats.org/officeDocument/2006/relationships/image" Target="../media/image131.jpg"/><Relationship Id="rId184" Type="http://schemas.openxmlformats.org/officeDocument/2006/relationships/image" Target="../media/image269.jpg"/><Relationship Id="rId189" Type="http://schemas.openxmlformats.org/officeDocument/2006/relationships/image" Target="../media/image276.jpg"/><Relationship Id="rId188" Type="http://schemas.openxmlformats.org/officeDocument/2006/relationships/image" Target="../media/image275.jpg"/><Relationship Id="rId31" Type="http://schemas.openxmlformats.org/officeDocument/2006/relationships/image" Target="../media/image144.jpg"/><Relationship Id="rId30" Type="http://schemas.openxmlformats.org/officeDocument/2006/relationships/image" Target="../media/image113.jpg"/><Relationship Id="rId33" Type="http://schemas.openxmlformats.org/officeDocument/2006/relationships/image" Target="../media/image18.jpg"/><Relationship Id="rId183" Type="http://schemas.openxmlformats.org/officeDocument/2006/relationships/image" Target="../media/image270.jpg"/><Relationship Id="rId32" Type="http://schemas.openxmlformats.org/officeDocument/2006/relationships/image" Target="../media/image119.jpg"/><Relationship Id="rId182" Type="http://schemas.openxmlformats.org/officeDocument/2006/relationships/image" Target="../media/image279.jpg"/><Relationship Id="rId35" Type="http://schemas.openxmlformats.org/officeDocument/2006/relationships/image" Target="../media/image140.jpg"/><Relationship Id="rId181" Type="http://schemas.openxmlformats.org/officeDocument/2006/relationships/image" Target="../media/image261.jpg"/><Relationship Id="rId34" Type="http://schemas.openxmlformats.org/officeDocument/2006/relationships/image" Target="../media/image201.jpg"/><Relationship Id="rId180" Type="http://schemas.openxmlformats.org/officeDocument/2006/relationships/image" Target="../media/image262.jpg"/><Relationship Id="rId37" Type="http://schemas.openxmlformats.org/officeDocument/2006/relationships/image" Target="../media/image41.jpg"/><Relationship Id="rId176" Type="http://schemas.openxmlformats.org/officeDocument/2006/relationships/image" Target="../media/image254.jpg"/><Relationship Id="rId36" Type="http://schemas.openxmlformats.org/officeDocument/2006/relationships/image" Target="../media/image125.jpg"/><Relationship Id="rId175" Type="http://schemas.openxmlformats.org/officeDocument/2006/relationships/image" Target="../media/image257.jpg"/><Relationship Id="rId39" Type="http://schemas.openxmlformats.org/officeDocument/2006/relationships/image" Target="../media/image118.jpg"/><Relationship Id="rId174" Type="http://schemas.openxmlformats.org/officeDocument/2006/relationships/image" Target="../media/image272.jpg"/><Relationship Id="rId38" Type="http://schemas.openxmlformats.org/officeDocument/2006/relationships/image" Target="../media/image69.jpg"/><Relationship Id="rId173" Type="http://schemas.openxmlformats.org/officeDocument/2006/relationships/image" Target="../media/image277.jpg"/><Relationship Id="rId179" Type="http://schemas.openxmlformats.org/officeDocument/2006/relationships/image" Target="../media/image266.jpg"/><Relationship Id="rId178" Type="http://schemas.openxmlformats.org/officeDocument/2006/relationships/image" Target="../media/image264.jpg"/><Relationship Id="rId177" Type="http://schemas.openxmlformats.org/officeDocument/2006/relationships/image" Target="../media/image273.jpg"/><Relationship Id="rId20" Type="http://schemas.openxmlformats.org/officeDocument/2006/relationships/image" Target="../media/image124.jpg"/><Relationship Id="rId22" Type="http://schemas.openxmlformats.org/officeDocument/2006/relationships/image" Target="../media/image136.jpg"/><Relationship Id="rId21" Type="http://schemas.openxmlformats.org/officeDocument/2006/relationships/image" Target="../media/image143.jpg"/><Relationship Id="rId24" Type="http://schemas.openxmlformats.org/officeDocument/2006/relationships/image" Target="../media/image212.jpg"/><Relationship Id="rId23" Type="http://schemas.openxmlformats.org/officeDocument/2006/relationships/image" Target="../media/image108.jpg"/><Relationship Id="rId26" Type="http://schemas.openxmlformats.org/officeDocument/2006/relationships/image" Target="../media/image110.jpg"/><Relationship Id="rId25" Type="http://schemas.openxmlformats.org/officeDocument/2006/relationships/image" Target="../media/image128.jpg"/><Relationship Id="rId28" Type="http://schemas.openxmlformats.org/officeDocument/2006/relationships/image" Target="../media/image121.jpg"/><Relationship Id="rId27" Type="http://schemas.openxmlformats.org/officeDocument/2006/relationships/image" Target="../media/image111.jpg"/><Relationship Id="rId29" Type="http://schemas.openxmlformats.org/officeDocument/2006/relationships/image" Target="../media/image109.jpg"/><Relationship Id="rId11" Type="http://schemas.openxmlformats.org/officeDocument/2006/relationships/image" Target="../media/image97.jpg"/><Relationship Id="rId10" Type="http://schemas.openxmlformats.org/officeDocument/2006/relationships/image" Target="../media/image86.jpg"/><Relationship Id="rId13" Type="http://schemas.openxmlformats.org/officeDocument/2006/relationships/image" Target="../media/image104.jpg"/><Relationship Id="rId12" Type="http://schemas.openxmlformats.org/officeDocument/2006/relationships/image" Target="../media/image96.jpg"/><Relationship Id="rId15" Type="http://schemas.openxmlformats.org/officeDocument/2006/relationships/image" Target="../media/image89.jpg"/><Relationship Id="rId198" Type="http://schemas.openxmlformats.org/officeDocument/2006/relationships/image" Target="../media/image329.jpg"/><Relationship Id="rId14" Type="http://schemas.openxmlformats.org/officeDocument/2006/relationships/image" Target="../media/image27.jpg"/><Relationship Id="rId197" Type="http://schemas.openxmlformats.org/officeDocument/2006/relationships/image" Target="../media/image287.jpg"/><Relationship Id="rId17" Type="http://schemas.openxmlformats.org/officeDocument/2006/relationships/image" Target="../media/image93.jpg"/><Relationship Id="rId196" Type="http://schemas.openxmlformats.org/officeDocument/2006/relationships/image" Target="../media/image284.jpg"/><Relationship Id="rId16" Type="http://schemas.openxmlformats.org/officeDocument/2006/relationships/image" Target="../media/image112.jpg"/><Relationship Id="rId195" Type="http://schemas.openxmlformats.org/officeDocument/2006/relationships/image" Target="../media/image303.jpg"/><Relationship Id="rId19" Type="http://schemas.openxmlformats.org/officeDocument/2006/relationships/image" Target="../media/image153.jpg"/><Relationship Id="rId18" Type="http://schemas.openxmlformats.org/officeDocument/2006/relationships/image" Target="../media/image103.jpg"/><Relationship Id="rId199" Type="http://schemas.openxmlformats.org/officeDocument/2006/relationships/image" Target="../media/image314.jpg"/><Relationship Id="rId84" Type="http://schemas.openxmlformats.org/officeDocument/2006/relationships/image" Target="../media/image52.jpg"/><Relationship Id="rId83" Type="http://schemas.openxmlformats.org/officeDocument/2006/relationships/image" Target="../media/image4.jpg"/><Relationship Id="rId86" Type="http://schemas.openxmlformats.org/officeDocument/2006/relationships/image" Target="../media/image330.jpg"/><Relationship Id="rId85" Type="http://schemas.openxmlformats.org/officeDocument/2006/relationships/image" Target="../media/image179.jpg"/><Relationship Id="rId88" Type="http://schemas.openxmlformats.org/officeDocument/2006/relationships/image" Target="../media/image180.jpg"/><Relationship Id="rId150" Type="http://schemas.openxmlformats.org/officeDocument/2006/relationships/image" Target="../media/image274.jpg"/><Relationship Id="rId87" Type="http://schemas.openxmlformats.org/officeDocument/2006/relationships/image" Target="../media/image174.jpg"/><Relationship Id="rId89" Type="http://schemas.openxmlformats.org/officeDocument/2006/relationships/image" Target="../media/image176.jpg"/><Relationship Id="rId80" Type="http://schemas.openxmlformats.org/officeDocument/2006/relationships/image" Target="../media/image171.jpg"/><Relationship Id="rId82" Type="http://schemas.openxmlformats.org/officeDocument/2006/relationships/image" Target="../media/image169.jpg"/><Relationship Id="rId81" Type="http://schemas.openxmlformats.org/officeDocument/2006/relationships/image" Target="../media/image295.jpg"/><Relationship Id="rId1" Type="http://schemas.openxmlformats.org/officeDocument/2006/relationships/image" Target="../media/image83.jpg"/><Relationship Id="rId2" Type="http://schemas.openxmlformats.org/officeDocument/2006/relationships/image" Target="../media/image81.jpg"/><Relationship Id="rId3" Type="http://schemas.openxmlformats.org/officeDocument/2006/relationships/image" Target="../media/image94.jpg"/><Relationship Id="rId149" Type="http://schemas.openxmlformats.org/officeDocument/2006/relationships/image" Target="../media/image230.jpg"/><Relationship Id="rId4" Type="http://schemas.openxmlformats.org/officeDocument/2006/relationships/image" Target="../media/image105.jpg"/><Relationship Id="rId148" Type="http://schemas.openxmlformats.org/officeDocument/2006/relationships/image" Target="../media/image238.jpg"/><Relationship Id="rId9" Type="http://schemas.openxmlformats.org/officeDocument/2006/relationships/image" Target="../media/image137.jpg"/><Relationship Id="rId143" Type="http://schemas.openxmlformats.org/officeDocument/2006/relationships/image" Target="../media/image222.jpg"/><Relationship Id="rId142" Type="http://schemas.openxmlformats.org/officeDocument/2006/relationships/image" Target="../media/image220.jpg"/><Relationship Id="rId141" Type="http://schemas.openxmlformats.org/officeDocument/2006/relationships/image" Target="../media/image221.jpg"/><Relationship Id="rId140" Type="http://schemas.openxmlformats.org/officeDocument/2006/relationships/image" Target="../media/image225.jpg"/><Relationship Id="rId5" Type="http://schemas.openxmlformats.org/officeDocument/2006/relationships/image" Target="../media/image38.jpg"/><Relationship Id="rId147" Type="http://schemas.openxmlformats.org/officeDocument/2006/relationships/image" Target="../media/image242.jpg"/><Relationship Id="rId6" Type="http://schemas.openxmlformats.org/officeDocument/2006/relationships/image" Target="../media/image92.jpg"/><Relationship Id="rId146" Type="http://schemas.openxmlformats.org/officeDocument/2006/relationships/image" Target="../media/image234.jpg"/><Relationship Id="rId7" Type="http://schemas.openxmlformats.org/officeDocument/2006/relationships/image" Target="../media/image100.jpg"/><Relationship Id="rId145" Type="http://schemas.openxmlformats.org/officeDocument/2006/relationships/image" Target="../media/image235.jpg"/><Relationship Id="rId8" Type="http://schemas.openxmlformats.org/officeDocument/2006/relationships/image" Target="../media/image95.jpg"/><Relationship Id="rId144" Type="http://schemas.openxmlformats.org/officeDocument/2006/relationships/image" Target="../media/image239.jpg"/><Relationship Id="rId73" Type="http://schemas.openxmlformats.org/officeDocument/2006/relationships/image" Target="../media/image209.jpg"/><Relationship Id="rId72" Type="http://schemas.openxmlformats.org/officeDocument/2006/relationships/image" Target="../media/image173.jpg"/><Relationship Id="rId75" Type="http://schemas.openxmlformats.org/officeDocument/2006/relationships/image" Target="../media/image165.jpg"/><Relationship Id="rId74" Type="http://schemas.openxmlformats.org/officeDocument/2006/relationships/image" Target="../media/image166.jpg"/><Relationship Id="rId77" Type="http://schemas.openxmlformats.org/officeDocument/2006/relationships/image" Target="../media/image7.jpg"/><Relationship Id="rId76" Type="http://schemas.openxmlformats.org/officeDocument/2006/relationships/image" Target="../media/image162.jpg"/><Relationship Id="rId79" Type="http://schemas.openxmlformats.org/officeDocument/2006/relationships/image" Target="../media/image163.jpg"/><Relationship Id="rId78" Type="http://schemas.openxmlformats.org/officeDocument/2006/relationships/image" Target="../media/image172.jpg"/><Relationship Id="rId71" Type="http://schemas.openxmlformats.org/officeDocument/2006/relationships/image" Target="../media/image190.jpg"/><Relationship Id="rId70" Type="http://schemas.openxmlformats.org/officeDocument/2006/relationships/image" Target="../media/image102.jpg"/><Relationship Id="rId139" Type="http://schemas.openxmlformats.org/officeDocument/2006/relationships/image" Target="../media/image226.jpg"/><Relationship Id="rId138" Type="http://schemas.openxmlformats.org/officeDocument/2006/relationships/image" Target="../media/image219.jpg"/><Relationship Id="rId137" Type="http://schemas.openxmlformats.org/officeDocument/2006/relationships/image" Target="../media/image306.jpg"/><Relationship Id="rId132" Type="http://schemas.openxmlformats.org/officeDocument/2006/relationships/image" Target="../media/image22.jpg"/><Relationship Id="rId131" Type="http://schemas.openxmlformats.org/officeDocument/2006/relationships/image" Target="../media/image231.jpg"/><Relationship Id="rId130" Type="http://schemas.openxmlformats.org/officeDocument/2006/relationships/image" Target="../media/image215.jpg"/><Relationship Id="rId136" Type="http://schemas.openxmlformats.org/officeDocument/2006/relationships/image" Target="../media/image319.jpg"/><Relationship Id="rId135" Type="http://schemas.openxmlformats.org/officeDocument/2006/relationships/image" Target="../media/image44.jpg"/><Relationship Id="rId134" Type="http://schemas.openxmlformats.org/officeDocument/2006/relationships/image" Target="../media/image223.jpg"/><Relationship Id="rId133" Type="http://schemas.openxmlformats.org/officeDocument/2006/relationships/image" Target="../media/image332.jpg"/><Relationship Id="rId62" Type="http://schemas.openxmlformats.org/officeDocument/2006/relationships/image" Target="../media/image247.jpg"/><Relationship Id="rId61" Type="http://schemas.openxmlformats.org/officeDocument/2006/relationships/image" Target="../media/image191.jpg"/><Relationship Id="rId64" Type="http://schemas.openxmlformats.org/officeDocument/2006/relationships/image" Target="../media/image28.jpg"/><Relationship Id="rId63" Type="http://schemas.openxmlformats.org/officeDocument/2006/relationships/image" Target="../media/image39.jpg"/><Relationship Id="rId66" Type="http://schemas.openxmlformats.org/officeDocument/2006/relationships/image" Target="../media/image167.jpg"/><Relationship Id="rId172" Type="http://schemas.openxmlformats.org/officeDocument/2006/relationships/image" Target="../media/image282.jpg"/><Relationship Id="rId65" Type="http://schemas.openxmlformats.org/officeDocument/2006/relationships/image" Target="../media/image145.jpg"/><Relationship Id="rId171" Type="http://schemas.openxmlformats.org/officeDocument/2006/relationships/image" Target="../media/image255.jpg"/><Relationship Id="rId68" Type="http://schemas.openxmlformats.org/officeDocument/2006/relationships/image" Target="../media/image160.jpg"/><Relationship Id="rId170" Type="http://schemas.openxmlformats.org/officeDocument/2006/relationships/image" Target="../media/image260.jpg"/><Relationship Id="rId67" Type="http://schemas.openxmlformats.org/officeDocument/2006/relationships/image" Target="../media/image152.jpg"/><Relationship Id="rId60" Type="http://schemas.openxmlformats.org/officeDocument/2006/relationships/image" Target="../media/image154.jpg"/><Relationship Id="rId165" Type="http://schemas.openxmlformats.org/officeDocument/2006/relationships/image" Target="../media/image251.jpg"/><Relationship Id="rId69" Type="http://schemas.openxmlformats.org/officeDocument/2006/relationships/image" Target="../media/image161.jpg"/><Relationship Id="rId164" Type="http://schemas.openxmlformats.org/officeDocument/2006/relationships/image" Target="../media/image263.jpg"/><Relationship Id="rId163" Type="http://schemas.openxmlformats.org/officeDocument/2006/relationships/image" Target="../media/image241.jpg"/><Relationship Id="rId162" Type="http://schemas.openxmlformats.org/officeDocument/2006/relationships/image" Target="../media/image309.jpg"/><Relationship Id="rId169" Type="http://schemas.openxmlformats.org/officeDocument/2006/relationships/image" Target="../media/image281.jpg"/><Relationship Id="rId168" Type="http://schemas.openxmlformats.org/officeDocument/2006/relationships/image" Target="../media/image73.jpg"/><Relationship Id="rId167" Type="http://schemas.openxmlformats.org/officeDocument/2006/relationships/image" Target="../media/image47.jpg"/><Relationship Id="rId166" Type="http://schemas.openxmlformats.org/officeDocument/2006/relationships/image" Target="../media/image259.jpg"/><Relationship Id="rId51" Type="http://schemas.openxmlformats.org/officeDocument/2006/relationships/image" Target="../media/image51.jpg"/><Relationship Id="rId50" Type="http://schemas.openxmlformats.org/officeDocument/2006/relationships/image" Target="../media/image130.jpg"/><Relationship Id="rId53" Type="http://schemas.openxmlformats.org/officeDocument/2006/relationships/image" Target="../media/image15.jpg"/><Relationship Id="rId52" Type="http://schemas.openxmlformats.org/officeDocument/2006/relationships/image" Target="../media/image46.jpg"/><Relationship Id="rId55" Type="http://schemas.openxmlformats.org/officeDocument/2006/relationships/image" Target="../media/image34.jpg"/><Relationship Id="rId161" Type="http://schemas.openxmlformats.org/officeDocument/2006/relationships/image" Target="../media/image68.jpg"/><Relationship Id="rId54" Type="http://schemas.openxmlformats.org/officeDocument/2006/relationships/image" Target="../media/image283.jpg"/><Relationship Id="rId160" Type="http://schemas.openxmlformats.org/officeDocument/2006/relationships/image" Target="../media/image6.jpg"/><Relationship Id="rId57" Type="http://schemas.openxmlformats.org/officeDocument/2006/relationships/image" Target="../media/image31.jpg"/><Relationship Id="rId56" Type="http://schemas.openxmlformats.org/officeDocument/2006/relationships/image" Target="../media/image117.jpg"/><Relationship Id="rId159" Type="http://schemas.openxmlformats.org/officeDocument/2006/relationships/image" Target="../media/image252.jpg"/><Relationship Id="rId59" Type="http://schemas.openxmlformats.org/officeDocument/2006/relationships/image" Target="../media/image224.jpg"/><Relationship Id="rId154" Type="http://schemas.openxmlformats.org/officeDocument/2006/relationships/image" Target="../media/image248.jpg"/><Relationship Id="rId58" Type="http://schemas.openxmlformats.org/officeDocument/2006/relationships/image" Target="../media/image148.jpg"/><Relationship Id="rId153" Type="http://schemas.openxmlformats.org/officeDocument/2006/relationships/image" Target="../media/image233.jpg"/><Relationship Id="rId152" Type="http://schemas.openxmlformats.org/officeDocument/2006/relationships/image" Target="../media/image403.jpg"/><Relationship Id="rId151" Type="http://schemas.openxmlformats.org/officeDocument/2006/relationships/image" Target="../media/image232.jpg"/><Relationship Id="rId158" Type="http://schemas.openxmlformats.org/officeDocument/2006/relationships/image" Target="../media/image426.jpg"/><Relationship Id="rId157" Type="http://schemas.openxmlformats.org/officeDocument/2006/relationships/image" Target="../media/image243.jpg"/><Relationship Id="rId156" Type="http://schemas.openxmlformats.org/officeDocument/2006/relationships/image" Target="../media/image271.jpg"/><Relationship Id="rId155" Type="http://schemas.openxmlformats.org/officeDocument/2006/relationships/image" Target="../media/image63.jpg"/><Relationship Id="rId107" Type="http://schemas.openxmlformats.org/officeDocument/2006/relationships/image" Target="../media/image268.jpg"/><Relationship Id="rId228" Type="http://schemas.openxmlformats.org/officeDocument/2006/relationships/image" Target="../media/image17.jpg"/><Relationship Id="rId106" Type="http://schemas.openxmlformats.org/officeDocument/2006/relationships/image" Target="../media/image183.jpg"/><Relationship Id="rId227" Type="http://schemas.openxmlformats.org/officeDocument/2006/relationships/image" Target="../media/image320.jpg"/><Relationship Id="rId105" Type="http://schemas.openxmlformats.org/officeDocument/2006/relationships/image" Target="../media/image245.jpg"/><Relationship Id="rId226" Type="http://schemas.openxmlformats.org/officeDocument/2006/relationships/image" Target="../media/image70.jpg"/><Relationship Id="rId104" Type="http://schemas.openxmlformats.org/officeDocument/2006/relationships/image" Target="../media/image186.jpg"/><Relationship Id="rId225" Type="http://schemas.openxmlformats.org/officeDocument/2006/relationships/image" Target="../media/image402.jpg"/><Relationship Id="rId109" Type="http://schemas.openxmlformats.org/officeDocument/2006/relationships/image" Target="../media/image227.jpg"/><Relationship Id="rId108" Type="http://schemas.openxmlformats.org/officeDocument/2006/relationships/image" Target="../media/image36.jpg"/><Relationship Id="rId229" Type="http://schemas.openxmlformats.org/officeDocument/2006/relationships/image" Target="../media/image318.jpg"/><Relationship Id="rId220" Type="http://schemas.openxmlformats.org/officeDocument/2006/relationships/image" Target="../media/image323.jpg"/><Relationship Id="rId103" Type="http://schemas.openxmlformats.org/officeDocument/2006/relationships/image" Target="../media/image116.jpg"/><Relationship Id="rId224" Type="http://schemas.openxmlformats.org/officeDocument/2006/relationships/image" Target="../media/image327.jpg"/><Relationship Id="rId102" Type="http://schemas.openxmlformats.org/officeDocument/2006/relationships/image" Target="../media/image194.jpg"/><Relationship Id="rId223" Type="http://schemas.openxmlformats.org/officeDocument/2006/relationships/image" Target="../media/image315.jpg"/><Relationship Id="rId101" Type="http://schemas.openxmlformats.org/officeDocument/2006/relationships/image" Target="../media/image188.jpg"/><Relationship Id="rId222" Type="http://schemas.openxmlformats.org/officeDocument/2006/relationships/image" Target="../media/image307.png"/><Relationship Id="rId100" Type="http://schemas.openxmlformats.org/officeDocument/2006/relationships/image" Target="../media/image250.jpg"/><Relationship Id="rId221" Type="http://schemas.openxmlformats.org/officeDocument/2006/relationships/image" Target="../media/image49.jpg"/><Relationship Id="rId217" Type="http://schemas.openxmlformats.org/officeDocument/2006/relationships/image" Target="../media/image311.jpg"/><Relationship Id="rId216" Type="http://schemas.openxmlformats.org/officeDocument/2006/relationships/image" Target="../media/image3.jpg"/><Relationship Id="rId215" Type="http://schemas.openxmlformats.org/officeDocument/2006/relationships/image" Target="../media/image50.jpg"/><Relationship Id="rId214" Type="http://schemas.openxmlformats.org/officeDocument/2006/relationships/image" Target="../media/image305.jpg"/><Relationship Id="rId219" Type="http://schemas.openxmlformats.org/officeDocument/2006/relationships/image" Target="../media/image312.jpg"/><Relationship Id="rId218" Type="http://schemas.openxmlformats.org/officeDocument/2006/relationships/image" Target="../media/image341.jpg"/><Relationship Id="rId213" Type="http://schemas.openxmlformats.org/officeDocument/2006/relationships/image" Target="../media/image40.jpg"/><Relationship Id="rId212" Type="http://schemas.openxmlformats.org/officeDocument/2006/relationships/image" Target="../media/image322.jpg"/><Relationship Id="rId211" Type="http://schemas.openxmlformats.org/officeDocument/2006/relationships/image" Target="../media/image299.jpg"/><Relationship Id="rId210" Type="http://schemas.openxmlformats.org/officeDocument/2006/relationships/image" Target="../media/image142.jpg"/><Relationship Id="rId129" Type="http://schemas.openxmlformats.org/officeDocument/2006/relationships/image" Target="../media/image211.jpg"/><Relationship Id="rId128" Type="http://schemas.openxmlformats.org/officeDocument/2006/relationships/image" Target="../media/image30.jpg"/><Relationship Id="rId127" Type="http://schemas.openxmlformats.org/officeDocument/2006/relationships/image" Target="../media/image203.jpg"/><Relationship Id="rId126" Type="http://schemas.openxmlformats.org/officeDocument/2006/relationships/image" Target="../media/image205.jpg"/><Relationship Id="rId121" Type="http://schemas.openxmlformats.org/officeDocument/2006/relationships/image" Target="../media/image296.jpg"/><Relationship Id="rId120" Type="http://schemas.openxmlformats.org/officeDocument/2006/relationships/image" Target="../media/image197.jpg"/><Relationship Id="rId125" Type="http://schemas.openxmlformats.org/officeDocument/2006/relationships/image" Target="../media/image237.jpg"/><Relationship Id="rId124" Type="http://schemas.openxmlformats.org/officeDocument/2006/relationships/image" Target="../media/image213.jpg"/><Relationship Id="rId123" Type="http://schemas.openxmlformats.org/officeDocument/2006/relationships/image" Target="../media/image26.jpg"/><Relationship Id="rId122" Type="http://schemas.openxmlformats.org/officeDocument/2006/relationships/image" Target="../media/image214.jpg"/><Relationship Id="rId95" Type="http://schemas.openxmlformats.org/officeDocument/2006/relationships/image" Target="../media/image218.jpg"/><Relationship Id="rId94" Type="http://schemas.openxmlformats.org/officeDocument/2006/relationships/image" Target="../media/image129.jpg"/><Relationship Id="rId97" Type="http://schemas.openxmlformats.org/officeDocument/2006/relationships/image" Target="../media/image258.jpg"/><Relationship Id="rId96" Type="http://schemas.openxmlformats.org/officeDocument/2006/relationships/image" Target="../media/image195.jpg"/><Relationship Id="rId99" Type="http://schemas.openxmlformats.org/officeDocument/2006/relationships/image" Target="../media/image182.jpg"/><Relationship Id="rId98" Type="http://schemas.openxmlformats.org/officeDocument/2006/relationships/image" Target="../media/image5.jpg"/><Relationship Id="rId91" Type="http://schemas.openxmlformats.org/officeDocument/2006/relationships/image" Target="../media/image175.jpg"/><Relationship Id="rId90" Type="http://schemas.openxmlformats.org/officeDocument/2006/relationships/image" Target="../media/image236.jpg"/><Relationship Id="rId93" Type="http://schemas.openxmlformats.org/officeDocument/2006/relationships/image" Target="../media/image177.png"/><Relationship Id="rId92" Type="http://schemas.openxmlformats.org/officeDocument/2006/relationships/image" Target="../media/image178.jpg"/><Relationship Id="rId118" Type="http://schemas.openxmlformats.org/officeDocument/2006/relationships/image" Target="../media/image202.jpg"/><Relationship Id="rId117" Type="http://schemas.openxmlformats.org/officeDocument/2006/relationships/image" Target="../media/image198.jpg"/><Relationship Id="rId116" Type="http://schemas.openxmlformats.org/officeDocument/2006/relationships/image" Target="../media/image199.jpg"/><Relationship Id="rId115" Type="http://schemas.openxmlformats.org/officeDocument/2006/relationships/image" Target="../media/image316.jpg"/><Relationship Id="rId119" Type="http://schemas.openxmlformats.org/officeDocument/2006/relationships/image" Target="../media/image308.jpg"/><Relationship Id="rId110" Type="http://schemas.openxmlformats.org/officeDocument/2006/relationships/image" Target="../media/image240.jpg"/><Relationship Id="rId231" Type="http://schemas.openxmlformats.org/officeDocument/2006/relationships/image" Target="../media/image317.jpg"/><Relationship Id="rId230" Type="http://schemas.openxmlformats.org/officeDocument/2006/relationships/image" Target="../media/image66.jpg"/><Relationship Id="rId114" Type="http://schemas.openxmlformats.org/officeDocument/2006/relationships/image" Target="../media/image192.jpg"/><Relationship Id="rId113" Type="http://schemas.openxmlformats.org/officeDocument/2006/relationships/image" Target="../media/image196.jpg"/><Relationship Id="rId234" Type="http://schemas.openxmlformats.org/officeDocument/2006/relationships/image" Target="../media/image321.jpg"/><Relationship Id="rId112" Type="http://schemas.openxmlformats.org/officeDocument/2006/relationships/image" Target="../media/image208.jpg"/><Relationship Id="rId233" Type="http://schemas.openxmlformats.org/officeDocument/2006/relationships/image" Target="../media/image134.jpg"/><Relationship Id="rId111" Type="http://schemas.openxmlformats.org/officeDocument/2006/relationships/image" Target="../media/image193.jpg"/><Relationship Id="rId232" Type="http://schemas.openxmlformats.org/officeDocument/2006/relationships/image" Target="../media/image324.jpg"/><Relationship Id="rId206" Type="http://schemas.openxmlformats.org/officeDocument/2006/relationships/image" Target="../media/image229.jpg"/><Relationship Id="rId205" Type="http://schemas.openxmlformats.org/officeDocument/2006/relationships/image" Target="../media/image127.jpg"/><Relationship Id="rId204" Type="http://schemas.openxmlformats.org/officeDocument/2006/relationships/image" Target="../media/image288.jpg"/><Relationship Id="rId203" Type="http://schemas.openxmlformats.org/officeDocument/2006/relationships/image" Target="../media/image301.jpg"/><Relationship Id="rId209" Type="http://schemas.openxmlformats.org/officeDocument/2006/relationships/image" Target="../media/image8.jpg"/><Relationship Id="rId208" Type="http://schemas.openxmlformats.org/officeDocument/2006/relationships/image" Target="../media/image72.jpg"/><Relationship Id="rId207" Type="http://schemas.openxmlformats.org/officeDocument/2006/relationships/image" Target="../media/image298.jpg"/><Relationship Id="rId202" Type="http://schemas.openxmlformats.org/officeDocument/2006/relationships/image" Target="../media/image60.jpg"/><Relationship Id="rId201" Type="http://schemas.openxmlformats.org/officeDocument/2006/relationships/image" Target="../media/image48.jpg"/><Relationship Id="rId200" Type="http://schemas.openxmlformats.org/officeDocument/2006/relationships/image" Target="../media/image294.jpg"/></Relationships>
</file>

<file path=xl/drawings/_rels/drawing7.xml.rels><?xml version="1.0" encoding="UTF-8" standalone="yes"?><Relationships xmlns="http://schemas.openxmlformats.org/package/2006/relationships"><Relationship Id="rId40" Type="http://schemas.openxmlformats.org/officeDocument/2006/relationships/image" Target="../media/image51.jpg"/><Relationship Id="rId42" Type="http://schemas.openxmlformats.org/officeDocument/2006/relationships/image" Target="../media/image356.png"/><Relationship Id="rId41" Type="http://schemas.openxmlformats.org/officeDocument/2006/relationships/image" Target="../media/image420.png"/><Relationship Id="rId44" Type="http://schemas.openxmlformats.org/officeDocument/2006/relationships/image" Target="../media/image404.png"/><Relationship Id="rId43" Type="http://schemas.openxmlformats.org/officeDocument/2006/relationships/image" Target="../media/image367.png"/><Relationship Id="rId46" Type="http://schemas.openxmlformats.org/officeDocument/2006/relationships/image" Target="../media/image371.png"/><Relationship Id="rId45" Type="http://schemas.openxmlformats.org/officeDocument/2006/relationships/image" Target="../media/image364.png"/><Relationship Id="rId48" Type="http://schemas.openxmlformats.org/officeDocument/2006/relationships/image" Target="../media/image137.jpg"/><Relationship Id="rId47" Type="http://schemas.openxmlformats.org/officeDocument/2006/relationships/image" Target="../media/image405.png"/><Relationship Id="rId49" Type="http://schemas.openxmlformats.org/officeDocument/2006/relationships/image" Target="../media/image359.png"/><Relationship Id="rId31" Type="http://schemas.openxmlformats.org/officeDocument/2006/relationships/image" Target="../media/image412.jpg"/><Relationship Id="rId30" Type="http://schemas.openxmlformats.org/officeDocument/2006/relationships/image" Target="../media/image358.png"/><Relationship Id="rId33" Type="http://schemas.openxmlformats.org/officeDocument/2006/relationships/image" Target="../media/image362.png"/><Relationship Id="rId32" Type="http://schemas.openxmlformats.org/officeDocument/2006/relationships/image" Target="../media/image413.png"/><Relationship Id="rId35" Type="http://schemas.openxmlformats.org/officeDocument/2006/relationships/image" Target="../media/image368.png"/><Relationship Id="rId34" Type="http://schemas.openxmlformats.org/officeDocument/2006/relationships/image" Target="../media/image374.png"/><Relationship Id="rId37" Type="http://schemas.openxmlformats.org/officeDocument/2006/relationships/image" Target="../media/image401.png"/><Relationship Id="rId36" Type="http://schemas.openxmlformats.org/officeDocument/2006/relationships/image" Target="../media/image355.png"/><Relationship Id="rId39" Type="http://schemas.openxmlformats.org/officeDocument/2006/relationships/image" Target="../media/image130.jpg"/><Relationship Id="rId38" Type="http://schemas.openxmlformats.org/officeDocument/2006/relationships/image" Target="../media/image133.jpg"/><Relationship Id="rId20" Type="http://schemas.openxmlformats.org/officeDocument/2006/relationships/image" Target="../media/image357.png"/><Relationship Id="rId22" Type="http://schemas.openxmlformats.org/officeDocument/2006/relationships/image" Target="../media/image366.png"/><Relationship Id="rId21" Type="http://schemas.openxmlformats.org/officeDocument/2006/relationships/image" Target="../media/image379.png"/><Relationship Id="rId24" Type="http://schemas.openxmlformats.org/officeDocument/2006/relationships/image" Target="../media/image354.png"/><Relationship Id="rId23" Type="http://schemas.openxmlformats.org/officeDocument/2006/relationships/image" Target="../media/image397.png"/><Relationship Id="rId26" Type="http://schemas.openxmlformats.org/officeDocument/2006/relationships/image" Target="../media/image360.png"/><Relationship Id="rId25" Type="http://schemas.openxmlformats.org/officeDocument/2006/relationships/image" Target="../media/image407.png"/><Relationship Id="rId28" Type="http://schemas.openxmlformats.org/officeDocument/2006/relationships/image" Target="../media/image365.png"/><Relationship Id="rId27" Type="http://schemas.openxmlformats.org/officeDocument/2006/relationships/image" Target="../media/image363.png"/><Relationship Id="rId29" Type="http://schemas.openxmlformats.org/officeDocument/2006/relationships/image" Target="../media/image352.png"/><Relationship Id="rId11" Type="http://schemas.openxmlformats.org/officeDocument/2006/relationships/image" Target="../media/image343.png"/><Relationship Id="rId10" Type="http://schemas.openxmlformats.org/officeDocument/2006/relationships/image" Target="../media/image344.png"/><Relationship Id="rId13" Type="http://schemas.openxmlformats.org/officeDocument/2006/relationships/image" Target="../media/image342.png"/><Relationship Id="rId12" Type="http://schemas.openxmlformats.org/officeDocument/2006/relationships/image" Target="../media/image340.png"/><Relationship Id="rId15" Type="http://schemas.openxmlformats.org/officeDocument/2006/relationships/image" Target="../media/image376.png"/><Relationship Id="rId14" Type="http://schemas.openxmlformats.org/officeDocument/2006/relationships/image" Target="../media/image345.png"/><Relationship Id="rId17" Type="http://schemas.openxmlformats.org/officeDocument/2006/relationships/image" Target="../media/image350.png"/><Relationship Id="rId16" Type="http://schemas.openxmlformats.org/officeDocument/2006/relationships/image" Target="../media/image347.png"/><Relationship Id="rId19" Type="http://schemas.openxmlformats.org/officeDocument/2006/relationships/image" Target="../media/image348.png"/><Relationship Id="rId18" Type="http://schemas.openxmlformats.org/officeDocument/2006/relationships/image" Target="../media/image349.png"/><Relationship Id="rId84" Type="http://schemas.openxmlformats.org/officeDocument/2006/relationships/image" Target="../media/image409.png"/><Relationship Id="rId83" Type="http://schemas.openxmlformats.org/officeDocument/2006/relationships/image" Target="../media/image491.png"/><Relationship Id="rId86" Type="http://schemas.openxmlformats.org/officeDocument/2006/relationships/image" Target="../media/image438.png"/><Relationship Id="rId85" Type="http://schemas.openxmlformats.org/officeDocument/2006/relationships/image" Target="../media/image410.png"/><Relationship Id="rId88" Type="http://schemas.openxmlformats.org/officeDocument/2006/relationships/image" Target="../media/image414.png"/><Relationship Id="rId87" Type="http://schemas.openxmlformats.org/officeDocument/2006/relationships/image" Target="../media/image416.png"/><Relationship Id="rId89" Type="http://schemas.openxmlformats.org/officeDocument/2006/relationships/image" Target="../media/image424.png"/><Relationship Id="rId80" Type="http://schemas.openxmlformats.org/officeDocument/2006/relationships/image" Target="../media/image419.png"/><Relationship Id="rId82" Type="http://schemas.openxmlformats.org/officeDocument/2006/relationships/image" Target="../media/image415.png"/><Relationship Id="rId81" Type="http://schemas.openxmlformats.org/officeDocument/2006/relationships/image" Target="../media/image433.png"/><Relationship Id="rId1" Type="http://schemas.openxmlformats.org/officeDocument/2006/relationships/image" Target="../media/image339.png"/><Relationship Id="rId2" Type="http://schemas.openxmlformats.org/officeDocument/2006/relationships/image" Target="../media/image346.png"/><Relationship Id="rId3" Type="http://schemas.openxmlformats.org/officeDocument/2006/relationships/image" Target="../media/image336.png"/><Relationship Id="rId4" Type="http://schemas.openxmlformats.org/officeDocument/2006/relationships/image" Target="../media/image353.png"/><Relationship Id="rId9" Type="http://schemas.openxmlformats.org/officeDocument/2006/relationships/image" Target="../media/image338.png"/><Relationship Id="rId5" Type="http://schemas.openxmlformats.org/officeDocument/2006/relationships/image" Target="../media/image335.png"/><Relationship Id="rId6" Type="http://schemas.openxmlformats.org/officeDocument/2006/relationships/image" Target="../media/image333.png"/><Relationship Id="rId7" Type="http://schemas.openxmlformats.org/officeDocument/2006/relationships/image" Target="../media/image334.png"/><Relationship Id="rId8" Type="http://schemas.openxmlformats.org/officeDocument/2006/relationships/image" Target="../media/image337.png"/><Relationship Id="rId73" Type="http://schemas.openxmlformats.org/officeDocument/2006/relationships/image" Target="../media/image393.jpg"/><Relationship Id="rId72" Type="http://schemas.openxmlformats.org/officeDocument/2006/relationships/image" Target="../media/image395.png"/><Relationship Id="rId75" Type="http://schemas.openxmlformats.org/officeDocument/2006/relationships/image" Target="../media/image418.png"/><Relationship Id="rId74" Type="http://schemas.openxmlformats.org/officeDocument/2006/relationships/image" Target="../media/image394.png"/><Relationship Id="rId77" Type="http://schemas.openxmlformats.org/officeDocument/2006/relationships/image" Target="../media/image576.png"/><Relationship Id="rId76" Type="http://schemas.openxmlformats.org/officeDocument/2006/relationships/image" Target="../media/image400.png"/><Relationship Id="rId79" Type="http://schemas.openxmlformats.org/officeDocument/2006/relationships/image" Target="../media/image399.png"/><Relationship Id="rId78" Type="http://schemas.openxmlformats.org/officeDocument/2006/relationships/image" Target="../media/image406.png"/><Relationship Id="rId71" Type="http://schemas.openxmlformats.org/officeDocument/2006/relationships/image" Target="../media/image578.png"/><Relationship Id="rId70" Type="http://schemas.openxmlformats.org/officeDocument/2006/relationships/image" Target="../media/image392.png"/><Relationship Id="rId62" Type="http://schemas.openxmlformats.org/officeDocument/2006/relationships/image" Target="../media/image381.png"/><Relationship Id="rId61" Type="http://schemas.openxmlformats.org/officeDocument/2006/relationships/image" Target="../media/image377.png"/><Relationship Id="rId64" Type="http://schemas.openxmlformats.org/officeDocument/2006/relationships/image" Target="../media/image389.png"/><Relationship Id="rId63" Type="http://schemas.openxmlformats.org/officeDocument/2006/relationships/image" Target="../media/image390.png"/><Relationship Id="rId66" Type="http://schemas.openxmlformats.org/officeDocument/2006/relationships/image" Target="../media/image19.jpg"/><Relationship Id="rId65" Type="http://schemas.openxmlformats.org/officeDocument/2006/relationships/image" Target="../media/image380.jpg"/><Relationship Id="rId68" Type="http://schemas.openxmlformats.org/officeDocument/2006/relationships/image" Target="../media/image396.png"/><Relationship Id="rId67" Type="http://schemas.openxmlformats.org/officeDocument/2006/relationships/image" Target="../media/image421.png"/><Relationship Id="rId60" Type="http://schemas.openxmlformats.org/officeDocument/2006/relationships/image" Target="../media/image386.png"/><Relationship Id="rId69" Type="http://schemas.openxmlformats.org/officeDocument/2006/relationships/image" Target="../media/image391.png"/><Relationship Id="rId51" Type="http://schemas.openxmlformats.org/officeDocument/2006/relationships/image" Target="../media/image382.png"/><Relationship Id="rId50" Type="http://schemas.openxmlformats.org/officeDocument/2006/relationships/image" Target="../media/image384.png"/><Relationship Id="rId53" Type="http://schemas.openxmlformats.org/officeDocument/2006/relationships/image" Target="../media/image378.png"/><Relationship Id="rId52" Type="http://schemas.openxmlformats.org/officeDocument/2006/relationships/image" Target="../media/image369.png"/><Relationship Id="rId55" Type="http://schemas.openxmlformats.org/officeDocument/2006/relationships/image" Target="../media/image372.png"/><Relationship Id="rId54" Type="http://schemas.openxmlformats.org/officeDocument/2006/relationships/image" Target="../media/image375.png"/><Relationship Id="rId57" Type="http://schemas.openxmlformats.org/officeDocument/2006/relationships/image" Target="../media/image370.png"/><Relationship Id="rId56" Type="http://schemas.openxmlformats.org/officeDocument/2006/relationships/image" Target="../media/image373.png"/><Relationship Id="rId59" Type="http://schemas.openxmlformats.org/officeDocument/2006/relationships/image" Target="../media/image383.png"/><Relationship Id="rId58" Type="http://schemas.openxmlformats.org/officeDocument/2006/relationships/image" Target="../media/image385.png"/><Relationship Id="rId101" Type="http://schemas.openxmlformats.org/officeDocument/2006/relationships/image" Target="../media/image456.png"/><Relationship Id="rId100" Type="http://schemas.openxmlformats.org/officeDocument/2006/relationships/image" Target="../media/image432.png"/><Relationship Id="rId95" Type="http://schemas.openxmlformats.org/officeDocument/2006/relationships/image" Target="../media/image422.png"/><Relationship Id="rId94" Type="http://schemas.openxmlformats.org/officeDocument/2006/relationships/image" Target="../media/image430.png"/><Relationship Id="rId97" Type="http://schemas.openxmlformats.org/officeDocument/2006/relationships/image" Target="../media/image429.png"/><Relationship Id="rId96" Type="http://schemas.openxmlformats.org/officeDocument/2006/relationships/image" Target="../media/image431.png"/><Relationship Id="rId99" Type="http://schemas.openxmlformats.org/officeDocument/2006/relationships/image" Target="../media/image434.png"/><Relationship Id="rId98" Type="http://schemas.openxmlformats.org/officeDocument/2006/relationships/image" Target="../media/image450.png"/><Relationship Id="rId91" Type="http://schemas.openxmlformats.org/officeDocument/2006/relationships/image" Target="../media/image423.png"/><Relationship Id="rId90" Type="http://schemas.openxmlformats.org/officeDocument/2006/relationships/image" Target="../media/image425.png"/><Relationship Id="rId93" Type="http://schemas.openxmlformats.org/officeDocument/2006/relationships/image" Target="../media/image428.png"/><Relationship Id="rId92" Type="http://schemas.openxmlformats.org/officeDocument/2006/relationships/image" Target="../media/image427.png"/></Relationships>
</file>

<file path=xl/drawings/_rels/drawing8.xml.rels><?xml version="1.0" encoding="UTF-8" standalone="yes"?><Relationships xmlns="http://schemas.openxmlformats.org/package/2006/relationships"><Relationship Id="rId40" Type="http://schemas.openxmlformats.org/officeDocument/2006/relationships/image" Target="../media/image348.png"/><Relationship Id="rId42" Type="http://schemas.openxmlformats.org/officeDocument/2006/relationships/image" Target="../media/image403.jpg"/><Relationship Id="rId41" Type="http://schemas.openxmlformats.org/officeDocument/2006/relationships/image" Target="../media/image52.jpg"/><Relationship Id="rId44" Type="http://schemas.openxmlformats.org/officeDocument/2006/relationships/image" Target="../media/image444.jpg"/><Relationship Id="rId43" Type="http://schemas.openxmlformats.org/officeDocument/2006/relationships/image" Target="../media/image390.png"/><Relationship Id="rId46" Type="http://schemas.openxmlformats.org/officeDocument/2006/relationships/image" Target="../media/image416.png"/><Relationship Id="rId45" Type="http://schemas.openxmlformats.org/officeDocument/2006/relationships/image" Target="../media/image419.png"/><Relationship Id="rId48" Type="http://schemas.openxmlformats.org/officeDocument/2006/relationships/image" Target="../media/image108.jpg"/><Relationship Id="rId47" Type="http://schemas.openxmlformats.org/officeDocument/2006/relationships/image" Target="../media/image34.jpg"/><Relationship Id="rId49" Type="http://schemas.openxmlformats.org/officeDocument/2006/relationships/image" Target="../media/image400.png"/><Relationship Id="rId31" Type="http://schemas.openxmlformats.org/officeDocument/2006/relationships/image" Target="../media/image345.png"/><Relationship Id="rId30" Type="http://schemas.openxmlformats.org/officeDocument/2006/relationships/image" Target="../media/image306.jpg"/><Relationship Id="rId33" Type="http://schemas.openxmlformats.org/officeDocument/2006/relationships/image" Target="../media/image3.jpg"/><Relationship Id="rId32" Type="http://schemas.openxmlformats.org/officeDocument/2006/relationships/image" Target="../media/image379.png"/><Relationship Id="rId35" Type="http://schemas.openxmlformats.org/officeDocument/2006/relationships/image" Target="../media/image434.png"/><Relationship Id="rId34" Type="http://schemas.openxmlformats.org/officeDocument/2006/relationships/image" Target="../media/image354.png"/><Relationship Id="rId37" Type="http://schemas.openxmlformats.org/officeDocument/2006/relationships/image" Target="../media/image337.png"/><Relationship Id="rId36" Type="http://schemas.openxmlformats.org/officeDocument/2006/relationships/image" Target="../media/image44.jpg"/><Relationship Id="rId39" Type="http://schemas.openxmlformats.org/officeDocument/2006/relationships/image" Target="../media/image438.png"/><Relationship Id="rId38" Type="http://schemas.openxmlformats.org/officeDocument/2006/relationships/image" Target="../media/image406.png"/><Relationship Id="rId20" Type="http://schemas.openxmlformats.org/officeDocument/2006/relationships/image" Target="../media/image396.png"/><Relationship Id="rId22" Type="http://schemas.openxmlformats.org/officeDocument/2006/relationships/image" Target="../media/image72.jpg"/><Relationship Id="rId21" Type="http://schemas.openxmlformats.org/officeDocument/2006/relationships/image" Target="../media/image422.png"/><Relationship Id="rId24" Type="http://schemas.openxmlformats.org/officeDocument/2006/relationships/image" Target="../media/image211.jpg"/><Relationship Id="rId23" Type="http://schemas.openxmlformats.org/officeDocument/2006/relationships/image" Target="../media/image366.png"/><Relationship Id="rId26" Type="http://schemas.openxmlformats.org/officeDocument/2006/relationships/image" Target="../media/image69.jpg"/><Relationship Id="rId25" Type="http://schemas.openxmlformats.org/officeDocument/2006/relationships/image" Target="../media/image456.png"/><Relationship Id="rId28" Type="http://schemas.openxmlformats.org/officeDocument/2006/relationships/image" Target="../media/image338.png"/><Relationship Id="rId27" Type="http://schemas.openxmlformats.org/officeDocument/2006/relationships/image" Target="../media/image307.png"/><Relationship Id="rId29" Type="http://schemas.openxmlformats.org/officeDocument/2006/relationships/image" Target="../media/image80.jpg"/><Relationship Id="rId11" Type="http://schemas.openxmlformats.org/officeDocument/2006/relationships/image" Target="../media/image349.png"/><Relationship Id="rId10" Type="http://schemas.openxmlformats.org/officeDocument/2006/relationships/image" Target="../media/image428.png"/><Relationship Id="rId13" Type="http://schemas.openxmlformats.org/officeDocument/2006/relationships/image" Target="../media/image161.jpg"/><Relationship Id="rId12" Type="http://schemas.openxmlformats.org/officeDocument/2006/relationships/image" Target="../media/image102.jpg"/><Relationship Id="rId15" Type="http://schemas.openxmlformats.org/officeDocument/2006/relationships/image" Target="../media/image334.png"/><Relationship Id="rId14" Type="http://schemas.openxmlformats.org/officeDocument/2006/relationships/image" Target="../media/image215.jpg"/><Relationship Id="rId17" Type="http://schemas.openxmlformats.org/officeDocument/2006/relationships/image" Target="../media/image415.png"/><Relationship Id="rId16" Type="http://schemas.openxmlformats.org/officeDocument/2006/relationships/image" Target="../media/image424.png"/><Relationship Id="rId19" Type="http://schemas.openxmlformats.org/officeDocument/2006/relationships/image" Target="../media/image283.jpg"/><Relationship Id="rId18" Type="http://schemas.openxmlformats.org/officeDocument/2006/relationships/image" Target="../media/image63.jpg"/><Relationship Id="rId1" Type="http://schemas.openxmlformats.org/officeDocument/2006/relationships/image" Target="../media/image407.png"/><Relationship Id="rId2" Type="http://schemas.openxmlformats.org/officeDocument/2006/relationships/image" Target="../media/image442.png"/><Relationship Id="rId3" Type="http://schemas.openxmlformats.org/officeDocument/2006/relationships/image" Target="../media/image360.png"/><Relationship Id="rId4" Type="http://schemas.openxmlformats.org/officeDocument/2006/relationships/image" Target="../media/image344.png"/><Relationship Id="rId9" Type="http://schemas.openxmlformats.org/officeDocument/2006/relationships/image" Target="../media/image363.png"/><Relationship Id="rId5" Type="http://schemas.openxmlformats.org/officeDocument/2006/relationships/image" Target="../media/image24.jpg"/><Relationship Id="rId6" Type="http://schemas.openxmlformats.org/officeDocument/2006/relationships/image" Target="../media/image412.jpg"/><Relationship Id="rId7" Type="http://schemas.openxmlformats.org/officeDocument/2006/relationships/image" Target="../media/image117.jpg"/><Relationship Id="rId8" Type="http://schemas.openxmlformats.org/officeDocument/2006/relationships/image" Target="../media/image374.png"/><Relationship Id="rId51" Type="http://schemas.openxmlformats.org/officeDocument/2006/relationships/image" Target="../media/image376.png"/><Relationship Id="rId50" Type="http://schemas.openxmlformats.org/officeDocument/2006/relationships/image" Target="../media/image432.png"/><Relationship Id="rId53" Type="http://schemas.openxmlformats.org/officeDocument/2006/relationships/image" Target="../media/image414.png"/><Relationship Id="rId52" Type="http://schemas.openxmlformats.org/officeDocument/2006/relationships/image" Target="../media/image48.jpg"/><Relationship Id="rId55" Type="http://schemas.openxmlformats.org/officeDocument/2006/relationships/image" Target="../media/image491.png"/><Relationship Id="rId54" Type="http://schemas.openxmlformats.org/officeDocument/2006/relationships/image" Target="../media/image26.jpg"/></Relationships>
</file>

<file path=xl/drawings/_rels/drawing9.xml.rels><?xml version="1.0" encoding="UTF-8" standalone="yes"?><Relationships xmlns="http://schemas.openxmlformats.org/package/2006/relationships"><Relationship Id="rId20" Type="http://schemas.openxmlformats.org/officeDocument/2006/relationships/image" Target="../media/image166.jpg"/><Relationship Id="rId22" Type="http://schemas.openxmlformats.org/officeDocument/2006/relationships/image" Target="../media/image147.jpg"/><Relationship Id="rId21" Type="http://schemas.openxmlformats.org/officeDocument/2006/relationships/image" Target="../media/image162.jpg"/><Relationship Id="rId24" Type="http://schemas.openxmlformats.org/officeDocument/2006/relationships/image" Target="../media/image21.jpg"/><Relationship Id="rId23" Type="http://schemas.openxmlformats.org/officeDocument/2006/relationships/image" Target="../media/image8.jpg"/><Relationship Id="rId26" Type="http://schemas.openxmlformats.org/officeDocument/2006/relationships/image" Target="../media/image3.jpg"/><Relationship Id="rId25" Type="http://schemas.openxmlformats.org/officeDocument/2006/relationships/image" Target="../media/image315.jpg"/><Relationship Id="rId28" Type="http://schemas.openxmlformats.org/officeDocument/2006/relationships/image" Target="../media/image312.jpg"/><Relationship Id="rId27" Type="http://schemas.openxmlformats.org/officeDocument/2006/relationships/image" Target="../media/image460.jpg"/><Relationship Id="rId11" Type="http://schemas.openxmlformats.org/officeDocument/2006/relationships/image" Target="../media/image28.jpg"/><Relationship Id="rId10" Type="http://schemas.openxmlformats.org/officeDocument/2006/relationships/image" Target="../media/image12.jpg"/><Relationship Id="rId13" Type="http://schemas.openxmlformats.org/officeDocument/2006/relationships/image" Target="../media/image457.jpg"/><Relationship Id="rId12" Type="http://schemas.openxmlformats.org/officeDocument/2006/relationships/image" Target="../media/image108.jpg"/><Relationship Id="rId15" Type="http://schemas.openxmlformats.org/officeDocument/2006/relationships/image" Target="../media/image453.jpg"/><Relationship Id="rId14" Type="http://schemas.openxmlformats.org/officeDocument/2006/relationships/image" Target="../media/image6.jpg"/><Relationship Id="rId17" Type="http://schemas.openxmlformats.org/officeDocument/2006/relationships/image" Target="../media/image229.jpg"/><Relationship Id="rId16" Type="http://schemas.openxmlformats.org/officeDocument/2006/relationships/image" Target="../media/image451.jpg"/><Relationship Id="rId19" Type="http://schemas.openxmlformats.org/officeDocument/2006/relationships/image" Target="../media/image301.jpg"/><Relationship Id="rId18" Type="http://schemas.openxmlformats.org/officeDocument/2006/relationships/image" Target="../media/image454.jpg"/><Relationship Id="rId1" Type="http://schemas.openxmlformats.org/officeDocument/2006/relationships/image" Target="../media/image443.png"/><Relationship Id="rId2" Type="http://schemas.openxmlformats.org/officeDocument/2006/relationships/image" Target="../media/image449.png"/><Relationship Id="rId3" Type="http://schemas.openxmlformats.org/officeDocument/2006/relationships/image" Target="../media/image447.png"/><Relationship Id="rId4" Type="http://schemas.openxmlformats.org/officeDocument/2006/relationships/image" Target="../media/image437.png"/><Relationship Id="rId9" Type="http://schemas.openxmlformats.org/officeDocument/2006/relationships/image" Target="../media/image445.jpg"/><Relationship Id="rId5" Type="http://schemas.openxmlformats.org/officeDocument/2006/relationships/image" Target="../media/image502.png"/><Relationship Id="rId6" Type="http://schemas.openxmlformats.org/officeDocument/2006/relationships/image" Target="../media/image197.jpg"/><Relationship Id="rId7" Type="http://schemas.openxmlformats.org/officeDocument/2006/relationships/image" Target="../media/image440.jpg"/><Relationship Id="rId8" Type="http://schemas.openxmlformats.org/officeDocument/2006/relationships/image" Target="../media/image129.jp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40" Type="http://schemas.openxmlformats.org/officeDocument/2006/relationships/image" Target="../media/image591.jpg"/><Relationship Id="rId42" Type="http://schemas.openxmlformats.org/officeDocument/2006/relationships/image" Target="../media/image12.jpg"/><Relationship Id="rId41" Type="http://schemas.openxmlformats.org/officeDocument/2006/relationships/image" Target="../media/image311.jpg"/><Relationship Id="rId44" Type="http://schemas.openxmlformats.org/officeDocument/2006/relationships/image" Target="../media/image153.jpg"/><Relationship Id="rId43" Type="http://schemas.openxmlformats.org/officeDocument/2006/relationships/image" Target="../media/image142.jpg"/><Relationship Id="rId46" Type="http://schemas.openxmlformats.org/officeDocument/2006/relationships/image" Target="../media/image481.jpg"/><Relationship Id="rId45" Type="http://schemas.openxmlformats.org/officeDocument/2006/relationships/image" Target="../media/image299.jpg"/><Relationship Id="rId48" Type="http://schemas.openxmlformats.org/officeDocument/2006/relationships/image" Target="../media/image175.jpg"/><Relationship Id="rId47" Type="http://schemas.openxmlformats.org/officeDocument/2006/relationships/image" Target="../media/image478.jpg"/><Relationship Id="rId49" Type="http://schemas.openxmlformats.org/officeDocument/2006/relationships/image" Target="../media/image348.png"/><Relationship Id="rId31" Type="http://schemas.openxmlformats.org/officeDocument/2006/relationships/image" Target="../media/image211.jpg"/><Relationship Id="rId30" Type="http://schemas.openxmlformats.org/officeDocument/2006/relationships/image" Target="../media/image6.jpg"/><Relationship Id="rId33" Type="http://schemas.openxmlformats.org/officeDocument/2006/relationships/image" Target="../media/image271.jpg"/><Relationship Id="rId32" Type="http://schemas.openxmlformats.org/officeDocument/2006/relationships/image" Target="../media/image555.jpg"/><Relationship Id="rId35" Type="http://schemas.openxmlformats.org/officeDocument/2006/relationships/image" Target="../media/image15.jpg"/><Relationship Id="rId34" Type="http://schemas.openxmlformats.org/officeDocument/2006/relationships/image" Target="../media/image197.jpg"/><Relationship Id="rId37" Type="http://schemas.openxmlformats.org/officeDocument/2006/relationships/image" Target="../media/image258.jpg"/><Relationship Id="rId36" Type="http://schemas.openxmlformats.org/officeDocument/2006/relationships/image" Target="../media/image241.jpg"/><Relationship Id="rId39" Type="http://schemas.openxmlformats.org/officeDocument/2006/relationships/image" Target="../media/image50.jpg"/><Relationship Id="rId174" Type="http://schemas.openxmlformats.org/officeDocument/2006/relationships/image" Target="../media/image3.jpg"/><Relationship Id="rId38" Type="http://schemas.openxmlformats.org/officeDocument/2006/relationships/image" Target="../media/image298.jpg"/><Relationship Id="rId173" Type="http://schemas.openxmlformats.org/officeDocument/2006/relationships/image" Target="../media/image394.png"/><Relationship Id="rId20" Type="http://schemas.openxmlformats.org/officeDocument/2006/relationships/image" Target="../media/image288.jpg"/><Relationship Id="rId22" Type="http://schemas.openxmlformats.org/officeDocument/2006/relationships/image" Target="../media/image145.jpg"/><Relationship Id="rId21" Type="http://schemas.openxmlformats.org/officeDocument/2006/relationships/image" Target="../media/image345.png"/><Relationship Id="rId24" Type="http://schemas.openxmlformats.org/officeDocument/2006/relationships/image" Target="../media/image40.jpg"/><Relationship Id="rId23" Type="http://schemas.openxmlformats.org/officeDocument/2006/relationships/image" Target="../media/image349.png"/><Relationship Id="rId26" Type="http://schemas.openxmlformats.org/officeDocument/2006/relationships/image" Target="../media/image133.jpg"/><Relationship Id="rId25" Type="http://schemas.openxmlformats.org/officeDocument/2006/relationships/image" Target="../media/image474.jpg"/><Relationship Id="rId28" Type="http://schemas.openxmlformats.org/officeDocument/2006/relationships/image" Target="../media/image453.jpg"/><Relationship Id="rId27" Type="http://schemas.openxmlformats.org/officeDocument/2006/relationships/image" Target="../media/image47.jpg"/><Relationship Id="rId29" Type="http://schemas.openxmlformats.org/officeDocument/2006/relationships/image" Target="../media/image560.jpg"/><Relationship Id="rId11" Type="http://schemas.openxmlformats.org/officeDocument/2006/relationships/image" Target="../media/image312.jpg"/><Relationship Id="rId10" Type="http://schemas.openxmlformats.org/officeDocument/2006/relationships/image" Target="../media/image301.jpg"/><Relationship Id="rId13" Type="http://schemas.openxmlformats.org/officeDocument/2006/relationships/image" Target="../media/image51.jpg"/><Relationship Id="rId12" Type="http://schemas.openxmlformats.org/officeDocument/2006/relationships/image" Target="../media/image483.jpg"/><Relationship Id="rId15" Type="http://schemas.openxmlformats.org/officeDocument/2006/relationships/image" Target="../media/image229.jpg"/><Relationship Id="rId14" Type="http://schemas.openxmlformats.org/officeDocument/2006/relationships/image" Target="../media/image315.jpg"/><Relationship Id="rId17" Type="http://schemas.openxmlformats.org/officeDocument/2006/relationships/image" Target="../media/image426.jpg"/><Relationship Id="rId16" Type="http://schemas.openxmlformats.org/officeDocument/2006/relationships/image" Target="../media/image71.jpg"/><Relationship Id="rId19" Type="http://schemas.openxmlformats.org/officeDocument/2006/relationships/image" Target="../media/image8.jpg"/><Relationship Id="rId18" Type="http://schemas.openxmlformats.org/officeDocument/2006/relationships/image" Target="../media/image41.jpg"/><Relationship Id="rId84" Type="http://schemas.openxmlformats.org/officeDocument/2006/relationships/image" Target="../media/image503.jpg"/><Relationship Id="rId83" Type="http://schemas.openxmlformats.org/officeDocument/2006/relationships/image" Target="../media/image26.jpg"/><Relationship Id="rId86" Type="http://schemas.openxmlformats.org/officeDocument/2006/relationships/image" Target="../media/image63.jpg"/><Relationship Id="rId85" Type="http://schemas.openxmlformats.org/officeDocument/2006/relationships/image" Target="../media/image292.jpg"/><Relationship Id="rId88" Type="http://schemas.openxmlformats.org/officeDocument/2006/relationships/image" Target="../media/image154.jpg"/><Relationship Id="rId150" Type="http://schemas.openxmlformats.org/officeDocument/2006/relationships/image" Target="../media/image105.jpg"/><Relationship Id="rId87" Type="http://schemas.openxmlformats.org/officeDocument/2006/relationships/image" Target="../media/image319.jpg"/><Relationship Id="rId89" Type="http://schemas.openxmlformats.org/officeDocument/2006/relationships/image" Target="../media/image505.jpg"/><Relationship Id="rId80" Type="http://schemas.openxmlformats.org/officeDocument/2006/relationships/image" Target="../media/image497.jpg"/><Relationship Id="rId82" Type="http://schemas.openxmlformats.org/officeDocument/2006/relationships/image" Target="../media/image10.jpg"/><Relationship Id="rId81" Type="http://schemas.openxmlformats.org/officeDocument/2006/relationships/image" Target="../media/image129.jpg"/><Relationship Id="rId1" Type="http://schemas.openxmlformats.org/officeDocument/2006/relationships/image" Target="../media/image476.jpg"/><Relationship Id="rId2" Type="http://schemas.openxmlformats.org/officeDocument/2006/relationships/image" Target="../media/image420.png"/><Relationship Id="rId3" Type="http://schemas.openxmlformats.org/officeDocument/2006/relationships/image" Target="../media/image108.jpg"/><Relationship Id="rId149" Type="http://schemas.openxmlformats.org/officeDocument/2006/relationships/image" Target="../media/image235.jpg"/><Relationship Id="rId4" Type="http://schemas.openxmlformats.org/officeDocument/2006/relationships/image" Target="../media/image120.jpg"/><Relationship Id="rId148" Type="http://schemas.openxmlformats.org/officeDocument/2006/relationships/image" Target="../media/image194.jpg"/><Relationship Id="rId9" Type="http://schemas.openxmlformats.org/officeDocument/2006/relationships/image" Target="../media/image333.png"/><Relationship Id="rId143" Type="http://schemas.openxmlformats.org/officeDocument/2006/relationships/image" Target="../media/image534.jpg"/><Relationship Id="rId142" Type="http://schemas.openxmlformats.org/officeDocument/2006/relationships/image" Target="../media/image93.jpg"/><Relationship Id="rId141" Type="http://schemas.openxmlformats.org/officeDocument/2006/relationships/image" Target="../media/image283.jpg"/><Relationship Id="rId140" Type="http://schemas.openxmlformats.org/officeDocument/2006/relationships/image" Target="../media/image533.jpg"/><Relationship Id="rId5" Type="http://schemas.openxmlformats.org/officeDocument/2006/relationships/image" Target="../media/image30.jpg"/><Relationship Id="rId147" Type="http://schemas.openxmlformats.org/officeDocument/2006/relationships/image" Target="../media/image163.jpg"/><Relationship Id="rId6" Type="http://schemas.openxmlformats.org/officeDocument/2006/relationships/image" Target="../media/image383.png"/><Relationship Id="rId146" Type="http://schemas.openxmlformats.org/officeDocument/2006/relationships/image" Target="../media/image247.jpg"/><Relationship Id="rId7" Type="http://schemas.openxmlformats.org/officeDocument/2006/relationships/image" Target="../media/image337.png"/><Relationship Id="rId145" Type="http://schemas.openxmlformats.org/officeDocument/2006/relationships/image" Target="../media/image279.jpg"/><Relationship Id="rId8" Type="http://schemas.openxmlformats.org/officeDocument/2006/relationships/image" Target="../media/image20.jpg"/><Relationship Id="rId144" Type="http://schemas.openxmlformats.org/officeDocument/2006/relationships/image" Target="../media/image123.jpg"/><Relationship Id="rId73" Type="http://schemas.openxmlformats.org/officeDocument/2006/relationships/image" Target="../media/image148.jpg"/><Relationship Id="rId72" Type="http://schemas.openxmlformats.org/officeDocument/2006/relationships/image" Target="../media/image48.jpg"/><Relationship Id="rId75" Type="http://schemas.openxmlformats.org/officeDocument/2006/relationships/image" Target="../media/image66.jpg"/><Relationship Id="rId74" Type="http://schemas.openxmlformats.org/officeDocument/2006/relationships/image" Target="../media/image116.jpg"/><Relationship Id="rId77" Type="http://schemas.openxmlformats.org/officeDocument/2006/relationships/image" Target="../media/image195.jpg"/><Relationship Id="rId76" Type="http://schemas.openxmlformats.org/officeDocument/2006/relationships/image" Target="../media/image565.jpg"/><Relationship Id="rId79" Type="http://schemas.openxmlformats.org/officeDocument/2006/relationships/image" Target="../media/image98.jpg"/><Relationship Id="rId78" Type="http://schemas.openxmlformats.org/officeDocument/2006/relationships/image" Target="../media/image500.jpg"/><Relationship Id="rId71" Type="http://schemas.openxmlformats.org/officeDocument/2006/relationships/image" Target="../media/image70.jpg"/><Relationship Id="rId70" Type="http://schemas.openxmlformats.org/officeDocument/2006/relationships/image" Target="../media/image305.jpg"/><Relationship Id="rId139" Type="http://schemas.openxmlformats.org/officeDocument/2006/relationships/image" Target="../media/image527.jpg"/><Relationship Id="rId138" Type="http://schemas.openxmlformats.org/officeDocument/2006/relationships/image" Target="../media/image186.jpg"/><Relationship Id="rId137" Type="http://schemas.openxmlformats.org/officeDocument/2006/relationships/image" Target="../media/image107.jpg"/><Relationship Id="rId132" Type="http://schemas.openxmlformats.org/officeDocument/2006/relationships/image" Target="../media/image205.jpg"/><Relationship Id="rId131" Type="http://schemas.openxmlformats.org/officeDocument/2006/relationships/image" Target="../media/image73.jpg"/><Relationship Id="rId130" Type="http://schemas.openxmlformats.org/officeDocument/2006/relationships/image" Target="../media/image130.jpg"/><Relationship Id="rId136" Type="http://schemas.openxmlformats.org/officeDocument/2006/relationships/image" Target="../media/image515.jpg"/><Relationship Id="rId135" Type="http://schemas.openxmlformats.org/officeDocument/2006/relationships/image" Target="../media/image125.jpg"/><Relationship Id="rId134" Type="http://schemas.openxmlformats.org/officeDocument/2006/relationships/image" Target="../media/image131.jpg"/><Relationship Id="rId133" Type="http://schemas.openxmlformats.org/officeDocument/2006/relationships/image" Target="../media/image268.jpg"/><Relationship Id="rId62" Type="http://schemas.openxmlformats.org/officeDocument/2006/relationships/image" Target="../media/image487.jpg"/><Relationship Id="rId61" Type="http://schemas.openxmlformats.org/officeDocument/2006/relationships/image" Target="../media/image306.jpg"/><Relationship Id="rId64" Type="http://schemas.openxmlformats.org/officeDocument/2006/relationships/image" Target="../media/image323.jpg"/><Relationship Id="rId63" Type="http://schemas.openxmlformats.org/officeDocument/2006/relationships/image" Target="../media/image296.jpg"/><Relationship Id="rId66" Type="http://schemas.openxmlformats.org/officeDocument/2006/relationships/image" Target="../media/image495.jpg"/><Relationship Id="rId172" Type="http://schemas.openxmlformats.org/officeDocument/2006/relationships/image" Target="../media/image578.png"/><Relationship Id="rId65" Type="http://schemas.openxmlformats.org/officeDocument/2006/relationships/image" Target="../media/image80.jpg"/><Relationship Id="rId171" Type="http://schemas.openxmlformats.org/officeDocument/2006/relationships/image" Target="../media/image590.png"/><Relationship Id="rId68" Type="http://schemas.openxmlformats.org/officeDocument/2006/relationships/image" Target="../media/image152.jpg"/><Relationship Id="rId170" Type="http://schemas.openxmlformats.org/officeDocument/2006/relationships/image" Target="../media/image102.jpg"/><Relationship Id="rId67" Type="http://schemas.openxmlformats.org/officeDocument/2006/relationships/image" Target="../media/image499.jpg"/><Relationship Id="rId60" Type="http://schemas.openxmlformats.org/officeDocument/2006/relationships/image" Target="../media/image341.jpg"/><Relationship Id="rId165" Type="http://schemas.openxmlformats.org/officeDocument/2006/relationships/image" Target="../media/image547.jpg"/><Relationship Id="rId69" Type="http://schemas.openxmlformats.org/officeDocument/2006/relationships/image" Target="../media/image160.jpg"/><Relationship Id="rId164" Type="http://schemas.openxmlformats.org/officeDocument/2006/relationships/image" Target="../media/image95.jpg"/><Relationship Id="rId163" Type="http://schemas.openxmlformats.org/officeDocument/2006/relationships/image" Target="../media/image176.jpg"/><Relationship Id="rId162" Type="http://schemas.openxmlformats.org/officeDocument/2006/relationships/image" Target="../media/image96.jpg"/><Relationship Id="rId169" Type="http://schemas.openxmlformats.org/officeDocument/2006/relationships/image" Target="../media/image390.png"/><Relationship Id="rId168" Type="http://schemas.openxmlformats.org/officeDocument/2006/relationships/image" Target="../media/image538.jpg"/><Relationship Id="rId167" Type="http://schemas.openxmlformats.org/officeDocument/2006/relationships/image" Target="../media/image239.jpg"/><Relationship Id="rId166" Type="http://schemas.openxmlformats.org/officeDocument/2006/relationships/image" Target="../media/image392.png"/><Relationship Id="rId51" Type="http://schemas.openxmlformats.org/officeDocument/2006/relationships/image" Target="../media/image24.jpg"/><Relationship Id="rId50" Type="http://schemas.openxmlformats.org/officeDocument/2006/relationships/image" Target="../media/image251.jpg"/><Relationship Id="rId53" Type="http://schemas.openxmlformats.org/officeDocument/2006/relationships/image" Target="../media/image38.jpg"/><Relationship Id="rId52" Type="http://schemas.openxmlformats.org/officeDocument/2006/relationships/image" Target="../media/image5.jpg"/><Relationship Id="rId55" Type="http://schemas.openxmlformats.org/officeDocument/2006/relationships/image" Target="../media/image88.jpg"/><Relationship Id="rId161" Type="http://schemas.openxmlformats.org/officeDocument/2006/relationships/image" Target="../media/image396.png"/><Relationship Id="rId54" Type="http://schemas.openxmlformats.org/officeDocument/2006/relationships/image" Target="../media/image496.jpg"/><Relationship Id="rId160" Type="http://schemas.openxmlformats.org/officeDocument/2006/relationships/image" Target="../media/image17.jpg"/><Relationship Id="rId57" Type="http://schemas.openxmlformats.org/officeDocument/2006/relationships/image" Target="../media/image60.jpg"/><Relationship Id="rId56" Type="http://schemas.openxmlformats.org/officeDocument/2006/relationships/image" Target="../media/image69.jpg"/><Relationship Id="rId159" Type="http://schemas.openxmlformats.org/officeDocument/2006/relationships/image" Target="../media/image52.jpg"/><Relationship Id="rId59" Type="http://schemas.openxmlformats.org/officeDocument/2006/relationships/image" Target="../media/image259.jpg"/><Relationship Id="rId154" Type="http://schemas.openxmlformats.org/officeDocument/2006/relationships/image" Target="../media/image111.jpg"/><Relationship Id="rId58" Type="http://schemas.openxmlformats.org/officeDocument/2006/relationships/image" Target="../media/image36.jpg"/><Relationship Id="rId153" Type="http://schemas.openxmlformats.org/officeDocument/2006/relationships/image" Target="../media/image602.jpg"/><Relationship Id="rId152" Type="http://schemas.openxmlformats.org/officeDocument/2006/relationships/image" Target="../media/image172.jpg"/><Relationship Id="rId151" Type="http://schemas.openxmlformats.org/officeDocument/2006/relationships/image" Target="../media/image232.jpg"/><Relationship Id="rId158" Type="http://schemas.openxmlformats.org/officeDocument/2006/relationships/image" Target="../media/image318.jpg"/><Relationship Id="rId157" Type="http://schemas.openxmlformats.org/officeDocument/2006/relationships/image" Target="../media/image112.jpg"/><Relationship Id="rId156" Type="http://schemas.openxmlformats.org/officeDocument/2006/relationships/image" Target="../media/image34.jpg"/><Relationship Id="rId155" Type="http://schemas.openxmlformats.org/officeDocument/2006/relationships/image" Target="../media/image191.jpg"/><Relationship Id="rId107" Type="http://schemas.openxmlformats.org/officeDocument/2006/relationships/image" Target="../media/image140.jpg"/><Relationship Id="rId106" Type="http://schemas.openxmlformats.org/officeDocument/2006/relationships/image" Target="../media/image144.jpg"/><Relationship Id="rId105" Type="http://schemas.openxmlformats.org/officeDocument/2006/relationships/image" Target="../media/image512.jpg"/><Relationship Id="rId104" Type="http://schemas.openxmlformats.org/officeDocument/2006/relationships/image" Target="../media/image127.jpg"/><Relationship Id="rId109" Type="http://schemas.openxmlformats.org/officeDocument/2006/relationships/image" Target="../media/image250.jpg"/><Relationship Id="rId108" Type="http://schemas.openxmlformats.org/officeDocument/2006/relationships/image" Target="../media/image167.jpg"/><Relationship Id="rId103" Type="http://schemas.openxmlformats.org/officeDocument/2006/relationships/image" Target="../media/image584.jpg"/><Relationship Id="rId102" Type="http://schemas.openxmlformats.org/officeDocument/2006/relationships/image" Target="../media/image25.jpg"/><Relationship Id="rId101" Type="http://schemas.openxmlformats.org/officeDocument/2006/relationships/image" Target="../media/image249.jpg"/><Relationship Id="rId100" Type="http://schemas.openxmlformats.org/officeDocument/2006/relationships/image" Target="../media/image569.jpg"/><Relationship Id="rId129" Type="http://schemas.openxmlformats.org/officeDocument/2006/relationships/image" Target="../media/image184.jpg"/><Relationship Id="rId128" Type="http://schemas.openxmlformats.org/officeDocument/2006/relationships/image" Target="../media/image110.jpg"/><Relationship Id="rId127" Type="http://schemas.openxmlformats.org/officeDocument/2006/relationships/image" Target="../media/image529.jpg"/><Relationship Id="rId126" Type="http://schemas.openxmlformats.org/officeDocument/2006/relationships/image" Target="../media/image310.jpg"/><Relationship Id="rId121" Type="http://schemas.openxmlformats.org/officeDocument/2006/relationships/image" Target="../media/image178.jpg"/><Relationship Id="rId120" Type="http://schemas.openxmlformats.org/officeDocument/2006/relationships/image" Target="../media/image517.jpg"/><Relationship Id="rId125" Type="http://schemas.openxmlformats.org/officeDocument/2006/relationships/image" Target="../media/image103.jpg"/><Relationship Id="rId124" Type="http://schemas.openxmlformats.org/officeDocument/2006/relationships/image" Target="../media/image215.jpg"/><Relationship Id="rId123" Type="http://schemas.openxmlformats.org/officeDocument/2006/relationships/image" Target="../media/image224.jpg"/><Relationship Id="rId122" Type="http://schemas.openxmlformats.org/officeDocument/2006/relationships/image" Target="../media/image132.jpg"/><Relationship Id="rId95" Type="http://schemas.openxmlformats.org/officeDocument/2006/relationships/image" Target="../media/image90.jpg"/><Relationship Id="rId94" Type="http://schemas.openxmlformats.org/officeDocument/2006/relationships/image" Target="../media/image18.jpg"/><Relationship Id="rId97" Type="http://schemas.openxmlformats.org/officeDocument/2006/relationships/image" Target="../media/image511.jpg"/><Relationship Id="rId96" Type="http://schemas.openxmlformats.org/officeDocument/2006/relationships/image" Target="../media/image507.jpg"/><Relationship Id="rId99" Type="http://schemas.openxmlformats.org/officeDocument/2006/relationships/image" Target="../media/image257.jpg"/><Relationship Id="rId98" Type="http://schemas.openxmlformats.org/officeDocument/2006/relationships/image" Target="../media/image506.jpg"/><Relationship Id="rId91" Type="http://schemas.openxmlformats.org/officeDocument/2006/relationships/image" Target="../media/image22.jpg"/><Relationship Id="rId90" Type="http://schemas.openxmlformats.org/officeDocument/2006/relationships/image" Target="../media/image28.jpg"/><Relationship Id="rId93" Type="http://schemas.openxmlformats.org/officeDocument/2006/relationships/image" Target="../media/image49.jpg"/><Relationship Id="rId92" Type="http://schemas.openxmlformats.org/officeDocument/2006/relationships/image" Target="../media/image227.jpg"/><Relationship Id="rId118" Type="http://schemas.openxmlformats.org/officeDocument/2006/relationships/image" Target="../media/image402.jpg"/><Relationship Id="rId117" Type="http://schemas.openxmlformats.org/officeDocument/2006/relationships/image" Target="../media/image44.jpg"/><Relationship Id="rId116" Type="http://schemas.openxmlformats.org/officeDocument/2006/relationships/image" Target="../media/image254.jpg"/><Relationship Id="rId115" Type="http://schemas.openxmlformats.org/officeDocument/2006/relationships/image" Target="../media/image619.jpg"/><Relationship Id="rId119" Type="http://schemas.openxmlformats.org/officeDocument/2006/relationships/image" Target="../media/image601.jpg"/><Relationship Id="rId110" Type="http://schemas.openxmlformats.org/officeDocument/2006/relationships/image" Target="../media/image303.jpg"/><Relationship Id="rId114" Type="http://schemas.openxmlformats.org/officeDocument/2006/relationships/image" Target="../media/image518.jpg"/><Relationship Id="rId113" Type="http://schemas.openxmlformats.org/officeDocument/2006/relationships/image" Target="../media/image403.jpg"/><Relationship Id="rId112" Type="http://schemas.openxmlformats.org/officeDocument/2006/relationships/image" Target="../media/image267.jpg"/><Relationship Id="rId111" Type="http://schemas.openxmlformats.org/officeDocument/2006/relationships/image" Target="../media/image219.jpg"/></Relationships>
</file>

<file path=xl/drawings/_rels/drawing12.xml.rels><?xml version="1.0" encoding="UTF-8" standalone="yes"?><Relationships xmlns="http://schemas.openxmlformats.org/package/2006/relationships"><Relationship Id="rId40" Type="http://schemas.openxmlformats.org/officeDocument/2006/relationships/image" Target="../media/image616.jpg"/><Relationship Id="rId42" Type="http://schemas.openxmlformats.org/officeDocument/2006/relationships/image" Target="../media/image429.png"/><Relationship Id="rId41" Type="http://schemas.openxmlformats.org/officeDocument/2006/relationships/image" Target="../media/image224.jpg"/><Relationship Id="rId44" Type="http://schemas.openxmlformats.org/officeDocument/2006/relationships/image" Target="../media/image160.jpg"/><Relationship Id="rId43" Type="http://schemas.openxmlformats.org/officeDocument/2006/relationships/image" Target="../media/image399.png"/><Relationship Id="rId46" Type="http://schemas.openxmlformats.org/officeDocument/2006/relationships/image" Target="../media/image576.png"/><Relationship Id="rId45" Type="http://schemas.openxmlformats.org/officeDocument/2006/relationships/image" Target="../media/image433.png"/><Relationship Id="rId48" Type="http://schemas.openxmlformats.org/officeDocument/2006/relationships/image" Target="../media/image580.jpg"/><Relationship Id="rId47" Type="http://schemas.openxmlformats.org/officeDocument/2006/relationships/image" Target="../media/image32.jpg"/><Relationship Id="rId49" Type="http://schemas.openxmlformats.org/officeDocument/2006/relationships/image" Target="../media/image114.jpg"/><Relationship Id="rId31" Type="http://schemas.openxmlformats.org/officeDocument/2006/relationships/image" Target="../media/image288.jpg"/><Relationship Id="rId30" Type="http://schemas.openxmlformats.org/officeDocument/2006/relationships/image" Target="../media/image271.jpg"/><Relationship Id="rId33" Type="http://schemas.openxmlformats.org/officeDocument/2006/relationships/image" Target="../media/image7.jpg"/><Relationship Id="rId32" Type="http://schemas.openxmlformats.org/officeDocument/2006/relationships/image" Target="../media/image603.jpg"/><Relationship Id="rId35" Type="http://schemas.openxmlformats.org/officeDocument/2006/relationships/image" Target="../media/image176.jpg"/><Relationship Id="rId34" Type="http://schemas.openxmlformats.org/officeDocument/2006/relationships/image" Target="../media/image438.png"/><Relationship Id="rId37" Type="http://schemas.openxmlformats.org/officeDocument/2006/relationships/image" Target="../media/image419.png"/><Relationship Id="rId36" Type="http://schemas.openxmlformats.org/officeDocument/2006/relationships/image" Target="../media/image450.png"/><Relationship Id="rId39" Type="http://schemas.openxmlformats.org/officeDocument/2006/relationships/image" Target="../media/image330.jpg"/><Relationship Id="rId38" Type="http://schemas.openxmlformats.org/officeDocument/2006/relationships/image" Target="../media/image355.png"/><Relationship Id="rId20" Type="http://schemas.openxmlformats.org/officeDocument/2006/relationships/image" Target="../media/image298.jpg"/><Relationship Id="rId22" Type="http://schemas.openxmlformats.org/officeDocument/2006/relationships/image" Target="../media/image47.jpg"/><Relationship Id="rId21" Type="http://schemas.openxmlformats.org/officeDocument/2006/relationships/image" Target="../media/image432.png"/><Relationship Id="rId24" Type="http://schemas.openxmlformats.org/officeDocument/2006/relationships/image" Target="../media/image39.jpg"/><Relationship Id="rId23" Type="http://schemas.openxmlformats.org/officeDocument/2006/relationships/image" Target="../media/image249.jpg"/><Relationship Id="rId26" Type="http://schemas.openxmlformats.org/officeDocument/2006/relationships/image" Target="../media/image366.png"/><Relationship Id="rId25" Type="http://schemas.openxmlformats.org/officeDocument/2006/relationships/image" Target="../media/image63.jpg"/><Relationship Id="rId28" Type="http://schemas.openxmlformats.org/officeDocument/2006/relationships/image" Target="../media/image251.jpg"/><Relationship Id="rId27" Type="http://schemas.openxmlformats.org/officeDocument/2006/relationships/image" Target="../media/image434.png"/><Relationship Id="rId29" Type="http://schemas.openxmlformats.org/officeDocument/2006/relationships/image" Target="../media/image483.jpg"/><Relationship Id="rId11" Type="http://schemas.openxmlformats.org/officeDocument/2006/relationships/image" Target="../media/image116.jpg"/><Relationship Id="rId10" Type="http://schemas.openxmlformats.org/officeDocument/2006/relationships/image" Target="../media/image414.png"/><Relationship Id="rId13" Type="http://schemas.openxmlformats.org/officeDocument/2006/relationships/image" Target="../media/image427.png"/><Relationship Id="rId12" Type="http://schemas.openxmlformats.org/officeDocument/2006/relationships/image" Target="../media/image162.jpg"/><Relationship Id="rId15" Type="http://schemas.openxmlformats.org/officeDocument/2006/relationships/image" Target="../media/image127.jpg"/><Relationship Id="rId14" Type="http://schemas.openxmlformats.org/officeDocument/2006/relationships/image" Target="../media/image20.jpg"/><Relationship Id="rId17" Type="http://schemas.openxmlformats.org/officeDocument/2006/relationships/image" Target="../media/image426.jpg"/><Relationship Id="rId16" Type="http://schemas.openxmlformats.org/officeDocument/2006/relationships/image" Target="../media/image491.png"/><Relationship Id="rId19" Type="http://schemas.openxmlformats.org/officeDocument/2006/relationships/image" Target="../media/image29.jpg"/><Relationship Id="rId18" Type="http://schemas.openxmlformats.org/officeDocument/2006/relationships/image" Target="../media/image46.jpg"/><Relationship Id="rId84" Type="http://schemas.openxmlformats.org/officeDocument/2006/relationships/image" Target="../media/image424.png"/><Relationship Id="rId83" Type="http://schemas.openxmlformats.org/officeDocument/2006/relationships/image" Target="../media/image404.png"/><Relationship Id="rId86" Type="http://schemas.openxmlformats.org/officeDocument/2006/relationships/image" Target="../media/image336.png"/><Relationship Id="rId85" Type="http://schemas.openxmlformats.org/officeDocument/2006/relationships/image" Target="../media/image346.png"/><Relationship Id="rId88" Type="http://schemas.openxmlformats.org/officeDocument/2006/relationships/image" Target="../media/image397.png"/><Relationship Id="rId87" Type="http://schemas.openxmlformats.org/officeDocument/2006/relationships/image" Target="../media/image337.png"/><Relationship Id="rId89" Type="http://schemas.openxmlformats.org/officeDocument/2006/relationships/image" Target="../media/image383.png"/><Relationship Id="rId80" Type="http://schemas.openxmlformats.org/officeDocument/2006/relationships/image" Target="../media/image73.jpg"/><Relationship Id="rId82" Type="http://schemas.openxmlformats.org/officeDocument/2006/relationships/image" Target="../media/image122.jpg"/><Relationship Id="rId81" Type="http://schemas.openxmlformats.org/officeDocument/2006/relationships/image" Target="../media/image333.png"/><Relationship Id="rId1" Type="http://schemas.openxmlformats.org/officeDocument/2006/relationships/image" Target="../media/image410.png"/><Relationship Id="rId2" Type="http://schemas.openxmlformats.org/officeDocument/2006/relationships/image" Target="../media/image8.jpg"/><Relationship Id="rId3" Type="http://schemas.openxmlformats.org/officeDocument/2006/relationships/image" Target="../media/image219.jpg"/><Relationship Id="rId4" Type="http://schemas.openxmlformats.org/officeDocument/2006/relationships/image" Target="../media/image28.jpg"/><Relationship Id="rId9" Type="http://schemas.openxmlformats.org/officeDocument/2006/relationships/image" Target="../media/image416.png"/><Relationship Id="rId5" Type="http://schemas.openxmlformats.org/officeDocument/2006/relationships/image" Target="../media/image476.jpg"/><Relationship Id="rId6" Type="http://schemas.openxmlformats.org/officeDocument/2006/relationships/image" Target="../media/image400.png"/><Relationship Id="rId7" Type="http://schemas.openxmlformats.org/officeDocument/2006/relationships/image" Target="../media/image229.jpg"/><Relationship Id="rId8" Type="http://schemas.openxmlformats.org/officeDocument/2006/relationships/image" Target="../media/image420.png"/><Relationship Id="rId73" Type="http://schemas.openxmlformats.org/officeDocument/2006/relationships/image" Target="../media/image376.png"/><Relationship Id="rId72" Type="http://schemas.openxmlformats.org/officeDocument/2006/relationships/image" Target="../media/image166.jpg"/><Relationship Id="rId75" Type="http://schemas.openxmlformats.org/officeDocument/2006/relationships/image" Target="../media/image415.png"/><Relationship Id="rId74" Type="http://schemas.openxmlformats.org/officeDocument/2006/relationships/image" Target="../media/image349.png"/><Relationship Id="rId77" Type="http://schemas.openxmlformats.org/officeDocument/2006/relationships/image" Target="../media/image22.jpg"/><Relationship Id="rId76" Type="http://schemas.openxmlformats.org/officeDocument/2006/relationships/image" Target="../media/image257.jpg"/><Relationship Id="rId79" Type="http://schemas.openxmlformats.org/officeDocument/2006/relationships/image" Target="../media/image12.jpg"/><Relationship Id="rId78" Type="http://schemas.openxmlformats.org/officeDocument/2006/relationships/image" Target="../media/image354.png"/><Relationship Id="rId71" Type="http://schemas.openxmlformats.org/officeDocument/2006/relationships/image" Target="../media/image19.jpg"/><Relationship Id="rId70" Type="http://schemas.openxmlformats.org/officeDocument/2006/relationships/image" Target="../media/image179.jpg"/><Relationship Id="rId62" Type="http://schemas.openxmlformats.org/officeDocument/2006/relationships/image" Target="../media/image422.png"/><Relationship Id="rId61" Type="http://schemas.openxmlformats.org/officeDocument/2006/relationships/image" Target="../media/image570.jpg"/><Relationship Id="rId64" Type="http://schemas.openxmlformats.org/officeDocument/2006/relationships/image" Target="../media/image431.png"/><Relationship Id="rId63" Type="http://schemas.openxmlformats.org/officeDocument/2006/relationships/image" Target="../media/image607.jpg"/><Relationship Id="rId66" Type="http://schemas.openxmlformats.org/officeDocument/2006/relationships/image" Target="../media/image154.jpg"/><Relationship Id="rId65" Type="http://schemas.openxmlformats.org/officeDocument/2006/relationships/image" Target="../media/image406.png"/><Relationship Id="rId68" Type="http://schemas.openxmlformats.org/officeDocument/2006/relationships/image" Target="../media/image497.jpg"/><Relationship Id="rId67" Type="http://schemas.openxmlformats.org/officeDocument/2006/relationships/image" Target="../media/image418.png"/><Relationship Id="rId60" Type="http://schemas.openxmlformats.org/officeDocument/2006/relationships/image" Target="../media/image601.jpg"/><Relationship Id="rId69" Type="http://schemas.openxmlformats.org/officeDocument/2006/relationships/image" Target="../media/image50.jpg"/><Relationship Id="rId51" Type="http://schemas.openxmlformats.org/officeDocument/2006/relationships/image" Target="../media/image38.jpg"/><Relationship Id="rId50" Type="http://schemas.openxmlformats.org/officeDocument/2006/relationships/image" Target="../media/image423.png"/><Relationship Id="rId53" Type="http://schemas.openxmlformats.org/officeDocument/2006/relationships/image" Target="../media/image40.jpg"/><Relationship Id="rId52" Type="http://schemas.openxmlformats.org/officeDocument/2006/relationships/image" Target="../media/image456.png"/><Relationship Id="rId55" Type="http://schemas.openxmlformats.org/officeDocument/2006/relationships/image" Target="../media/image342.png"/><Relationship Id="rId54" Type="http://schemas.openxmlformats.org/officeDocument/2006/relationships/image" Target="../media/image52.jpg"/><Relationship Id="rId57" Type="http://schemas.openxmlformats.org/officeDocument/2006/relationships/image" Target="../media/image163.jpg"/><Relationship Id="rId56" Type="http://schemas.openxmlformats.org/officeDocument/2006/relationships/image" Target="../media/image371.png"/><Relationship Id="rId59" Type="http://schemas.openxmlformats.org/officeDocument/2006/relationships/image" Target="../media/image430.png"/><Relationship Id="rId58" Type="http://schemas.openxmlformats.org/officeDocument/2006/relationships/image" Target="../media/image295.jpg"/><Relationship Id="rId106" Type="http://schemas.openxmlformats.org/officeDocument/2006/relationships/image" Target="../media/image3.jpg"/><Relationship Id="rId105" Type="http://schemas.openxmlformats.org/officeDocument/2006/relationships/image" Target="../media/image334.png"/><Relationship Id="rId104" Type="http://schemas.openxmlformats.org/officeDocument/2006/relationships/image" Target="../media/image102.jpg"/><Relationship Id="rId103" Type="http://schemas.openxmlformats.org/officeDocument/2006/relationships/image" Target="../media/image538.jpg"/><Relationship Id="rId102" Type="http://schemas.openxmlformats.org/officeDocument/2006/relationships/image" Target="../media/image344.png"/><Relationship Id="rId101" Type="http://schemas.openxmlformats.org/officeDocument/2006/relationships/image" Target="../media/image396.png"/><Relationship Id="rId100" Type="http://schemas.openxmlformats.org/officeDocument/2006/relationships/image" Target="../media/image363.png"/><Relationship Id="rId95" Type="http://schemas.openxmlformats.org/officeDocument/2006/relationships/image" Target="../media/image129.jpg"/><Relationship Id="rId94" Type="http://schemas.openxmlformats.org/officeDocument/2006/relationships/image" Target="../media/image360.png"/><Relationship Id="rId97" Type="http://schemas.openxmlformats.org/officeDocument/2006/relationships/image" Target="../media/image453.jpg"/><Relationship Id="rId96" Type="http://schemas.openxmlformats.org/officeDocument/2006/relationships/image" Target="../media/image34.jpg"/><Relationship Id="rId99" Type="http://schemas.openxmlformats.org/officeDocument/2006/relationships/image" Target="../media/image348.png"/><Relationship Id="rId98" Type="http://schemas.openxmlformats.org/officeDocument/2006/relationships/image" Target="../media/image365.png"/><Relationship Id="rId91" Type="http://schemas.openxmlformats.org/officeDocument/2006/relationships/image" Target="../media/image428.png"/><Relationship Id="rId90" Type="http://schemas.openxmlformats.org/officeDocument/2006/relationships/image" Target="../media/image48.jpg"/><Relationship Id="rId93" Type="http://schemas.openxmlformats.org/officeDocument/2006/relationships/image" Target="../media/image215.jpg"/><Relationship Id="rId92" Type="http://schemas.openxmlformats.org/officeDocument/2006/relationships/image" Target="../media/image345.png"/></Relationships>
</file>

<file path=xl/drawings/_rels/drawing13.xml.rels><?xml version="1.0" encoding="UTF-8" standalone="yes"?><Relationships xmlns="http://schemas.openxmlformats.org/package/2006/relationships"><Relationship Id="rId40" Type="http://schemas.openxmlformats.org/officeDocument/2006/relationships/image" Target="../media/image15.jpg"/><Relationship Id="rId42" Type="http://schemas.openxmlformats.org/officeDocument/2006/relationships/image" Target="../media/image271.jpg"/><Relationship Id="rId41" Type="http://schemas.openxmlformats.org/officeDocument/2006/relationships/image" Target="../media/image211.jpg"/><Relationship Id="rId44" Type="http://schemas.openxmlformats.org/officeDocument/2006/relationships/image" Target="../media/image175.jpg"/><Relationship Id="rId43" Type="http://schemas.openxmlformats.org/officeDocument/2006/relationships/image" Target="../media/image591.jpg"/><Relationship Id="rId46" Type="http://schemas.openxmlformats.org/officeDocument/2006/relationships/image" Target="../media/image50.jpg"/><Relationship Id="rId45" Type="http://schemas.openxmlformats.org/officeDocument/2006/relationships/image" Target="../media/image241.jpg"/><Relationship Id="rId48" Type="http://schemas.openxmlformats.org/officeDocument/2006/relationships/image" Target="../media/image311.jpg"/><Relationship Id="rId47" Type="http://schemas.openxmlformats.org/officeDocument/2006/relationships/image" Target="../media/image581.jpg"/><Relationship Id="rId49" Type="http://schemas.openxmlformats.org/officeDocument/2006/relationships/image" Target="../media/image142.jpg"/><Relationship Id="rId31" Type="http://schemas.openxmlformats.org/officeDocument/2006/relationships/image" Target="../media/image259.jpg"/><Relationship Id="rId30" Type="http://schemas.openxmlformats.org/officeDocument/2006/relationships/image" Target="../media/image453.jpg"/><Relationship Id="rId33" Type="http://schemas.openxmlformats.org/officeDocument/2006/relationships/image" Target="../media/image40.jpg"/><Relationship Id="rId32" Type="http://schemas.openxmlformats.org/officeDocument/2006/relationships/image" Target="../media/image298.jpg"/><Relationship Id="rId35" Type="http://schemas.openxmlformats.org/officeDocument/2006/relationships/image" Target="../media/image258.jpg"/><Relationship Id="rId34" Type="http://schemas.openxmlformats.org/officeDocument/2006/relationships/image" Target="../media/image474.jpg"/><Relationship Id="rId37" Type="http://schemas.openxmlformats.org/officeDocument/2006/relationships/image" Target="../media/image47.jpg"/><Relationship Id="rId36" Type="http://schemas.openxmlformats.org/officeDocument/2006/relationships/image" Target="../media/image133.jpg"/><Relationship Id="rId39" Type="http://schemas.openxmlformats.org/officeDocument/2006/relationships/image" Target="../media/image6.jpg"/><Relationship Id="rId38" Type="http://schemas.openxmlformats.org/officeDocument/2006/relationships/image" Target="../media/image560.jpg"/><Relationship Id="rId173" Type="http://schemas.openxmlformats.org/officeDocument/2006/relationships/image" Target="../media/image394.png"/><Relationship Id="rId20" Type="http://schemas.openxmlformats.org/officeDocument/2006/relationships/image" Target="../media/image229.jpg"/><Relationship Id="rId22" Type="http://schemas.openxmlformats.org/officeDocument/2006/relationships/image" Target="../media/image426.jpg"/><Relationship Id="rId21" Type="http://schemas.openxmlformats.org/officeDocument/2006/relationships/image" Target="../media/image496.jpg"/><Relationship Id="rId24" Type="http://schemas.openxmlformats.org/officeDocument/2006/relationships/image" Target="../media/image145.jpg"/><Relationship Id="rId23" Type="http://schemas.openxmlformats.org/officeDocument/2006/relationships/image" Target="../media/image41.jpg"/><Relationship Id="rId26" Type="http://schemas.openxmlformats.org/officeDocument/2006/relationships/image" Target="../media/image555.jpg"/><Relationship Id="rId25" Type="http://schemas.openxmlformats.org/officeDocument/2006/relationships/image" Target="../media/image12.jpg"/><Relationship Id="rId28" Type="http://schemas.openxmlformats.org/officeDocument/2006/relationships/image" Target="../media/image153.jpg"/><Relationship Id="rId27" Type="http://schemas.openxmlformats.org/officeDocument/2006/relationships/image" Target="../media/image345.png"/><Relationship Id="rId29" Type="http://schemas.openxmlformats.org/officeDocument/2006/relationships/image" Target="../media/image349.png"/><Relationship Id="rId11" Type="http://schemas.openxmlformats.org/officeDocument/2006/relationships/image" Target="../media/image71.jpg"/><Relationship Id="rId10" Type="http://schemas.openxmlformats.org/officeDocument/2006/relationships/image" Target="../media/image20.jpg"/><Relationship Id="rId13" Type="http://schemas.openxmlformats.org/officeDocument/2006/relationships/image" Target="../media/image3.jpg"/><Relationship Id="rId12" Type="http://schemas.openxmlformats.org/officeDocument/2006/relationships/image" Target="../media/image383.png"/><Relationship Id="rId15" Type="http://schemas.openxmlformats.org/officeDocument/2006/relationships/image" Target="../media/image333.png"/><Relationship Id="rId14" Type="http://schemas.openxmlformats.org/officeDocument/2006/relationships/image" Target="../media/image337.png"/><Relationship Id="rId17" Type="http://schemas.openxmlformats.org/officeDocument/2006/relationships/image" Target="../media/image288.jpg"/><Relationship Id="rId16" Type="http://schemas.openxmlformats.org/officeDocument/2006/relationships/image" Target="../media/image8.jpg"/><Relationship Id="rId19" Type="http://schemas.openxmlformats.org/officeDocument/2006/relationships/image" Target="../media/image312.jpg"/><Relationship Id="rId18" Type="http://schemas.openxmlformats.org/officeDocument/2006/relationships/image" Target="../media/image315.jpg"/><Relationship Id="rId84" Type="http://schemas.openxmlformats.org/officeDocument/2006/relationships/image" Target="../media/image116.jpg"/><Relationship Id="rId83" Type="http://schemas.openxmlformats.org/officeDocument/2006/relationships/image" Target="../media/image506.jpg"/><Relationship Id="rId86" Type="http://schemas.openxmlformats.org/officeDocument/2006/relationships/image" Target="../media/image227.jpg"/><Relationship Id="rId85" Type="http://schemas.openxmlformats.org/officeDocument/2006/relationships/image" Target="../media/image66.jpg"/><Relationship Id="rId88" Type="http://schemas.openxmlformats.org/officeDocument/2006/relationships/image" Target="../media/image10.jpg"/><Relationship Id="rId150" Type="http://schemas.openxmlformats.org/officeDocument/2006/relationships/image" Target="../media/image235.jpg"/><Relationship Id="rId87" Type="http://schemas.openxmlformats.org/officeDocument/2006/relationships/image" Target="../media/image129.jpg"/><Relationship Id="rId89" Type="http://schemas.openxmlformats.org/officeDocument/2006/relationships/image" Target="../media/image585.jpg"/><Relationship Id="rId80" Type="http://schemas.openxmlformats.org/officeDocument/2006/relationships/image" Target="../media/image48.jpg"/><Relationship Id="rId82" Type="http://schemas.openxmlformats.org/officeDocument/2006/relationships/image" Target="../media/image403.jpg"/><Relationship Id="rId81" Type="http://schemas.openxmlformats.org/officeDocument/2006/relationships/image" Target="../media/image148.jpg"/><Relationship Id="rId1" Type="http://schemas.openxmlformats.org/officeDocument/2006/relationships/image" Target="../media/image476.jpg"/><Relationship Id="rId2" Type="http://schemas.openxmlformats.org/officeDocument/2006/relationships/image" Target="../media/image108.jpg"/><Relationship Id="rId3" Type="http://schemas.openxmlformats.org/officeDocument/2006/relationships/image" Target="../media/image30.jpg"/><Relationship Id="rId149" Type="http://schemas.openxmlformats.org/officeDocument/2006/relationships/image" Target="../media/image194.jpg"/><Relationship Id="rId4" Type="http://schemas.openxmlformats.org/officeDocument/2006/relationships/image" Target="../media/image51.jpg"/><Relationship Id="rId148" Type="http://schemas.openxmlformats.org/officeDocument/2006/relationships/image" Target="../media/image163.jpg"/><Relationship Id="rId9" Type="http://schemas.openxmlformats.org/officeDocument/2006/relationships/image" Target="../media/image483.jpg"/><Relationship Id="rId143" Type="http://schemas.openxmlformats.org/officeDocument/2006/relationships/image" Target="../media/image93.jpg"/><Relationship Id="rId142" Type="http://schemas.openxmlformats.org/officeDocument/2006/relationships/image" Target="../media/image34.jpg"/><Relationship Id="rId141" Type="http://schemas.openxmlformats.org/officeDocument/2006/relationships/image" Target="../media/image283.jpg"/><Relationship Id="rId140" Type="http://schemas.openxmlformats.org/officeDocument/2006/relationships/image" Target="../media/image533.jpg"/><Relationship Id="rId5" Type="http://schemas.openxmlformats.org/officeDocument/2006/relationships/image" Target="../media/image120.jpg"/><Relationship Id="rId147" Type="http://schemas.openxmlformats.org/officeDocument/2006/relationships/image" Target="../media/image247.jpg"/><Relationship Id="rId6" Type="http://schemas.openxmlformats.org/officeDocument/2006/relationships/image" Target="../media/image319.jpg"/><Relationship Id="rId146" Type="http://schemas.openxmlformats.org/officeDocument/2006/relationships/image" Target="../media/image279.jpg"/><Relationship Id="rId7" Type="http://schemas.openxmlformats.org/officeDocument/2006/relationships/image" Target="../media/image420.png"/><Relationship Id="rId145" Type="http://schemas.openxmlformats.org/officeDocument/2006/relationships/image" Target="../media/image123.jpg"/><Relationship Id="rId8" Type="http://schemas.openxmlformats.org/officeDocument/2006/relationships/image" Target="../media/image301.jpg"/><Relationship Id="rId144" Type="http://schemas.openxmlformats.org/officeDocument/2006/relationships/image" Target="../media/image534.jpg"/><Relationship Id="rId73" Type="http://schemas.openxmlformats.org/officeDocument/2006/relationships/image" Target="../media/image80.jpg"/><Relationship Id="rId72" Type="http://schemas.openxmlformats.org/officeDocument/2006/relationships/image" Target="../media/image497.jpg"/><Relationship Id="rId75" Type="http://schemas.openxmlformats.org/officeDocument/2006/relationships/image" Target="../media/image499.jpg"/><Relationship Id="rId74" Type="http://schemas.openxmlformats.org/officeDocument/2006/relationships/image" Target="../media/image503.jpg"/><Relationship Id="rId77" Type="http://schemas.openxmlformats.org/officeDocument/2006/relationships/image" Target="../media/image160.jpg"/><Relationship Id="rId76" Type="http://schemas.openxmlformats.org/officeDocument/2006/relationships/image" Target="../media/image152.jpg"/><Relationship Id="rId79" Type="http://schemas.openxmlformats.org/officeDocument/2006/relationships/image" Target="../media/image70.jpg"/><Relationship Id="rId78" Type="http://schemas.openxmlformats.org/officeDocument/2006/relationships/image" Target="../media/image305.jpg"/><Relationship Id="rId71" Type="http://schemas.openxmlformats.org/officeDocument/2006/relationships/image" Target="../media/image505.jpg"/><Relationship Id="rId70" Type="http://schemas.openxmlformats.org/officeDocument/2006/relationships/image" Target="../media/image36.jpg"/><Relationship Id="rId139" Type="http://schemas.openxmlformats.org/officeDocument/2006/relationships/image" Target="../media/image527.jpg"/><Relationship Id="rId138" Type="http://schemas.openxmlformats.org/officeDocument/2006/relationships/image" Target="../media/image186.jpg"/><Relationship Id="rId137" Type="http://schemas.openxmlformats.org/officeDocument/2006/relationships/image" Target="../media/image107.jpg"/><Relationship Id="rId132" Type="http://schemas.openxmlformats.org/officeDocument/2006/relationships/image" Target="../media/image73.jpg"/><Relationship Id="rId131" Type="http://schemas.openxmlformats.org/officeDocument/2006/relationships/image" Target="../media/image130.jpg"/><Relationship Id="rId130" Type="http://schemas.openxmlformats.org/officeDocument/2006/relationships/image" Target="../media/image184.jpg"/><Relationship Id="rId136" Type="http://schemas.openxmlformats.org/officeDocument/2006/relationships/image" Target="../media/image515.jpg"/><Relationship Id="rId135" Type="http://schemas.openxmlformats.org/officeDocument/2006/relationships/image" Target="../media/image125.jpg"/><Relationship Id="rId134" Type="http://schemas.openxmlformats.org/officeDocument/2006/relationships/image" Target="../media/image268.jpg"/><Relationship Id="rId133" Type="http://schemas.openxmlformats.org/officeDocument/2006/relationships/image" Target="../media/image205.jpg"/><Relationship Id="rId62" Type="http://schemas.openxmlformats.org/officeDocument/2006/relationships/image" Target="../media/image495.jpg"/><Relationship Id="rId61" Type="http://schemas.openxmlformats.org/officeDocument/2006/relationships/image" Target="../media/image88.jpg"/><Relationship Id="rId64" Type="http://schemas.openxmlformats.org/officeDocument/2006/relationships/image" Target="../media/image69.jpg"/><Relationship Id="rId63" Type="http://schemas.openxmlformats.org/officeDocument/2006/relationships/image" Target="../media/image565.jpg"/><Relationship Id="rId66" Type="http://schemas.openxmlformats.org/officeDocument/2006/relationships/image" Target="../media/image341.jpg"/><Relationship Id="rId172" Type="http://schemas.openxmlformats.org/officeDocument/2006/relationships/image" Target="../media/image578.png"/><Relationship Id="rId65" Type="http://schemas.openxmlformats.org/officeDocument/2006/relationships/image" Target="../media/image60.jpg"/><Relationship Id="rId171" Type="http://schemas.openxmlformats.org/officeDocument/2006/relationships/image" Target="../media/image590.png"/><Relationship Id="rId68" Type="http://schemas.openxmlformats.org/officeDocument/2006/relationships/image" Target="../media/image487.jpg"/><Relationship Id="rId170" Type="http://schemas.openxmlformats.org/officeDocument/2006/relationships/image" Target="../media/image102.jpg"/><Relationship Id="rId67" Type="http://schemas.openxmlformats.org/officeDocument/2006/relationships/image" Target="../media/image306.jpg"/><Relationship Id="rId60" Type="http://schemas.openxmlformats.org/officeDocument/2006/relationships/image" Target="../media/image323.jpg"/><Relationship Id="rId165" Type="http://schemas.openxmlformats.org/officeDocument/2006/relationships/image" Target="../media/image547.jpg"/><Relationship Id="rId69" Type="http://schemas.openxmlformats.org/officeDocument/2006/relationships/image" Target="../media/image296.jpg"/><Relationship Id="rId164" Type="http://schemas.openxmlformats.org/officeDocument/2006/relationships/image" Target="../media/image95.jpg"/><Relationship Id="rId163" Type="http://schemas.openxmlformats.org/officeDocument/2006/relationships/image" Target="../media/image176.jpg"/><Relationship Id="rId162" Type="http://schemas.openxmlformats.org/officeDocument/2006/relationships/image" Target="../media/image96.jpg"/><Relationship Id="rId169" Type="http://schemas.openxmlformats.org/officeDocument/2006/relationships/image" Target="../media/image390.png"/><Relationship Id="rId168" Type="http://schemas.openxmlformats.org/officeDocument/2006/relationships/image" Target="../media/image538.jpg"/><Relationship Id="rId167" Type="http://schemas.openxmlformats.org/officeDocument/2006/relationships/image" Target="../media/image239.jpg"/><Relationship Id="rId166" Type="http://schemas.openxmlformats.org/officeDocument/2006/relationships/image" Target="../media/image392.png"/><Relationship Id="rId51" Type="http://schemas.openxmlformats.org/officeDocument/2006/relationships/image" Target="../media/image299.jpg"/><Relationship Id="rId50" Type="http://schemas.openxmlformats.org/officeDocument/2006/relationships/image" Target="../media/image24.jpg"/><Relationship Id="rId53" Type="http://schemas.openxmlformats.org/officeDocument/2006/relationships/image" Target="../media/image478.jpg"/><Relationship Id="rId52" Type="http://schemas.openxmlformats.org/officeDocument/2006/relationships/image" Target="../media/image481.jpg"/><Relationship Id="rId55" Type="http://schemas.openxmlformats.org/officeDocument/2006/relationships/image" Target="../media/image5.jpg"/><Relationship Id="rId161" Type="http://schemas.openxmlformats.org/officeDocument/2006/relationships/image" Target="../media/image396.png"/><Relationship Id="rId54" Type="http://schemas.openxmlformats.org/officeDocument/2006/relationships/image" Target="../media/image348.png"/><Relationship Id="rId160" Type="http://schemas.openxmlformats.org/officeDocument/2006/relationships/image" Target="../media/image52.jpg"/><Relationship Id="rId57" Type="http://schemas.openxmlformats.org/officeDocument/2006/relationships/image" Target="../media/image251.jpg"/><Relationship Id="rId56" Type="http://schemas.openxmlformats.org/officeDocument/2006/relationships/image" Target="../media/image38.jpg"/><Relationship Id="rId159" Type="http://schemas.openxmlformats.org/officeDocument/2006/relationships/image" Target="../media/image318.jpg"/><Relationship Id="rId59" Type="http://schemas.openxmlformats.org/officeDocument/2006/relationships/image" Target="../media/image500.jpg"/><Relationship Id="rId154" Type="http://schemas.openxmlformats.org/officeDocument/2006/relationships/image" Target="../media/image172.jpg"/><Relationship Id="rId58" Type="http://schemas.openxmlformats.org/officeDocument/2006/relationships/image" Target="../media/image195.jpg"/><Relationship Id="rId153" Type="http://schemas.openxmlformats.org/officeDocument/2006/relationships/image" Target="../media/image17.jpg"/><Relationship Id="rId152" Type="http://schemas.openxmlformats.org/officeDocument/2006/relationships/image" Target="../media/image232.jpg"/><Relationship Id="rId151" Type="http://schemas.openxmlformats.org/officeDocument/2006/relationships/image" Target="../media/image105.jpg"/><Relationship Id="rId158" Type="http://schemas.openxmlformats.org/officeDocument/2006/relationships/image" Target="../media/image112.jpg"/><Relationship Id="rId157" Type="http://schemas.openxmlformats.org/officeDocument/2006/relationships/image" Target="../media/image191.jpg"/><Relationship Id="rId156" Type="http://schemas.openxmlformats.org/officeDocument/2006/relationships/image" Target="../media/image111.jpg"/><Relationship Id="rId155" Type="http://schemas.openxmlformats.org/officeDocument/2006/relationships/image" Target="../media/image602.jpg"/><Relationship Id="rId107" Type="http://schemas.openxmlformats.org/officeDocument/2006/relationships/image" Target="../media/image127.jpg"/><Relationship Id="rId106" Type="http://schemas.openxmlformats.org/officeDocument/2006/relationships/image" Target="../media/image584.jpg"/><Relationship Id="rId105" Type="http://schemas.openxmlformats.org/officeDocument/2006/relationships/image" Target="../media/image25.jpg"/><Relationship Id="rId104" Type="http://schemas.openxmlformats.org/officeDocument/2006/relationships/image" Target="../media/image249.jpg"/><Relationship Id="rId109" Type="http://schemas.openxmlformats.org/officeDocument/2006/relationships/image" Target="../media/image167.jpg"/><Relationship Id="rId108" Type="http://schemas.openxmlformats.org/officeDocument/2006/relationships/image" Target="../media/image512.jpg"/><Relationship Id="rId103" Type="http://schemas.openxmlformats.org/officeDocument/2006/relationships/image" Target="../media/image257.jpg"/><Relationship Id="rId102" Type="http://schemas.openxmlformats.org/officeDocument/2006/relationships/image" Target="../media/image90.jpg"/><Relationship Id="rId101" Type="http://schemas.openxmlformats.org/officeDocument/2006/relationships/image" Target="../media/image26.jpg"/><Relationship Id="rId100" Type="http://schemas.openxmlformats.org/officeDocument/2006/relationships/image" Target="../media/image619.jpg"/><Relationship Id="rId129" Type="http://schemas.openxmlformats.org/officeDocument/2006/relationships/image" Target="../media/image110.jpg"/><Relationship Id="rId128" Type="http://schemas.openxmlformats.org/officeDocument/2006/relationships/image" Target="../media/image310.jpg"/><Relationship Id="rId127" Type="http://schemas.openxmlformats.org/officeDocument/2006/relationships/image" Target="../media/image131.jpg"/><Relationship Id="rId126" Type="http://schemas.openxmlformats.org/officeDocument/2006/relationships/image" Target="../media/image215.jpg"/><Relationship Id="rId121" Type="http://schemas.openxmlformats.org/officeDocument/2006/relationships/image" Target="../media/image529.jpg"/><Relationship Id="rId120" Type="http://schemas.openxmlformats.org/officeDocument/2006/relationships/image" Target="../media/image517.jpg"/><Relationship Id="rId125" Type="http://schemas.openxmlformats.org/officeDocument/2006/relationships/image" Target="../media/image224.jpg"/><Relationship Id="rId124" Type="http://schemas.openxmlformats.org/officeDocument/2006/relationships/image" Target="../media/image132.jpg"/><Relationship Id="rId123" Type="http://schemas.openxmlformats.org/officeDocument/2006/relationships/image" Target="../media/image178.jpg"/><Relationship Id="rId122" Type="http://schemas.openxmlformats.org/officeDocument/2006/relationships/image" Target="../media/image103.jpg"/><Relationship Id="rId95" Type="http://schemas.openxmlformats.org/officeDocument/2006/relationships/image" Target="../media/image22.jpg"/><Relationship Id="rId94" Type="http://schemas.openxmlformats.org/officeDocument/2006/relationships/image" Target="../media/image28.jpg"/><Relationship Id="rId97" Type="http://schemas.openxmlformats.org/officeDocument/2006/relationships/image" Target="../media/image18.jpg"/><Relationship Id="rId96" Type="http://schemas.openxmlformats.org/officeDocument/2006/relationships/image" Target="../media/image140.jpg"/><Relationship Id="rId99" Type="http://schemas.openxmlformats.org/officeDocument/2006/relationships/image" Target="../media/image144.jpg"/><Relationship Id="rId98" Type="http://schemas.openxmlformats.org/officeDocument/2006/relationships/image" Target="../media/image588.jpg"/><Relationship Id="rId91" Type="http://schemas.openxmlformats.org/officeDocument/2006/relationships/image" Target="../media/image63.jpg"/><Relationship Id="rId90" Type="http://schemas.openxmlformats.org/officeDocument/2006/relationships/image" Target="../media/image292.jpg"/><Relationship Id="rId93" Type="http://schemas.openxmlformats.org/officeDocument/2006/relationships/image" Target="../media/image511.jpg"/><Relationship Id="rId92" Type="http://schemas.openxmlformats.org/officeDocument/2006/relationships/image" Target="../media/image154.jpg"/><Relationship Id="rId118" Type="http://schemas.openxmlformats.org/officeDocument/2006/relationships/image" Target="../media/image402.jpg"/><Relationship Id="rId117" Type="http://schemas.openxmlformats.org/officeDocument/2006/relationships/image" Target="../media/image44.jpg"/><Relationship Id="rId116" Type="http://schemas.openxmlformats.org/officeDocument/2006/relationships/image" Target="../media/image254.jpg"/><Relationship Id="rId115" Type="http://schemas.openxmlformats.org/officeDocument/2006/relationships/image" Target="../media/image518.jpg"/><Relationship Id="rId119" Type="http://schemas.openxmlformats.org/officeDocument/2006/relationships/image" Target="../media/image601.jpg"/><Relationship Id="rId110" Type="http://schemas.openxmlformats.org/officeDocument/2006/relationships/image" Target="../media/image250.jpg"/><Relationship Id="rId114" Type="http://schemas.openxmlformats.org/officeDocument/2006/relationships/image" Target="../media/image267.jpg"/><Relationship Id="rId113" Type="http://schemas.openxmlformats.org/officeDocument/2006/relationships/image" Target="../media/image219.jpg"/><Relationship Id="rId112" Type="http://schemas.openxmlformats.org/officeDocument/2006/relationships/image" Target="../media/image303.jpg"/><Relationship Id="rId111" Type="http://schemas.openxmlformats.org/officeDocument/2006/relationships/image" Target="../media/image49.jpg"/></Relationships>
</file>

<file path=xl/drawings/_rels/drawing14.xml.rels><?xml version="1.0" encoding="UTF-8" standalone="yes"?><Relationships xmlns="http://schemas.openxmlformats.org/package/2006/relationships"><Relationship Id="rId40" Type="http://schemas.openxmlformats.org/officeDocument/2006/relationships/image" Target="../media/image19.jpg"/><Relationship Id="rId42" Type="http://schemas.openxmlformats.org/officeDocument/2006/relationships/image" Target="../media/image360.png"/><Relationship Id="rId41" Type="http://schemas.openxmlformats.org/officeDocument/2006/relationships/image" Target="../media/image63.jpg"/><Relationship Id="rId44" Type="http://schemas.openxmlformats.org/officeDocument/2006/relationships/image" Target="../media/image271.jpg"/><Relationship Id="rId43" Type="http://schemas.openxmlformats.org/officeDocument/2006/relationships/image" Target="../media/image251.jpg"/><Relationship Id="rId46" Type="http://schemas.openxmlformats.org/officeDocument/2006/relationships/image" Target="../media/image345.png"/><Relationship Id="rId45" Type="http://schemas.openxmlformats.org/officeDocument/2006/relationships/image" Target="../media/image438.png"/><Relationship Id="rId48" Type="http://schemas.openxmlformats.org/officeDocument/2006/relationships/image" Target="../media/image603.jpg"/><Relationship Id="rId47" Type="http://schemas.openxmlformats.org/officeDocument/2006/relationships/image" Target="../media/image288.jpg"/><Relationship Id="rId49" Type="http://schemas.openxmlformats.org/officeDocument/2006/relationships/image" Target="../media/image12.jpg"/><Relationship Id="rId31" Type="http://schemas.openxmlformats.org/officeDocument/2006/relationships/image" Target="../media/image102.jpg"/><Relationship Id="rId30" Type="http://schemas.openxmlformats.org/officeDocument/2006/relationships/image" Target="../media/image483.jpg"/><Relationship Id="rId33" Type="http://schemas.openxmlformats.org/officeDocument/2006/relationships/image" Target="../media/image29.jpg"/><Relationship Id="rId32" Type="http://schemas.openxmlformats.org/officeDocument/2006/relationships/image" Target="../media/image406.png"/><Relationship Id="rId35" Type="http://schemas.openxmlformats.org/officeDocument/2006/relationships/image" Target="../media/image298.jpg"/><Relationship Id="rId34" Type="http://schemas.openxmlformats.org/officeDocument/2006/relationships/image" Target="../media/image22.jpg"/><Relationship Id="rId37" Type="http://schemas.openxmlformats.org/officeDocument/2006/relationships/image" Target="../media/image538.jpg"/><Relationship Id="rId36" Type="http://schemas.openxmlformats.org/officeDocument/2006/relationships/image" Target="../media/image47.jpg"/><Relationship Id="rId39" Type="http://schemas.openxmlformats.org/officeDocument/2006/relationships/image" Target="../media/image39.jpg"/><Relationship Id="rId38" Type="http://schemas.openxmlformats.org/officeDocument/2006/relationships/image" Target="../media/image249.jpg"/><Relationship Id="rId20" Type="http://schemas.openxmlformats.org/officeDocument/2006/relationships/image" Target="../media/image428.png"/><Relationship Id="rId22" Type="http://schemas.openxmlformats.org/officeDocument/2006/relationships/image" Target="../media/image427.png"/><Relationship Id="rId21" Type="http://schemas.openxmlformats.org/officeDocument/2006/relationships/image" Target="../media/image129.jpg"/><Relationship Id="rId24" Type="http://schemas.openxmlformats.org/officeDocument/2006/relationships/image" Target="../media/image20.jpg"/><Relationship Id="rId23" Type="http://schemas.openxmlformats.org/officeDocument/2006/relationships/image" Target="../media/image34.jpg"/><Relationship Id="rId26" Type="http://schemas.openxmlformats.org/officeDocument/2006/relationships/image" Target="../media/image491.png"/><Relationship Id="rId25" Type="http://schemas.openxmlformats.org/officeDocument/2006/relationships/image" Target="../media/image127.jpg"/><Relationship Id="rId28" Type="http://schemas.openxmlformats.org/officeDocument/2006/relationships/image" Target="../media/image432.png"/><Relationship Id="rId27" Type="http://schemas.openxmlformats.org/officeDocument/2006/relationships/image" Target="../media/image426.jpg"/><Relationship Id="rId29" Type="http://schemas.openxmlformats.org/officeDocument/2006/relationships/image" Target="../media/image46.jpg"/><Relationship Id="rId11" Type="http://schemas.openxmlformats.org/officeDocument/2006/relationships/image" Target="../media/image229.jpg"/><Relationship Id="rId10" Type="http://schemas.openxmlformats.org/officeDocument/2006/relationships/image" Target="../media/image400.png"/><Relationship Id="rId13" Type="http://schemas.openxmlformats.org/officeDocument/2006/relationships/image" Target="../media/image396.png"/><Relationship Id="rId12" Type="http://schemas.openxmlformats.org/officeDocument/2006/relationships/image" Target="../media/image415.png"/><Relationship Id="rId15" Type="http://schemas.openxmlformats.org/officeDocument/2006/relationships/image" Target="../media/image420.png"/><Relationship Id="rId14" Type="http://schemas.openxmlformats.org/officeDocument/2006/relationships/image" Target="../media/image215.jpg"/><Relationship Id="rId17" Type="http://schemas.openxmlformats.org/officeDocument/2006/relationships/image" Target="../media/image424.png"/><Relationship Id="rId16" Type="http://schemas.openxmlformats.org/officeDocument/2006/relationships/image" Target="../media/image453.jpg"/><Relationship Id="rId19" Type="http://schemas.openxmlformats.org/officeDocument/2006/relationships/image" Target="../media/image32.jpg"/><Relationship Id="rId18" Type="http://schemas.openxmlformats.org/officeDocument/2006/relationships/image" Target="../media/image116.jpg"/><Relationship Id="rId84" Type="http://schemas.openxmlformats.org/officeDocument/2006/relationships/image" Target="../media/image330.jpg"/><Relationship Id="rId83" Type="http://schemas.openxmlformats.org/officeDocument/2006/relationships/image" Target="../media/image176.jpg"/><Relationship Id="rId86" Type="http://schemas.openxmlformats.org/officeDocument/2006/relationships/image" Target="../media/image497.jpg"/><Relationship Id="rId85" Type="http://schemas.openxmlformats.org/officeDocument/2006/relationships/image" Target="../media/image418.png"/><Relationship Id="rId88" Type="http://schemas.openxmlformats.org/officeDocument/2006/relationships/image" Target="../media/image52.jpg"/><Relationship Id="rId87" Type="http://schemas.openxmlformats.org/officeDocument/2006/relationships/image" Target="../media/image50.jpg"/><Relationship Id="rId89" Type="http://schemas.openxmlformats.org/officeDocument/2006/relationships/image" Target="../media/image376.png"/><Relationship Id="rId80" Type="http://schemas.openxmlformats.org/officeDocument/2006/relationships/image" Target="../media/image337.png"/><Relationship Id="rId82" Type="http://schemas.openxmlformats.org/officeDocument/2006/relationships/image" Target="../media/image333.png"/><Relationship Id="rId81" Type="http://schemas.openxmlformats.org/officeDocument/2006/relationships/image" Target="../media/image431.png"/><Relationship Id="rId1" Type="http://schemas.openxmlformats.org/officeDocument/2006/relationships/image" Target="../media/image410.png"/><Relationship Id="rId2" Type="http://schemas.openxmlformats.org/officeDocument/2006/relationships/image" Target="../media/image8.jpg"/><Relationship Id="rId3" Type="http://schemas.openxmlformats.org/officeDocument/2006/relationships/image" Target="../media/image366.png"/><Relationship Id="rId4" Type="http://schemas.openxmlformats.org/officeDocument/2006/relationships/image" Target="../media/image219.jpg"/><Relationship Id="rId9" Type="http://schemas.openxmlformats.org/officeDocument/2006/relationships/image" Target="../media/image414.png"/><Relationship Id="rId5" Type="http://schemas.openxmlformats.org/officeDocument/2006/relationships/image" Target="../media/image28.jpg"/><Relationship Id="rId6" Type="http://schemas.openxmlformats.org/officeDocument/2006/relationships/image" Target="../media/image476.jpg"/><Relationship Id="rId7" Type="http://schemas.openxmlformats.org/officeDocument/2006/relationships/image" Target="../media/image434.png"/><Relationship Id="rId8" Type="http://schemas.openxmlformats.org/officeDocument/2006/relationships/image" Target="../media/image416.png"/><Relationship Id="rId73" Type="http://schemas.openxmlformats.org/officeDocument/2006/relationships/image" Target="../media/image430.png"/><Relationship Id="rId72" Type="http://schemas.openxmlformats.org/officeDocument/2006/relationships/image" Target="../media/image371.png"/><Relationship Id="rId75" Type="http://schemas.openxmlformats.org/officeDocument/2006/relationships/image" Target="../media/image570.jpg"/><Relationship Id="rId74" Type="http://schemas.openxmlformats.org/officeDocument/2006/relationships/image" Target="../media/image601.jpg"/><Relationship Id="rId77" Type="http://schemas.openxmlformats.org/officeDocument/2006/relationships/image" Target="../media/image422.png"/><Relationship Id="rId76" Type="http://schemas.openxmlformats.org/officeDocument/2006/relationships/image" Target="../media/image154.jpg"/><Relationship Id="rId79" Type="http://schemas.openxmlformats.org/officeDocument/2006/relationships/image" Target="../media/image48.jpg"/><Relationship Id="rId78" Type="http://schemas.openxmlformats.org/officeDocument/2006/relationships/image" Target="../media/image607.jpg"/><Relationship Id="rId71" Type="http://schemas.openxmlformats.org/officeDocument/2006/relationships/image" Target="../media/image342.png"/><Relationship Id="rId70" Type="http://schemas.openxmlformats.org/officeDocument/2006/relationships/image" Target="../media/image40.jpg"/><Relationship Id="rId62" Type="http://schemas.openxmlformats.org/officeDocument/2006/relationships/image" Target="../media/image576.png"/><Relationship Id="rId61" Type="http://schemas.openxmlformats.org/officeDocument/2006/relationships/image" Target="../media/image348.png"/><Relationship Id="rId64" Type="http://schemas.openxmlformats.org/officeDocument/2006/relationships/image" Target="../media/image580.jpg"/><Relationship Id="rId63" Type="http://schemas.openxmlformats.org/officeDocument/2006/relationships/image" Target="../media/image7.jpg"/><Relationship Id="rId66" Type="http://schemas.openxmlformats.org/officeDocument/2006/relationships/image" Target="../media/image423.png"/><Relationship Id="rId65" Type="http://schemas.openxmlformats.org/officeDocument/2006/relationships/image" Target="../media/image114.jpg"/><Relationship Id="rId68" Type="http://schemas.openxmlformats.org/officeDocument/2006/relationships/image" Target="../media/image344.png"/><Relationship Id="rId67" Type="http://schemas.openxmlformats.org/officeDocument/2006/relationships/image" Target="../media/image38.jpg"/><Relationship Id="rId60" Type="http://schemas.openxmlformats.org/officeDocument/2006/relationships/image" Target="../media/image433.png"/><Relationship Id="rId69" Type="http://schemas.openxmlformats.org/officeDocument/2006/relationships/image" Target="../media/image456.png"/><Relationship Id="rId51" Type="http://schemas.openxmlformats.org/officeDocument/2006/relationships/image" Target="../media/image349.png"/><Relationship Id="rId50" Type="http://schemas.openxmlformats.org/officeDocument/2006/relationships/image" Target="../media/image162.jpg"/><Relationship Id="rId53" Type="http://schemas.openxmlformats.org/officeDocument/2006/relationships/image" Target="../media/image419.png"/><Relationship Id="rId52" Type="http://schemas.openxmlformats.org/officeDocument/2006/relationships/image" Target="../media/image450.png"/><Relationship Id="rId55" Type="http://schemas.openxmlformats.org/officeDocument/2006/relationships/image" Target="../media/image616.jpg"/><Relationship Id="rId54" Type="http://schemas.openxmlformats.org/officeDocument/2006/relationships/image" Target="../media/image355.png"/><Relationship Id="rId57" Type="http://schemas.openxmlformats.org/officeDocument/2006/relationships/image" Target="../media/image429.png"/><Relationship Id="rId56" Type="http://schemas.openxmlformats.org/officeDocument/2006/relationships/image" Target="../media/image224.jpg"/><Relationship Id="rId59" Type="http://schemas.openxmlformats.org/officeDocument/2006/relationships/image" Target="../media/image160.jpg"/><Relationship Id="rId58" Type="http://schemas.openxmlformats.org/officeDocument/2006/relationships/image" Target="../media/image399.png"/><Relationship Id="rId106" Type="http://schemas.openxmlformats.org/officeDocument/2006/relationships/image" Target="../media/image3.jpg"/><Relationship Id="rId105" Type="http://schemas.openxmlformats.org/officeDocument/2006/relationships/image" Target="../media/image365.png"/><Relationship Id="rId104" Type="http://schemas.openxmlformats.org/officeDocument/2006/relationships/image" Target="../media/image383.png"/><Relationship Id="rId103" Type="http://schemas.openxmlformats.org/officeDocument/2006/relationships/image" Target="../media/image346.png"/><Relationship Id="rId102" Type="http://schemas.openxmlformats.org/officeDocument/2006/relationships/image" Target="../media/image404.png"/><Relationship Id="rId101" Type="http://schemas.openxmlformats.org/officeDocument/2006/relationships/image" Target="../media/image166.jpg"/><Relationship Id="rId100" Type="http://schemas.openxmlformats.org/officeDocument/2006/relationships/image" Target="../media/image179.jpg"/><Relationship Id="rId95" Type="http://schemas.openxmlformats.org/officeDocument/2006/relationships/image" Target="../media/image336.png"/><Relationship Id="rId94" Type="http://schemas.openxmlformats.org/officeDocument/2006/relationships/image" Target="../media/image334.png"/><Relationship Id="rId97" Type="http://schemas.openxmlformats.org/officeDocument/2006/relationships/image" Target="../media/image397.png"/><Relationship Id="rId96" Type="http://schemas.openxmlformats.org/officeDocument/2006/relationships/image" Target="../media/image363.png"/><Relationship Id="rId99" Type="http://schemas.openxmlformats.org/officeDocument/2006/relationships/image" Target="../media/image122.jpg"/><Relationship Id="rId98" Type="http://schemas.openxmlformats.org/officeDocument/2006/relationships/image" Target="../media/image73.jpg"/><Relationship Id="rId91" Type="http://schemas.openxmlformats.org/officeDocument/2006/relationships/image" Target="../media/image295.jpg"/><Relationship Id="rId90" Type="http://schemas.openxmlformats.org/officeDocument/2006/relationships/image" Target="../media/image163.jpg"/><Relationship Id="rId93" Type="http://schemas.openxmlformats.org/officeDocument/2006/relationships/image" Target="../media/image354.png"/><Relationship Id="rId92" Type="http://schemas.openxmlformats.org/officeDocument/2006/relationships/image" Target="../media/image257.jpg"/></Relationships>
</file>

<file path=xl/drawings/_rels/drawing16.xml.rels><?xml version="1.0" encoding="UTF-8" standalone="yes"?><Relationships xmlns="http://schemas.openxmlformats.org/package/2006/relationships"><Relationship Id="rId1" Type="http://schemas.openxmlformats.org/officeDocument/2006/relationships/image" Target="../media/image596.png"/><Relationship Id="rId2" Type="http://schemas.openxmlformats.org/officeDocument/2006/relationships/image" Target="../media/image595.jpg"/></Relationships>
</file>

<file path=xl/drawings/_rels/drawing20.xml.rels><?xml version="1.0" encoding="UTF-8" standalone="yes"?><Relationships xmlns="http://schemas.openxmlformats.org/package/2006/relationships"><Relationship Id="rId20" Type="http://schemas.openxmlformats.org/officeDocument/2006/relationships/image" Target="../media/image613.jpg"/><Relationship Id="rId11" Type="http://schemas.openxmlformats.org/officeDocument/2006/relationships/image" Target="../media/image621.jpg"/><Relationship Id="rId10" Type="http://schemas.openxmlformats.org/officeDocument/2006/relationships/image" Target="../media/image401.png"/><Relationship Id="rId13" Type="http://schemas.openxmlformats.org/officeDocument/2006/relationships/image" Target="../media/image609.jpg"/><Relationship Id="rId12" Type="http://schemas.openxmlformats.org/officeDocument/2006/relationships/image" Target="../media/image608.jpg"/><Relationship Id="rId15" Type="http://schemas.openxmlformats.org/officeDocument/2006/relationships/image" Target="../media/image603.jpg"/><Relationship Id="rId14" Type="http://schemas.openxmlformats.org/officeDocument/2006/relationships/image" Target="../media/image623.jpg"/><Relationship Id="rId17" Type="http://schemas.openxmlformats.org/officeDocument/2006/relationships/image" Target="../media/image610.jpg"/><Relationship Id="rId16" Type="http://schemas.openxmlformats.org/officeDocument/2006/relationships/image" Target="../media/image611.jpg"/><Relationship Id="rId19" Type="http://schemas.openxmlformats.org/officeDocument/2006/relationships/image" Target="../media/image617.jpg"/><Relationship Id="rId18" Type="http://schemas.openxmlformats.org/officeDocument/2006/relationships/image" Target="../media/image614.jpg"/><Relationship Id="rId1" Type="http://schemas.openxmlformats.org/officeDocument/2006/relationships/image" Target="../media/image456.png"/><Relationship Id="rId2" Type="http://schemas.openxmlformats.org/officeDocument/2006/relationships/image" Target="../media/image341.jpg"/><Relationship Id="rId3" Type="http://schemas.openxmlformats.org/officeDocument/2006/relationships/image" Target="../media/image383.png"/><Relationship Id="rId4" Type="http://schemas.openxmlformats.org/officeDocument/2006/relationships/image" Target="../media/image594.jpg"/><Relationship Id="rId9" Type="http://schemas.openxmlformats.org/officeDocument/2006/relationships/image" Target="../media/image622.jpg"/><Relationship Id="rId5" Type="http://schemas.openxmlformats.org/officeDocument/2006/relationships/image" Target="../media/image378.png"/><Relationship Id="rId6" Type="http://schemas.openxmlformats.org/officeDocument/2006/relationships/image" Target="../media/image420.png"/><Relationship Id="rId7" Type="http://schemas.openxmlformats.org/officeDocument/2006/relationships/image" Target="../media/image598.jpg"/><Relationship Id="rId8" Type="http://schemas.openxmlformats.org/officeDocument/2006/relationships/image" Target="../media/image342.png"/></Relationships>
</file>

<file path=xl/drawings/_rels/drawing21.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9</xdr:row>
      <xdr:rowOff>0</xdr:rowOff>
    </xdr:from>
    <xdr:ext cx="428625" cy="428625"/>
    <xdr:pic>
      <xdr:nvPicPr>
        <xdr:cNvPr id="0" name="image3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552450" cy="552450"/>
    <xdr:pic>
      <xdr:nvPicPr>
        <xdr:cNvPr id="0" name="image21.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552450" cy="552450"/>
    <xdr:pic>
      <xdr:nvPicPr>
        <xdr:cNvPr id="0" name="image14.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552450" cy="552450"/>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552450" cy="552450"/>
    <xdr:pic>
      <xdr:nvPicPr>
        <xdr:cNvPr id="0" name="image22.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552450" cy="552450"/>
    <xdr:pic>
      <xdr:nvPicPr>
        <xdr:cNvPr id="0" name="image30.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552450" cy="552450"/>
    <xdr:pic>
      <xdr:nvPicPr>
        <xdr:cNvPr id="0" name="image1.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552450" cy="552450"/>
    <xdr:pic>
      <xdr:nvPicPr>
        <xdr:cNvPr id="0" name="image9.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552450" cy="552450"/>
    <xdr:pic>
      <xdr:nvPicPr>
        <xdr:cNvPr id="0" name="image73.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552450" cy="552450"/>
    <xdr:pic>
      <xdr:nvPicPr>
        <xdr:cNvPr id="0" name="image40.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552450" cy="552450"/>
    <xdr:pic>
      <xdr:nvPicPr>
        <xdr:cNvPr id="0" name="image38.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xdr:row>
      <xdr:rowOff>0</xdr:rowOff>
    </xdr:from>
    <xdr:ext cx="552450" cy="552450"/>
    <xdr:pic>
      <xdr:nvPicPr>
        <xdr:cNvPr id="0" name="image84.jp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12</xdr:row>
      <xdr:rowOff>0</xdr:rowOff>
    </xdr:from>
    <xdr:ext cx="552450" cy="552450"/>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xdr:row>
      <xdr:rowOff>0</xdr:rowOff>
    </xdr:from>
    <xdr:ext cx="552450" cy="552450"/>
    <xdr:pic>
      <xdr:nvPicPr>
        <xdr:cNvPr id="0" name="image46.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14</xdr:row>
      <xdr:rowOff>0</xdr:rowOff>
    </xdr:from>
    <xdr:ext cx="552450" cy="552450"/>
    <xdr:pic>
      <xdr:nvPicPr>
        <xdr:cNvPr id="0" name="image114.jp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15</xdr:row>
      <xdr:rowOff>0</xdr:rowOff>
    </xdr:from>
    <xdr:ext cx="552450" cy="552450"/>
    <xdr:pic>
      <xdr:nvPicPr>
        <xdr:cNvPr id="0" name="image50.jp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16</xdr:row>
      <xdr:rowOff>0</xdr:rowOff>
    </xdr:from>
    <xdr:ext cx="552450" cy="552450"/>
    <xdr:pic>
      <xdr:nvPicPr>
        <xdr:cNvPr id="0" name="image229.jp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17</xdr:row>
      <xdr:rowOff>0</xdr:rowOff>
    </xdr:from>
    <xdr:ext cx="552450" cy="552450"/>
    <xdr:pic>
      <xdr:nvPicPr>
        <xdr:cNvPr id="0" name="image135.jp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18</xdr:row>
      <xdr:rowOff>0</xdr:rowOff>
    </xdr:from>
    <xdr:ext cx="552450" cy="552450"/>
    <xdr:pic>
      <xdr:nvPicPr>
        <xdr:cNvPr id="0" name="image42.jp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19</xdr:row>
      <xdr:rowOff>0</xdr:rowOff>
    </xdr:from>
    <xdr:ext cx="552450" cy="552450"/>
    <xdr:pic>
      <xdr:nvPicPr>
        <xdr:cNvPr id="0" name="image6.jp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xdr:row>
      <xdr:rowOff>0</xdr:rowOff>
    </xdr:from>
    <xdr:ext cx="552450" cy="552450"/>
    <xdr:pic>
      <xdr:nvPicPr>
        <xdr:cNvPr id="0" name="image117.jp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21</xdr:row>
      <xdr:rowOff>0</xdr:rowOff>
    </xdr:from>
    <xdr:ext cx="552450" cy="552450"/>
    <xdr:pic>
      <xdr:nvPicPr>
        <xdr:cNvPr id="0" name="image4.jp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22</xdr:row>
      <xdr:rowOff>0</xdr:rowOff>
    </xdr:from>
    <xdr:ext cx="552450" cy="552450"/>
    <xdr:pic>
      <xdr:nvPicPr>
        <xdr:cNvPr id="0" name="image85.jp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23</xdr:row>
      <xdr:rowOff>0</xdr:rowOff>
    </xdr:from>
    <xdr:ext cx="552450" cy="552450"/>
    <xdr:pic>
      <xdr:nvPicPr>
        <xdr:cNvPr id="0" name="image27.jp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24</xdr:row>
      <xdr:rowOff>0</xdr:rowOff>
    </xdr:from>
    <xdr:ext cx="552450" cy="552450"/>
    <xdr:pic>
      <xdr:nvPicPr>
        <xdr:cNvPr id="0" name="image10.jp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25</xdr:row>
      <xdr:rowOff>0</xdr:rowOff>
    </xdr:from>
    <xdr:ext cx="552450" cy="552450"/>
    <xdr:pic>
      <xdr:nvPicPr>
        <xdr:cNvPr id="0" name="image12.jp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26</xdr:row>
      <xdr:rowOff>0</xdr:rowOff>
    </xdr:from>
    <xdr:ext cx="552450" cy="552450"/>
    <xdr:pic>
      <xdr:nvPicPr>
        <xdr:cNvPr id="0" name="image64.jp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27</xdr:row>
      <xdr:rowOff>0</xdr:rowOff>
    </xdr:from>
    <xdr:ext cx="552450" cy="552450"/>
    <xdr:pic>
      <xdr:nvPicPr>
        <xdr:cNvPr id="0" name="image8.jp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28</xdr:row>
      <xdr:rowOff>0</xdr:rowOff>
    </xdr:from>
    <xdr:ext cx="552450" cy="552450"/>
    <xdr:pic>
      <xdr:nvPicPr>
        <xdr:cNvPr id="0" name="image16.jp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29</xdr:row>
      <xdr:rowOff>0</xdr:rowOff>
    </xdr:from>
    <xdr:ext cx="552450" cy="552450"/>
    <xdr:pic>
      <xdr:nvPicPr>
        <xdr:cNvPr id="0" name="image2.jp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30</xdr:row>
      <xdr:rowOff>0</xdr:rowOff>
    </xdr:from>
    <xdr:ext cx="552450" cy="552450"/>
    <xdr:pic>
      <xdr:nvPicPr>
        <xdr:cNvPr id="0" name="image5.jp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31</xdr:row>
      <xdr:rowOff>0</xdr:rowOff>
    </xdr:from>
    <xdr:ext cx="552450" cy="552450"/>
    <xdr:pic>
      <xdr:nvPicPr>
        <xdr:cNvPr id="0" name="image36.jp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32</xdr:row>
      <xdr:rowOff>0</xdr:rowOff>
    </xdr:from>
    <xdr:ext cx="552450" cy="552450"/>
    <xdr:pic>
      <xdr:nvPicPr>
        <xdr:cNvPr id="0" name="image20.jp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33</xdr:row>
      <xdr:rowOff>0</xdr:rowOff>
    </xdr:from>
    <xdr:ext cx="552450" cy="552450"/>
    <xdr:pic>
      <xdr:nvPicPr>
        <xdr:cNvPr id="0" name="image29.jp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xdr:row>
      <xdr:rowOff>0</xdr:rowOff>
    </xdr:from>
    <xdr:ext cx="552450" cy="552450"/>
    <xdr:pic>
      <xdr:nvPicPr>
        <xdr:cNvPr id="0" name="image99.jp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35</xdr:row>
      <xdr:rowOff>0</xdr:rowOff>
    </xdr:from>
    <xdr:ext cx="552450" cy="552450"/>
    <xdr:pic>
      <xdr:nvPicPr>
        <xdr:cNvPr id="0" name="image35.jp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36</xdr:row>
      <xdr:rowOff>0</xdr:rowOff>
    </xdr:from>
    <xdr:ext cx="552450" cy="552450"/>
    <xdr:pic>
      <xdr:nvPicPr>
        <xdr:cNvPr id="0" name="image34.jp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37</xdr:row>
      <xdr:rowOff>0</xdr:rowOff>
    </xdr:from>
    <xdr:ext cx="552450" cy="552450"/>
    <xdr:pic>
      <xdr:nvPicPr>
        <xdr:cNvPr id="0" name="image32.jp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38</xdr:row>
      <xdr:rowOff>0</xdr:rowOff>
    </xdr:from>
    <xdr:ext cx="552450" cy="552450"/>
    <xdr:pic>
      <xdr:nvPicPr>
        <xdr:cNvPr id="0" name="image90.jp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39</xdr:row>
      <xdr:rowOff>0</xdr:rowOff>
    </xdr:from>
    <xdr:ext cx="552450" cy="552450"/>
    <xdr:pic>
      <xdr:nvPicPr>
        <xdr:cNvPr id="0" name="image18.jp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40</xdr:row>
      <xdr:rowOff>0</xdr:rowOff>
    </xdr:from>
    <xdr:ext cx="552450" cy="552450"/>
    <xdr:pic>
      <xdr:nvPicPr>
        <xdr:cNvPr id="0" name="image15.jp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41</xdr:row>
      <xdr:rowOff>0</xdr:rowOff>
    </xdr:from>
    <xdr:ext cx="552450" cy="552450"/>
    <xdr:pic>
      <xdr:nvPicPr>
        <xdr:cNvPr id="0" name="image23.jp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42</xdr:row>
      <xdr:rowOff>0</xdr:rowOff>
    </xdr:from>
    <xdr:ext cx="552450" cy="552450"/>
    <xdr:pic>
      <xdr:nvPicPr>
        <xdr:cNvPr id="0" name="image48.jp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43</xdr:row>
      <xdr:rowOff>0</xdr:rowOff>
    </xdr:from>
    <xdr:ext cx="552450" cy="552450"/>
    <xdr:pic>
      <xdr:nvPicPr>
        <xdr:cNvPr id="0" name="image60.jp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44</xdr:row>
      <xdr:rowOff>0</xdr:rowOff>
    </xdr:from>
    <xdr:ext cx="552450" cy="552450"/>
    <xdr:pic>
      <xdr:nvPicPr>
        <xdr:cNvPr id="0" name="image24.jp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45</xdr:row>
      <xdr:rowOff>0</xdr:rowOff>
    </xdr:from>
    <xdr:ext cx="552450" cy="552450"/>
    <xdr:pic>
      <xdr:nvPicPr>
        <xdr:cNvPr id="0" name="image17.jp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46</xdr:row>
      <xdr:rowOff>0</xdr:rowOff>
    </xdr:from>
    <xdr:ext cx="552450" cy="552450"/>
    <xdr:pic>
      <xdr:nvPicPr>
        <xdr:cNvPr id="0" name="image7.jp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47</xdr:row>
      <xdr:rowOff>0</xdr:rowOff>
    </xdr:from>
    <xdr:ext cx="552450" cy="552450"/>
    <xdr:pic>
      <xdr:nvPicPr>
        <xdr:cNvPr id="0" name="image88.jp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48</xdr:row>
      <xdr:rowOff>0</xdr:rowOff>
    </xdr:from>
    <xdr:ext cx="552450" cy="552450"/>
    <xdr:pic>
      <xdr:nvPicPr>
        <xdr:cNvPr id="0" name="image13.jp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49</xdr:row>
      <xdr:rowOff>0</xdr:rowOff>
    </xdr:from>
    <xdr:ext cx="552450" cy="552450"/>
    <xdr:pic>
      <xdr:nvPicPr>
        <xdr:cNvPr id="0" name="image33.jp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50</xdr:row>
      <xdr:rowOff>0</xdr:rowOff>
    </xdr:from>
    <xdr:ext cx="552450" cy="552450"/>
    <xdr:pic>
      <xdr:nvPicPr>
        <xdr:cNvPr id="0" name="image19.jp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51</xdr:row>
      <xdr:rowOff>0</xdr:rowOff>
    </xdr:from>
    <xdr:ext cx="552450" cy="552450"/>
    <xdr:pic>
      <xdr:nvPicPr>
        <xdr:cNvPr id="0" name="image31.jp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52</xdr:row>
      <xdr:rowOff>0</xdr:rowOff>
    </xdr:from>
    <xdr:ext cx="552450" cy="552450"/>
    <xdr:pic>
      <xdr:nvPicPr>
        <xdr:cNvPr id="0" name="image127.jp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53</xdr:row>
      <xdr:rowOff>0</xdr:rowOff>
    </xdr:from>
    <xdr:ext cx="552450" cy="552450"/>
    <xdr:pic>
      <xdr:nvPicPr>
        <xdr:cNvPr id="0" name="image216.jp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54</xdr:row>
      <xdr:rowOff>0</xdr:rowOff>
    </xdr:from>
    <xdr:ext cx="552450" cy="552450"/>
    <xdr:pic>
      <xdr:nvPicPr>
        <xdr:cNvPr id="0" name="image25.jp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55</xdr:row>
      <xdr:rowOff>0</xdr:rowOff>
    </xdr:from>
    <xdr:ext cx="552450" cy="552450"/>
    <xdr:pic>
      <xdr:nvPicPr>
        <xdr:cNvPr id="0" name="image41.jp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56</xdr:row>
      <xdr:rowOff>0</xdr:rowOff>
    </xdr:from>
    <xdr:ext cx="552450" cy="552450"/>
    <xdr:pic>
      <xdr:nvPicPr>
        <xdr:cNvPr id="0" name="image26.jp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57</xdr:row>
      <xdr:rowOff>0</xdr:rowOff>
    </xdr:from>
    <xdr:ext cx="552450" cy="552450"/>
    <xdr:pic>
      <xdr:nvPicPr>
        <xdr:cNvPr id="0" name="image28.jp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58</xdr:row>
      <xdr:rowOff>0</xdr:rowOff>
    </xdr:from>
    <xdr:ext cx="552450" cy="552450"/>
    <xdr:pic>
      <xdr:nvPicPr>
        <xdr:cNvPr id="0" name="image45.jp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59</xdr:row>
      <xdr:rowOff>0</xdr:rowOff>
    </xdr:from>
    <xdr:ext cx="552450" cy="552450"/>
    <xdr:pic>
      <xdr:nvPicPr>
        <xdr:cNvPr id="0" name="image43.jp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60</xdr:row>
      <xdr:rowOff>0</xdr:rowOff>
    </xdr:from>
    <xdr:ext cx="552450" cy="552450"/>
    <xdr:pic>
      <xdr:nvPicPr>
        <xdr:cNvPr id="0" name="image58.jp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61</xdr:row>
      <xdr:rowOff>0</xdr:rowOff>
    </xdr:from>
    <xdr:ext cx="552450" cy="552450"/>
    <xdr:pic>
      <xdr:nvPicPr>
        <xdr:cNvPr id="0" name="image106.jp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62</xdr:row>
      <xdr:rowOff>0</xdr:rowOff>
    </xdr:from>
    <xdr:ext cx="552450" cy="552450"/>
    <xdr:pic>
      <xdr:nvPicPr>
        <xdr:cNvPr id="0" name="image47.jp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63</xdr:row>
      <xdr:rowOff>0</xdr:rowOff>
    </xdr:from>
    <xdr:ext cx="552450" cy="552450"/>
    <xdr:pic>
      <xdr:nvPicPr>
        <xdr:cNvPr id="0" name="image39.jp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64</xdr:row>
      <xdr:rowOff>0</xdr:rowOff>
    </xdr:from>
    <xdr:ext cx="552450" cy="552450"/>
    <xdr:pic>
      <xdr:nvPicPr>
        <xdr:cNvPr id="0" name="image134.jp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65</xdr:row>
      <xdr:rowOff>0</xdr:rowOff>
    </xdr:from>
    <xdr:ext cx="552450" cy="552450"/>
    <xdr:pic>
      <xdr:nvPicPr>
        <xdr:cNvPr id="0" name="image44.jp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66</xdr:row>
      <xdr:rowOff>0</xdr:rowOff>
    </xdr:from>
    <xdr:ext cx="552450" cy="552450"/>
    <xdr:pic>
      <xdr:nvPicPr>
        <xdr:cNvPr id="0" name="image75.jp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67</xdr:row>
      <xdr:rowOff>0</xdr:rowOff>
    </xdr:from>
    <xdr:ext cx="552450" cy="552450"/>
    <xdr:pic>
      <xdr:nvPicPr>
        <xdr:cNvPr id="0" name="image204.jp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68</xdr:row>
      <xdr:rowOff>0</xdr:rowOff>
    </xdr:from>
    <xdr:ext cx="552450" cy="552450"/>
    <xdr:pic>
      <xdr:nvPicPr>
        <xdr:cNvPr id="0" name="image67.jp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69</xdr:row>
      <xdr:rowOff>0</xdr:rowOff>
    </xdr:from>
    <xdr:ext cx="552450" cy="552450"/>
    <xdr:pic>
      <xdr:nvPicPr>
        <xdr:cNvPr id="0" name="image51.jp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70</xdr:row>
      <xdr:rowOff>0</xdr:rowOff>
    </xdr:from>
    <xdr:ext cx="552450" cy="552450"/>
    <xdr:pic>
      <xdr:nvPicPr>
        <xdr:cNvPr id="0" name="image102.jp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71</xdr:row>
      <xdr:rowOff>0</xdr:rowOff>
    </xdr:from>
    <xdr:ext cx="552450" cy="552450"/>
    <xdr:pic>
      <xdr:nvPicPr>
        <xdr:cNvPr id="0" name="image55.jp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72</xdr:row>
      <xdr:rowOff>0</xdr:rowOff>
    </xdr:from>
    <xdr:ext cx="552450" cy="552450"/>
    <xdr:pic>
      <xdr:nvPicPr>
        <xdr:cNvPr id="0" name="image70.jp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73</xdr:row>
      <xdr:rowOff>0</xdr:rowOff>
    </xdr:from>
    <xdr:ext cx="552450" cy="552450"/>
    <xdr:pic>
      <xdr:nvPicPr>
        <xdr:cNvPr id="0" name="image283.jp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74</xdr:row>
      <xdr:rowOff>0</xdr:rowOff>
    </xdr:from>
    <xdr:ext cx="552450" cy="552450"/>
    <xdr:pic>
      <xdr:nvPicPr>
        <xdr:cNvPr id="0" name="image57.jp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75</xdr:row>
      <xdr:rowOff>0</xdr:rowOff>
    </xdr:from>
    <xdr:ext cx="552450" cy="552450"/>
    <xdr:pic>
      <xdr:nvPicPr>
        <xdr:cNvPr id="0" name="image53.jp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76</xdr:row>
      <xdr:rowOff>0</xdr:rowOff>
    </xdr:from>
    <xdr:ext cx="552450" cy="552450"/>
    <xdr:pic>
      <xdr:nvPicPr>
        <xdr:cNvPr id="0" name="image54.jp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77</xdr:row>
      <xdr:rowOff>0</xdr:rowOff>
    </xdr:from>
    <xdr:ext cx="552450" cy="552450"/>
    <xdr:pic>
      <xdr:nvPicPr>
        <xdr:cNvPr id="0" name="image56.jp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78</xdr:row>
      <xdr:rowOff>0</xdr:rowOff>
    </xdr:from>
    <xdr:ext cx="552450" cy="552450"/>
    <xdr:pic>
      <xdr:nvPicPr>
        <xdr:cNvPr id="0" name="image63.jp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79</xdr:row>
      <xdr:rowOff>0</xdr:rowOff>
    </xdr:from>
    <xdr:ext cx="552450" cy="552450"/>
    <xdr:pic>
      <xdr:nvPicPr>
        <xdr:cNvPr id="0" name="image80.jp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80</xdr:row>
      <xdr:rowOff>0</xdr:rowOff>
    </xdr:from>
    <xdr:ext cx="552450" cy="552450"/>
    <xdr:pic>
      <xdr:nvPicPr>
        <xdr:cNvPr id="0" name="image120.jp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81</xdr:row>
      <xdr:rowOff>0</xdr:rowOff>
    </xdr:from>
    <xdr:ext cx="552450" cy="552450"/>
    <xdr:pic>
      <xdr:nvPicPr>
        <xdr:cNvPr id="0" name="image65.jp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82</xdr:row>
      <xdr:rowOff>0</xdr:rowOff>
    </xdr:from>
    <xdr:ext cx="552450" cy="552450"/>
    <xdr:pic>
      <xdr:nvPicPr>
        <xdr:cNvPr id="0" name="image49.jp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83</xdr:row>
      <xdr:rowOff>0</xdr:rowOff>
    </xdr:from>
    <xdr:ext cx="552450" cy="552450"/>
    <xdr:pic>
      <xdr:nvPicPr>
        <xdr:cNvPr id="0" name="image129.jp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84</xdr:row>
      <xdr:rowOff>0</xdr:rowOff>
    </xdr:from>
    <xdr:ext cx="552450" cy="552450"/>
    <xdr:pic>
      <xdr:nvPicPr>
        <xdr:cNvPr id="0" name="image59.jp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85</xdr:row>
      <xdr:rowOff>0</xdr:rowOff>
    </xdr:from>
    <xdr:ext cx="552450" cy="552450"/>
    <xdr:pic>
      <xdr:nvPicPr>
        <xdr:cNvPr id="0" name="image116.jp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86</xdr:row>
      <xdr:rowOff>0</xdr:rowOff>
    </xdr:from>
    <xdr:ext cx="552450" cy="552450"/>
    <xdr:pic>
      <xdr:nvPicPr>
        <xdr:cNvPr id="0" name="image145.jp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87</xdr:row>
      <xdr:rowOff>0</xdr:rowOff>
    </xdr:from>
    <xdr:ext cx="552450" cy="552450"/>
    <xdr:pic>
      <xdr:nvPicPr>
        <xdr:cNvPr id="0" name="image147.jp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88</xdr:row>
      <xdr:rowOff>0</xdr:rowOff>
    </xdr:from>
    <xdr:ext cx="552450" cy="552450"/>
    <xdr:pic>
      <xdr:nvPicPr>
        <xdr:cNvPr id="0" name="image52.jp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89</xdr:row>
      <xdr:rowOff>0</xdr:rowOff>
    </xdr:from>
    <xdr:ext cx="552450" cy="552450"/>
    <xdr:pic>
      <xdr:nvPicPr>
        <xdr:cNvPr id="0" name="image61.jp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90</xdr:row>
      <xdr:rowOff>0</xdr:rowOff>
    </xdr:from>
    <xdr:ext cx="552450" cy="552450"/>
    <xdr:pic>
      <xdr:nvPicPr>
        <xdr:cNvPr id="0" name="image66.jp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91</xdr:row>
      <xdr:rowOff>0</xdr:rowOff>
    </xdr:from>
    <xdr:ext cx="552450" cy="552450"/>
    <xdr:pic>
      <xdr:nvPicPr>
        <xdr:cNvPr id="0" name="image87.jp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92</xdr:row>
      <xdr:rowOff>0</xdr:rowOff>
    </xdr:from>
    <xdr:ext cx="552450" cy="552450"/>
    <xdr:pic>
      <xdr:nvPicPr>
        <xdr:cNvPr id="0" name="image69.jpg"/>
        <xdr:cNvPicPr preferRelativeResize="0"/>
      </xdr:nvPicPr>
      <xdr:blipFill>
        <a:blip cstate="print" r:embed="rId92"/>
        <a:stretch>
          <a:fillRect/>
        </a:stretch>
      </xdr:blipFill>
      <xdr:spPr>
        <a:prstGeom prst="rect">
          <a:avLst/>
        </a:prstGeom>
        <a:noFill/>
      </xdr:spPr>
    </xdr:pic>
    <xdr:clientData fLocksWithSheet="0"/>
  </xdr:oneCellAnchor>
  <xdr:oneCellAnchor>
    <xdr:from>
      <xdr:col>1</xdr:col>
      <xdr:colOff>0</xdr:colOff>
      <xdr:row>93</xdr:row>
      <xdr:rowOff>0</xdr:rowOff>
    </xdr:from>
    <xdr:ext cx="552450" cy="552450"/>
    <xdr:pic>
      <xdr:nvPicPr>
        <xdr:cNvPr id="0" name="image107.jp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94</xdr:row>
      <xdr:rowOff>0</xdr:rowOff>
    </xdr:from>
    <xdr:ext cx="552450" cy="552450"/>
    <xdr:pic>
      <xdr:nvPicPr>
        <xdr:cNvPr id="0" name="image76.jpg"/>
        <xdr:cNvPicPr preferRelativeResize="0"/>
      </xdr:nvPicPr>
      <xdr:blipFill>
        <a:blip cstate="print" r:embed="rId94"/>
        <a:stretch>
          <a:fillRect/>
        </a:stretch>
      </xdr:blipFill>
      <xdr:spPr>
        <a:prstGeom prst="rect">
          <a:avLst/>
        </a:prstGeom>
        <a:noFill/>
      </xdr:spPr>
    </xdr:pic>
    <xdr:clientData fLocksWithSheet="0"/>
  </xdr:oneCellAnchor>
  <xdr:oneCellAnchor>
    <xdr:from>
      <xdr:col>1</xdr:col>
      <xdr:colOff>0</xdr:colOff>
      <xdr:row>95</xdr:row>
      <xdr:rowOff>0</xdr:rowOff>
    </xdr:from>
    <xdr:ext cx="552450" cy="552450"/>
    <xdr:pic>
      <xdr:nvPicPr>
        <xdr:cNvPr id="0" name="image62.jp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96</xdr:row>
      <xdr:rowOff>0</xdr:rowOff>
    </xdr:from>
    <xdr:ext cx="552450" cy="552450"/>
    <xdr:pic>
      <xdr:nvPicPr>
        <xdr:cNvPr id="0" name="image82.jpg"/>
        <xdr:cNvPicPr preferRelativeResize="0"/>
      </xdr:nvPicPr>
      <xdr:blipFill>
        <a:blip cstate="print" r:embed="rId96"/>
        <a:stretch>
          <a:fillRect/>
        </a:stretch>
      </xdr:blipFill>
      <xdr:spPr>
        <a:prstGeom prst="rect">
          <a:avLst/>
        </a:prstGeom>
        <a:noFill/>
      </xdr:spPr>
    </xdr:pic>
    <xdr:clientData fLocksWithSheet="0"/>
  </xdr:oneCellAnchor>
  <xdr:oneCellAnchor>
    <xdr:from>
      <xdr:col>1</xdr:col>
      <xdr:colOff>0</xdr:colOff>
      <xdr:row>97</xdr:row>
      <xdr:rowOff>0</xdr:rowOff>
    </xdr:from>
    <xdr:ext cx="552450" cy="552450"/>
    <xdr:pic>
      <xdr:nvPicPr>
        <xdr:cNvPr id="0" name="image78.jp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98</xdr:row>
      <xdr:rowOff>0</xdr:rowOff>
    </xdr:from>
    <xdr:ext cx="552450" cy="552450"/>
    <xdr:pic>
      <xdr:nvPicPr>
        <xdr:cNvPr id="0" name="image74.jp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99</xdr:row>
      <xdr:rowOff>0</xdr:rowOff>
    </xdr:from>
    <xdr:ext cx="552450" cy="552450"/>
    <xdr:pic>
      <xdr:nvPicPr>
        <xdr:cNvPr id="0" name="image68.jp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100</xdr:row>
      <xdr:rowOff>0</xdr:rowOff>
    </xdr:from>
    <xdr:ext cx="552450" cy="552450"/>
    <xdr:pic>
      <xdr:nvPicPr>
        <xdr:cNvPr id="0" name="image91.jpg"/>
        <xdr:cNvPicPr preferRelativeResize="0"/>
      </xdr:nvPicPr>
      <xdr:blipFill>
        <a:blip cstate="print" r:embed="rId100"/>
        <a:stretch>
          <a:fillRect/>
        </a:stretch>
      </xdr:blipFill>
      <xdr:spPr>
        <a:prstGeom prst="rect">
          <a:avLst/>
        </a:prstGeom>
        <a:noFill/>
      </xdr:spPr>
    </xdr:pic>
    <xdr:clientData fLocksWithSheet="0"/>
  </xdr:oneCellAnchor>
  <xdr:oneCellAnchor>
    <xdr:from>
      <xdr:col>1</xdr:col>
      <xdr:colOff>0</xdr:colOff>
      <xdr:row>101</xdr:row>
      <xdr:rowOff>0</xdr:rowOff>
    </xdr:from>
    <xdr:ext cx="552450" cy="552450"/>
    <xdr:pic>
      <xdr:nvPicPr>
        <xdr:cNvPr id="0" name="image72.jp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102</xdr:row>
      <xdr:rowOff>0</xdr:rowOff>
    </xdr:from>
    <xdr:ext cx="552450" cy="552450"/>
    <xdr:pic>
      <xdr:nvPicPr>
        <xdr:cNvPr id="0" name="image71.jpg"/>
        <xdr:cNvPicPr preferRelativeResize="0"/>
      </xdr:nvPicPr>
      <xdr:blipFill>
        <a:blip cstate="print" r:embed="rId102"/>
        <a:stretch>
          <a:fillRect/>
        </a:stretch>
      </xdr:blipFill>
      <xdr:spPr>
        <a:prstGeom prst="rect">
          <a:avLst/>
        </a:prstGeom>
        <a:noFill/>
      </xdr:spPr>
    </xdr:pic>
    <xdr:clientData fLocksWithSheet="0"/>
  </xdr:oneCellAnchor>
  <xdr:oneCellAnchor>
    <xdr:from>
      <xdr:col>1</xdr:col>
      <xdr:colOff>0</xdr:colOff>
      <xdr:row>103</xdr:row>
      <xdr:rowOff>0</xdr:rowOff>
    </xdr:from>
    <xdr:ext cx="552450" cy="552450"/>
    <xdr:pic>
      <xdr:nvPicPr>
        <xdr:cNvPr id="0" name="image79.jp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104</xdr:row>
      <xdr:rowOff>0</xdr:rowOff>
    </xdr:from>
    <xdr:ext cx="552450" cy="552450"/>
    <xdr:pic>
      <xdr:nvPicPr>
        <xdr:cNvPr id="0" name="image101.jp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105</xdr:row>
      <xdr:rowOff>0</xdr:rowOff>
    </xdr:from>
    <xdr:ext cx="552450" cy="552450"/>
    <xdr:pic>
      <xdr:nvPicPr>
        <xdr:cNvPr id="0" name="image241.jp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106</xdr:row>
      <xdr:rowOff>0</xdr:rowOff>
    </xdr:from>
    <xdr:ext cx="552450" cy="552450"/>
    <xdr:pic>
      <xdr:nvPicPr>
        <xdr:cNvPr id="0" name="image142.jp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107</xdr:row>
      <xdr:rowOff>0</xdr:rowOff>
    </xdr:from>
    <xdr:ext cx="552450" cy="552450"/>
    <xdr:pic>
      <xdr:nvPicPr>
        <xdr:cNvPr id="0" name="image77.jpg"/>
        <xdr:cNvPicPr preferRelativeResize="0"/>
      </xdr:nvPicPr>
      <xdr:blipFill>
        <a:blip cstate="print" r:embed="rId107"/>
        <a:stretch>
          <a:fillRect/>
        </a:stretch>
      </xdr:blipFill>
      <xdr:spPr>
        <a:prstGeom prst="rect">
          <a:avLst/>
        </a:prstGeom>
        <a:noFill/>
      </xdr:spPr>
    </xdr:pic>
    <xdr:clientData fLocksWithSheet="0"/>
  </xdr:oneCellAnchor>
  <xdr:oneCellAnchor>
    <xdr:from>
      <xdr:col>1</xdr:col>
      <xdr:colOff>0</xdr:colOff>
      <xdr:row>108</xdr:row>
      <xdr:rowOff>0</xdr:rowOff>
    </xdr:from>
    <xdr:ext cx="552450" cy="552450"/>
    <xdr:pic>
      <xdr:nvPicPr>
        <xdr:cNvPr id="0" name="image98.jp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109</xdr:row>
      <xdr:rowOff>0</xdr:rowOff>
    </xdr:from>
    <xdr:ext cx="552450" cy="552450"/>
    <xdr:pic>
      <xdr:nvPicPr>
        <xdr:cNvPr id="0" name="image256.jpg"/>
        <xdr:cNvPicPr preferRelativeResize="0"/>
      </xdr:nvPicPr>
      <xdr:blipFill>
        <a:blip cstate="print" r:embed="rId109"/>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333375" cy="333375"/>
    <xdr:pic>
      <xdr:nvPicPr>
        <xdr:cNvPr id="0" name="image83.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333375" cy="333375"/>
    <xdr:pic>
      <xdr:nvPicPr>
        <xdr:cNvPr id="0" name="image81.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333375" cy="333375"/>
    <xdr:pic>
      <xdr:nvPicPr>
        <xdr:cNvPr id="0" name="image94.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333375" cy="333375"/>
    <xdr:pic>
      <xdr:nvPicPr>
        <xdr:cNvPr id="0" name="image105.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333375" cy="333375"/>
    <xdr:pic>
      <xdr:nvPicPr>
        <xdr:cNvPr id="0" name="image156.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333375" cy="333375"/>
    <xdr:pic>
      <xdr:nvPicPr>
        <xdr:cNvPr id="0" name="image156.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8</xdr:row>
      <xdr:rowOff>0</xdr:rowOff>
    </xdr:from>
    <xdr:ext cx="333375" cy="333375"/>
    <xdr:pic>
      <xdr:nvPicPr>
        <xdr:cNvPr id="0" name="image156.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9</xdr:row>
      <xdr:rowOff>0</xdr:rowOff>
    </xdr:from>
    <xdr:ext cx="333375" cy="333375"/>
    <xdr:pic>
      <xdr:nvPicPr>
        <xdr:cNvPr id="0" name="image92.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10</xdr:row>
      <xdr:rowOff>0</xdr:rowOff>
    </xdr:from>
    <xdr:ext cx="333375" cy="333375"/>
    <xdr:pic>
      <xdr:nvPicPr>
        <xdr:cNvPr id="0" name="image100.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11</xdr:row>
      <xdr:rowOff>0</xdr:rowOff>
    </xdr:from>
    <xdr:ext cx="333375" cy="333375"/>
    <xdr:pic>
      <xdr:nvPicPr>
        <xdr:cNvPr id="0" name="image95.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12</xdr:row>
      <xdr:rowOff>0</xdr:rowOff>
    </xdr:from>
    <xdr:ext cx="333375" cy="333375"/>
    <xdr:pic>
      <xdr:nvPicPr>
        <xdr:cNvPr id="0" name="image137.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13</xdr:row>
      <xdr:rowOff>0</xdr:rowOff>
    </xdr:from>
    <xdr:ext cx="333375" cy="333375"/>
    <xdr:pic>
      <xdr:nvPicPr>
        <xdr:cNvPr id="0" name="image86.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14</xdr:row>
      <xdr:rowOff>0</xdr:rowOff>
    </xdr:from>
    <xdr:ext cx="333375" cy="333375"/>
    <xdr:pic>
      <xdr:nvPicPr>
        <xdr:cNvPr id="0" name="image97.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15</xdr:row>
      <xdr:rowOff>0</xdr:rowOff>
    </xdr:from>
    <xdr:ext cx="333375" cy="333375"/>
    <xdr:pic>
      <xdr:nvPicPr>
        <xdr:cNvPr id="0" name="image96.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16</xdr:row>
      <xdr:rowOff>0</xdr:rowOff>
    </xdr:from>
    <xdr:ext cx="333375" cy="333375"/>
    <xdr:pic>
      <xdr:nvPicPr>
        <xdr:cNvPr id="0" name="image96.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17</xdr:row>
      <xdr:rowOff>0</xdr:rowOff>
    </xdr:from>
    <xdr:ext cx="333375" cy="333375"/>
    <xdr:pic>
      <xdr:nvPicPr>
        <xdr:cNvPr id="0" name="image104.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18</xdr:row>
      <xdr:rowOff>0</xdr:rowOff>
    </xdr:from>
    <xdr:ext cx="333375" cy="333375"/>
    <xdr:pic>
      <xdr:nvPicPr>
        <xdr:cNvPr id="0" name="image115.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19</xdr:row>
      <xdr:rowOff>0</xdr:rowOff>
    </xdr:from>
    <xdr:ext cx="333375" cy="333375"/>
    <xdr:pic>
      <xdr:nvPicPr>
        <xdr:cNvPr id="0" name="image89.jp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20</xdr:row>
      <xdr:rowOff>0</xdr:rowOff>
    </xdr:from>
    <xdr:ext cx="333375" cy="333375"/>
    <xdr:pic>
      <xdr:nvPicPr>
        <xdr:cNvPr id="0" name="image89.jp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21</xdr:row>
      <xdr:rowOff>0</xdr:rowOff>
    </xdr:from>
    <xdr:ext cx="333375" cy="333375"/>
    <xdr:pic>
      <xdr:nvPicPr>
        <xdr:cNvPr id="0" name="image112.jp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22</xdr:row>
      <xdr:rowOff>0</xdr:rowOff>
    </xdr:from>
    <xdr:ext cx="333375" cy="333375"/>
    <xdr:pic>
      <xdr:nvPicPr>
        <xdr:cNvPr id="0" name="image93.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23</xdr:row>
      <xdr:rowOff>0</xdr:rowOff>
    </xdr:from>
    <xdr:ext cx="333375" cy="333375"/>
    <xdr:pic>
      <xdr:nvPicPr>
        <xdr:cNvPr id="0" name="image103.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24</xdr:row>
      <xdr:rowOff>0</xdr:rowOff>
    </xdr:from>
    <xdr:ext cx="333375" cy="333375"/>
    <xdr:pic>
      <xdr:nvPicPr>
        <xdr:cNvPr id="0" name="image103.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25</xdr:row>
      <xdr:rowOff>0</xdr:rowOff>
    </xdr:from>
    <xdr:ext cx="333375" cy="333375"/>
    <xdr:pic>
      <xdr:nvPicPr>
        <xdr:cNvPr id="0" name="image103.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26</xdr:row>
      <xdr:rowOff>0</xdr:rowOff>
    </xdr:from>
    <xdr:ext cx="333375" cy="333375"/>
    <xdr:pic>
      <xdr:nvPicPr>
        <xdr:cNvPr id="0" name="image103.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27</xdr:row>
      <xdr:rowOff>0</xdr:rowOff>
    </xdr:from>
    <xdr:ext cx="333375" cy="333375"/>
    <xdr:pic>
      <xdr:nvPicPr>
        <xdr:cNvPr id="0" name="image153.jp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28</xdr:row>
      <xdr:rowOff>0</xdr:rowOff>
    </xdr:from>
    <xdr:ext cx="333375" cy="333375"/>
    <xdr:pic>
      <xdr:nvPicPr>
        <xdr:cNvPr id="0" name="image124.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29</xdr:row>
      <xdr:rowOff>0</xdr:rowOff>
    </xdr:from>
    <xdr:ext cx="333375" cy="333375"/>
    <xdr:pic>
      <xdr:nvPicPr>
        <xdr:cNvPr id="0" name="image124.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30</xdr:row>
      <xdr:rowOff>0</xdr:rowOff>
    </xdr:from>
    <xdr:ext cx="333375" cy="333375"/>
    <xdr:pic>
      <xdr:nvPicPr>
        <xdr:cNvPr id="0" name="image124.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31</xdr:row>
      <xdr:rowOff>0</xdr:rowOff>
    </xdr:from>
    <xdr:ext cx="333375" cy="333375"/>
    <xdr:pic>
      <xdr:nvPicPr>
        <xdr:cNvPr id="0" name="image124.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32</xdr:row>
      <xdr:rowOff>0</xdr:rowOff>
    </xdr:from>
    <xdr:ext cx="333375" cy="333375"/>
    <xdr:pic>
      <xdr:nvPicPr>
        <xdr:cNvPr id="0" name="image124.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33</xdr:row>
      <xdr:rowOff>0</xdr:rowOff>
    </xdr:from>
    <xdr:ext cx="333375" cy="333375"/>
    <xdr:pic>
      <xdr:nvPicPr>
        <xdr:cNvPr id="0" name="image143.jp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34</xdr:row>
      <xdr:rowOff>0</xdr:rowOff>
    </xdr:from>
    <xdr:ext cx="333375" cy="333375"/>
    <xdr:pic>
      <xdr:nvPicPr>
        <xdr:cNvPr id="0" name="image136.jp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35</xdr:row>
      <xdr:rowOff>0</xdr:rowOff>
    </xdr:from>
    <xdr:ext cx="333375" cy="333375"/>
    <xdr:pic>
      <xdr:nvPicPr>
        <xdr:cNvPr id="0" name="image108.jp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36</xdr:row>
      <xdr:rowOff>0</xdr:rowOff>
    </xdr:from>
    <xdr:ext cx="333375" cy="333375"/>
    <xdr:pic>
      <xdr:nvPicPr>
        <xdr:cNvPr id="0" name="image212.jp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37</xdr:row>
      <xdr:rowOff>0</xdr:rowOff>
    </xdr:from>
    <xdr:ext cx="333375" cy="333375"/>
    <xdr:pic>
      <xdr:nvPicPr>
        <xdr:cNvPr id="0" name="image128.jp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38</xdr:row>
      <xdr:rowOff>0</xdr:rowOff>
    </xdr:from>
    <xdr:ext cx="333375" cy="333375"/>
    <xdr:pic>
      <xdr:nvPicPr>
        <xdr:cNvPr id="0" name="image110.jp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39</xdr:row>
      <xdr:rowOff>0</xdr:rowOff>
    </xdr:from>
    <xdr:ext cx="333375" cy="333375"/>
    <xdr:pic>
      <xdr:nvPicPr>
        <xdr:cNvPr id="0" name="image110.jp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40</xdr:row>
      <xdr:rowOff>0</xdr:rowOff>
    </xdr:from>
    <xdr:ext cx="333375" cy="333375"/>
    <xdr:pic>
      <xdr:nvPicPr>
        <xdr:cNvPr id="0" name="image111.jp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41</xdr:row>
      <xdr:rowOff>0</xdr:rowOff>
    </xdr:from>
    <xdr:ext cx="333375" cy="333375"/>
    <xdr:pic>
      <xdr:nvPicPr>
        <xdr:cNvPr id="0" name="image121.jp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42</xdr:row>
      <xdr:rowOff>0</xdr:rowOff>
    </xdr:from>
    <xdr:ext cx="333375" cy="333375"/>
    <xdr:pic>
      <xdr:nvPicPr>
        <xdr:cNvPr id="0" name="image109.jp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43</xdr:row>
      <xdr:rowOff>0</xdr:rowOff>
    </xdr:from>
    <xdr:ext cx="333375" cy="333375"/>
    <xdr:pic>
      <xdr:nvPicPr>
        <xdr:cNvPr id="0" name="image113.jp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44</xdr:row>
      <xdr:rowOff>0</xdr:rowOff>
    </xdr:from>
    <xdr:ext cx="333375" cy="333375"/>
    <xdr:pic>
      <xdr:nvPicPr>
        <xdr:cNvPr id="0" name="image144.jp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45</xdr:row>
      <xdr:rowOff>0</xdr:rowOff>
    </xdr:from>
    <xdr:ext cx="333375" cy="333375"/>
    <xdr:pic>
      <xdr:nvPicPr>
        <xdr:cNvPr id="0" name="image119.jp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46</xdr:row>
      <xdr:rowOff>0</xdr:rowOff>
    </xdr:from>
    <xdr:ext cx="333375" cy="333375"/>
    <xdr:pic>
      <xdr:nvPicPr>
        <xdr:cNvPr id="0" name="image158.jp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47</xdr:row>
      <xdr:rowOff>0</xdr:rowOff>
    </xdr:from>
    <xdr:ext cx="333375" cy="333375"/>
    <xdr:pic>
      <xdr:nvPicPr>
        <xdr:cNvPr id="0" name="image201.jp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48</xdr:row>
      <xdr:rowOff>0</xdr:rowOff>
    </xdr:from>
    <xdr:ext cx="333375" cy="333375"/>
    <xdr:pic>
      <xdr:nvPicPr>
        <xdr:cNvPr id="0" name="image201.jp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49</xdr:row>
      <xdr:rowOff>0</xdr:rowOff>
    </xdr:from>
    <xdr:ext cx="333375" cy="333375"/>
    <xdr:pic>
      <xdr:nvPicPr>
        <xdr:cNvPr id="0" name="image140.jp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50</xdr:row>
      <xdr:rowOff>0</xdr:rowOff>
    </xdr:from>
    <xdr:ext cx="333375" cy="333375"/>
    <xdr:pic>
      <xdr:nvPicPr>
        <xdr:cNvPr id="0" name="image125.jp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51</xdr:row>
      <xdr:rowOff>0</xdr:rowOff>
    </xdr:from>
    <xdr:ext cx="333375" cy="333375"/>
    <xdr:pic>
      <xdr:nvPicPr>
        <xdr:cNvPr id="0" name="image41.jp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52</xdr:row>
      <xdr:rowOff>0</xdr:rowOff>
    </xdr:from>
    <xdr:ext cx="333375" cy="333375"/>
    <xdr:pic>
      <xdr:nvPicPr>
        <xdr:cNvPr id="0" name="image41.jp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53</xdr:row>
      <xdr:rowOff>0</xdr:rowOff>
    </xdr:from>
    <xdr:ext cx="333375" cy="333375"/>
    <xdr:pic>
      <xdr:nvPicPr>
        <xdr:cNvPr id="0" name="image126.jp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54</xdr:row>
      <xdr:rowOff>0</xdr:rowOff>
    </xdr:from>
    <xdr:ext cx="333375" cy="333375"/>
    <xdr:pic>
      <xdr:nvPicPr>
        <xdr:cNvPr id="0" name="image126.jp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55</xdr:row>
      <xdr:rowOff>0</xdr:rowOff>
    </xdr:from>
    <xdr:ext cx="333375" cy="333375"/>
    <xdr:pic>
      <xdr:nvPicPr>
        <xdr:cNvPr id="0" name="image118.jp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56</xdr:row>
      <xdr:rowOff>0</xdr:rowOff>
    </xdr:from>
    <xdr:ext cx="333375" cy="333375"/>
    <xdr:pic>
      <xdr:nvPicPr>
        <xdr:cNvPr id="0" name="image122.jp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57</xdr:row>
      <xdr:rowOff>0</xdr:rowOff>
    </xdr:from>
    <xdr:ext cx="333375" cy="333375"/>
    <xdr:pic>
      <xdr:nvPicPr>
        <xdr:cNvPr id="0" name="image132.jp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58</xdr:row>
      <xdr:rowOff>0</xdr:rowOff>
    </xdr:from>
    <xdr:ext cx="333375" cy="333375"/>
    <xdr:pic>
      <xdr:nvPicPr>
        <xdr:cNvPr id="0" name="image249.jp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59</xdr:row>
      <xdr:rowOff>0</xdr:rowOff>
    </xdr:from>
    <xdr:ext cx="333375" cy="333375"/>
    <xdr:pic>
      <xdr:nvPicPr>
        <xdr:cNvPr id="0" name="image249.jp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60</xdr:row>
      <xdr:rowOff>0</xdr:rowOff>
    </xdr:from>
    <xdr:ext cx="333375" cy="333375"/>
    <xdr:pic>
      <xdr:nvPicPr>
        <xdr:cNvPr id="0" name="image249.jp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61</xdr:row>
      <xdr:rowOff>0</xdr:rowOff>
    </xdr:from>
    <xdr:ext cx="333375" cy="333375"/>
    <xdr:pic>
      <xdr:nvPicPr>
        <xdr:cNvPr id="0" name="image123.jp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62</xdr:row>
      <xdr:rowOff>0</xdr:rowOff>
    </xdr:from>
    <xdr:ext cx="333375" cy="333375"/>
    <xdr:pic>
      <xdr:nvPicPr>
        <xdr:cNvPr id="0" name="image123.jp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63</xdr:row>
      <xdr:rowOff>0</xdr:rowOff>
    </xdr:from>
    <xdr:ext cx="333375" cy="333375"/>
    <xdr:pic>
      <xdr:nvPicPr>
        <xdr:cNvPr id="0" name="image133.jpg"/>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64</xdr:row>
      <xdr:rowOff>0</xdr:rowOff>
    </xdr:from>
    <xdr:ext cx="333375" cy="333375"/>
    <xdr:pic>
      <xdr:nvPicPr>
        <xdr:cNvPr id="0" name="image207.jpg"/>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0</xdr:colOff>
      <xdr:row>65</xdr:row>
      <xdr:rowOff>0</xdr:rowOff>
    </xdr:from>
    <xdr:ext cx="333375" cy="333375"/>
    <xdr:pic>
      <xdr:nvPicPr>
        <xdr:cNvPr id="0" name="image200.jpg"/>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0</xdr:colOff>
      <xdr:row>66</xdr:row>
      <xdr:rowOff>0</xdr:rowOff>
    </xdr:from>
    <xdr:ext cx="333375" cy="333375"/>
    <xdr:pic>
      <xdr:nvPicPr>
        <xdr:cNvPr id="0" name="image184.jp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67</xdr:row>
      <xdr:rowOff>0</xdr:rowOff>
    </xdr:from>
    <xdr:ext cx="333375" cy="333375"/>
    <xdr:pic>
      <xdr:nvPicPr>
        <xdr:cNvPr id="0" name="image184.jp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68</xdr:row>
      <xdr:rowOff>0</xdr:rowOff>
    </xdr:from>
    <xdr:ext cx="333375" cy="333375"/>
    <xdr:pic>
      <xdr:nvPicPr>
        <xdr:cNvPr id="0" name="image159.jpg"/>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69</xdr:row>
      <xdr:rowOff>0</xdr:rowOff>
    </xdr:from>
    <xdr:ext cx="333375" cy="333375"/>
    <xdr:pic>
      <xdr:nvPicPr>
        <xdr:cNvPr id="0" name="image131.jpg"/>
        <xdr:cNvPicPr preferRelativeResize="0"/>
      </xdr:nvPicPr>
      <xdr:blipFill>
        <a:blip cstate="print" r:embed="rId49"/>
        <a:stretch>
          <a:fillRect/>
        </a:stretch>
      </xdr:blipFill>
      <xdr:spPr>
        <a:prstGeom prst="rect">
          <a:avLst/>
        </a:prstGeom>
        <a:noFill/>
      </xdr:spPr>
    </xdr:pic>
    <xdr:clientData fLocksWithSheet="0"/>
  </xdr:oneCellAnchor>
  <xdr:oneCellAnchor>
    <xdr:from>
      <xdr:col>0</xdr:col>
      <xdr:colOff>0</xdr:colOff>
      <xdr:row>70</xdr:row>
      <xdr:rowOff>0</xdr:rowOff>
    </xdr:from>
    <xdr:ext cx="333375" cy="333375"/>
    <xdr:pic>
      <xdr:nvPicPr>
        <xdr:cNvPr id="0" name="image130.jpg"/>
        <xdr:cNvPicPr preferRelativeResize="0"/>
      </xdr:nvPicPr>
      <xdr:blipFill>
        <a:blip cstate="print" r:embed="rId50"/>
        <a:stretch>
          <a:fillRect/>
        </a:stretch>
      </xdr:blipFill>
      <xdr:spPr>
        <a:prstGeom prst="rect">
          <a:avLst/>
        </a:prstGeom>
        <a:noFill/>
      </xdr:spPr>
    </xdr:pic>
    <xdr:clientData fLocksWithSheet="0"/>
  </xdr:oneCellAnchor>
  <xdr:oneCellAnchor>
    <xdr:from>
      <xdr:col>0</xdr:col>
      <xdr:colOff>0</xdr:colOff>
      <xdr:row>71</xdr:row>
      <xdr:rowOff>0</xdr:rowOff>
    </xdr:from>
    <xdr:ext cx="333375" cy="333375"/>
    <xdr:pic>
      <xdr:nvPicPr>
        <xdr:cNvPr id="0" name="image138.jpg"/>
        <xdr:cNvPicPr preferRelativeResize="0"/>
      </xdr:nvPicPr>
      <xdr:blipFill>
        <a:blip cstate="print" r:embed="rId51"/>
        <a:stretch>
          <a:fillRect/>
        </a:stretch>
      </xdr:blipFill>
      <xdr:spPr>
        <a:prstGeom prst="rect">
          <a:avLst/>
        </a:prstGeom>
        <a:noFill/>
      </xdr:spPr>
    </xdr:pic>
    <xdr:clientData fLocksWithSheet="0"/>
  </xdr:oneCellAnchor>
  <xdr:oneCellAnchor>
    <xdr:from>
      <xdr:col>0</xdr:col>
      <xdr:colOff>0</xdr:colOff>
      <xdr:row>72</xdr:row>
      <xdr:rowOff>0</xdr:rowOff>
    </xdr:from>
    <xdr:ext cx="333375" cy="333375"/>
    <xdr:pic>
      <xdr:nvPicPr>
        <xdr:cNvPr id="0" name="image139.jpg"/>
        <xdr:cNvPicPr preferRelativeResize="0"/>
      </xdr:nvPicPr>
      <xdr:blipFill>
        <a:blip cstate="print" r:embed="rId52"/>
        <a:stretch>
          <a:fillRect/>
        </a:stretch>
      </xdr:blipFill>
      <xdr:spPr>
        <a:prstGeom prst="rect">
          <a:avLst/>
        </a:prstGeom>
        <a:noFill/>
      </xdr:spPr>
    </xdr:pic>
    <xdr:clientData fLocksWithSheet="0"/>
  </xdr:oneCellAnchor>
  <xdr:oneCellAnchor>
    <xdr:from>
      <xdr:col>0</xdr:col>
      <xdr:colOff>0</xdr:colOff>
      <xdr:row>73</xdr:row>
      <xdr:rowOff>0</xdr:rowOff>
    </xdr:from>
    <xdr:ext cx="333375" cy="333375"/>
    <xdr:pic>
      <xdr:nvPicPr>
        <xdr:cNvPr id="0" name="image155.jpg"/>
        <xdr:cNvPicPr preferRelativeResize="0"/>
      </xdr:nvPicPr>
      <xdr:blipFill>
        <a:blip cstate="print" r:embed="rId53"/>
        <a:stretch>
          <a:fillRect/>
        </a:stretch>
      </xdr:blipFill>
      <xdr:spPr>
        <a:prstGeom prst="rect">
          <a:avLst/>
        </a:prstGeom>
        <a:noFill/>
      </xdr:spPr>
    </xdr:pic>
    <xdr:clientData fLocksWithSheet="0"/>
  </xdr:oneCellAnchor>
  <xdr:oneCellAnchor>
    <xdr:from>
      <xdr:col>0</xdr:col>
      <xdr:colOff>0</xdr:colOff>
      <xdr:row>74</xdr:row>
      <xdr:rowOff>0</xdr:rowOff>
    </xdr:from>
    <xdr:ext cx="333375" cy="333375"/>
    <xdr:pic>
      <xdr:nvPicPr>
        <xdr:cNvPr id="0" name="image155.jpg"/>
        <xdr:cNvPicPr preferRelativeResize="0"/>
      </xdr:nvPicPr>
      <xdr:blipFill>
        <a:blip cstate="print" r:embed="rId53"/>
        <a:stretch>
          <a:fillRect/>
        </a:stretch>
      </xdr:blipFill>
      <xdr:spPr>
        <a:prstGeom prst="rect">
          <a:avLst/>
        </a:prstGeom>
        <a:noFill/>
      </xdr:spPr>
    </xdr:pic>
    <xdr:clientData fLocksWithSheet="0"/>
  </xdr:oneCellAnchor>
  <xdr:oneCellAnchor>
    <xdr:from>
      <xdr:col>0</xdr:col>
      <xdr:colOff>0</xdr:colOff>
      <xdr:row>75</xdr:row>
      <xdr:rowOff>0</xdr:rowOff>
    </xdr:from>
    <xdr:ext cx="333375" cy="333375"/>
    <xdr:pic>
      <xdr:nvPicPr>
        <xdr:cNvPr id="0" name="image155.jpg"/>
        <xdr:cNvPicPr preferRelativeResize="0"/>
      </xdr:nvPicPr>
      <xdr:blipFill>
        <a:blip cstate="print" r:embed="rId53"/>
        <a:stretch>
          <a:fillRect/>
        </a:stretch>
      </xdr:blipFill>
      <xdr:spPr>
        <a:prstGeom prst="rect">
          <a:avLst/>
        </a:prstGeom>
        <a:noFill/>
      </xdr:spPr>
    </xdr:pic>
    <xdr:clientData fLocksWithSheet="0"/>
  </xdr:oneCellAnchor>
  <xdr:oneCellAnchor>
    <xdr:from>
      <xdr:col>0</xdr:col>
      <xdr:colOff>0</xdr:colOff>
      <xdr:row>76</xdr:row>
      <xdr:rowOff>0</xdr:rowOff>
    </xdr:from>
    <xdr:ext cx="333375" cy="333375"/>
    <xdr:pic>
      <xdr:nvPicPr>
        <xdr:cNvPr id="0" name="image139.jpg"/>
        <xdr:cNvPicPr preferRelativeResize="0"/>
      </xdr:nvPicPr>
      <xdr:blipFill>
        <a:blip cstate="print" r:embed="rId52"/>
        <a:stretch>
          <a:fillRect/>
        </a:stretch>
      </xdr:blipFill>
      <xdr:spPr>
        <a:prstGeom prst="rect">
          <a:avLst/>
        </a:prstGeom>
        <a:noFill/>
      </xdr:spPr>
    </xdr:pic>
    <xdr:clientData fLocksWithSheet="0"/>
  </xdr:oneCellAnchor>
  <xdr:oneCellAnchor>
    <xdr:from>
      <xdr:col>0</xdr:col>
      <xdr:colOff>0</xdr:colOff>
      <xdr:row>77</xdr:row>
      <xdr:rowOff>0</xdr:rowOff>
    </xdr:from>
    <xdr:ext cx="333375" cy="333375"/>
    <xdr:pic>
      <xdr:nvPicPr>
        <xdr:cNvPr id="0" name="image150.jpg"/>
        <xdr:cNvPicPr preferRelativeResize="0"/>
      </xdr:nvPicPr>
      <xdr:blipFill>
        <a:blip cstate="print" r:embed="rId54"/>
        <a:stretch>
          <a:fillRect/>
        </a:stretch>
      </xdr:blipFill>
      <xdr:spPr>
        <a:prstGeom prst="rect">
          <a:avLst/>
        </a:prstGeom>
        <a:noFill/>
      </xdr:spPr>
    </xdr:pic>
    <xdr:clientData fLocksWithSheet="0"/>
  </xdr:oneCellAnchor>
  <xdr:oneCellAnchor>
    <xdr:from>
      <xdr:col>0</xdr:col>
      <xdr:colOff>0</xdr:colOff>
      <xdr:row>78</xdr:row>
      <xdr:rowOff>0</xdr:rowOff>
    </xdr:from>
    <xdr:ext cx="333375" cy="333375"/>
    <xdr:pic>
      <xdr:nvPicPr>
        <xdr:cNvPr id="0" name="image141.jpg"/>
        <xdr:cNvPicPr preferRelativeResize="0"/>
      </xdr:nvPicPr>
      <xdr:blipFill>
        <a:blip cstate="print" r:embed="rId55"/>
        <a:stretch>
          <a:fillRect/>
        </a:stretch>
      </xdr:blipFill>
      <xdr:spPr>
        <a:prstGeom prst="rect">
          <a:avLst/>
        </a:prstGeom>
        <a:noFill/>
      </xdr:spPr>
    </xdr:pic>
    <xdr:clientData fLocksWithSheet="0"/>
  </xdr:oneCellAnchor>
  <xdr:oneCellAnchor>
    <xdr:from>
      <xdr:col>0</xdr:col>
      <xdr:colOff>0</xdr:colOff>
      <xdr:row>79</xdr:row>
      <xdr:rowOff>0</xdr:rowOff>
    </xdr:from>
    <xdr:ext cx="333375" cy="333375"/>
    <xdr:pic>
      <xdr:nvPicPr>
        <xdr:cNvPr id="0" name="image146.jpg"/>
        <xdr:cNvPicPr preferRelativeResize="0"/>
      </xdr:nvPicPr>
      <xdr:blipFill>
        <a:blip cstate="print" r:embed="rId56"/>
        <a:stretch>
          <a:fillRect/>
        </a:stretch>
      </xdr:blipFill>
      <xdr:spPr>
        <a:prstGeom prst="rect">
          <a:avLst/>
        </a:prstGeom>
        <a:noFill/>
      </xdr:spPr>
    </xdr:pic>
    <xdr:clientData fLocksWithSheet="0"/>
  </xdr:oneCellAnchor>
  <xdr:oneCellAnchor>
    <xdr:from>
      <xdr:col>0</xdr:col>
      <xdr:colOff>0</xdr:colOff>
      <xdr:row>80</xdr:row>
      <xdr:rowOff>0</xdr:rowOff>
    </xdr:from>
    <xdr:ext cx="333375" cy="333375"/>
    <xdr:pic>
      <xdr:nvPicPr>
        <xdr:cNvPr id="0" name="image149.jpg"/>
        <xdr:cNvPicPr preferRelativeResize="0"/>
      </xdr:nvPicPr>
      <xdr:blipFill>
        <a:blip cstate="print" r:embed="rId57"/>
        <a:stretch>
          <a:fillRect/>
        </a:stretch>
      </xdr:blipFill>
      <xdr:spPr>
        <a:prstGeom prst="rect">
          <a:avLst/>
        </a:prstGeom>
        <a:noFill/>
      </xdr:spPr>
    </xdr:pic>
    <xdr:clientData fLocksWithSheet="0"/>
  </xdr:oneCellAnchor>
  <xdr:oneCellAnchor>
    <xdr:from>
      <xdr:col>0</xdr:col>
      <xdr:colOff>0</xdr:colOff>
      <xdr:row>81</xdr:row>
      <xdr:rowOff>0</xdr:rowOff>
    </xdr:from>
    <xdr:ext cx="333375" cy="333375"/>
    <xdr:pic>
      <xdr:nvPicPr>
        <xdr:cNvPr id="0" name="image148.jpg"/>
        <xdr:cNvPicPr preferRelativeResize="0"/>
      </xdr:nvPicPr>
      <xdr:blipFill>
        <a:blip cstate="print" r:embed="rId58"/>
        <a:stretch>
          <a:fillRect/>
        </a:stretch>
      </xdr:blipFill>
      <xdr:spPr>
        <a:prstGeom prst="rect">
          <a:avLst/>
        </a:prstGeom>
        <a:noFill/>
      </xdr:spPr>
    </xdr:pic>
    <xdr:clientData fLocksWithSheet="0"/>
  </xdr:oneCellAnchor>
  <xdr:oneCellAnchor>
    <xdr:from>
      <xdr:col>0</xdr:col>
      <xdr:colOff>0</xdr:colOff>
      <xdr:row>82</xdr:row>
      <xdr:rowOff>0</xdr:rowOff>
    </xdr:from>
    <xdr:ext cx="333375" cy="333375"/>
    <xdr:pic>
      <xdr:nvPicPr>
        <xdr:cNvPr id="0" name="image224.jpg"/>
        <xdr:cNvPicPr preferRelativeResize="0"/>
      </xdr:nvPicPr>
      <xdr:blipFill>
        <a:blip cstate="print" r:embed="rId59"/>
        <a:stretch>
          <a:fillRect/>
        </a:stretch>
      </xdr:blipFill>
      <xdr:spPr>
        <a:prstGeom prst="rect">
          <a:avLst/>
        </a:prstGeom>
        <a:noFill/>
      </xdr:spPr>
    </xdr:pic>
    <xdr:clientData fLocksWithSheet="0"/>
  </xdr:oneCellAnchor>
  <xdr:oneCellAnchor>
    <xdr:from>
      <xdr:col>0</xdr:col>
      <xdr:colOff>0</xdr:colOff>
      <xdr:row>83</xdr:row>
      <xdr:rowOff>0</xdr:rowOff>
    </xdr:from>
    <xdr:ext cx="333375" cy="333375"/>
    <xdr:pic>
      <xdr:nvPicPr>
        <xdr:cNvPr id="0" name="image224.jpg"/>
        <xdr:cNvPicPr preferRelativeResize="0"/>
      </xdr:nvPicPr>
      <xdr:blipFill>
        <a:blip cstate="print" r:embed="rId59"/>
        <a:stretch>
          <a:fillRect/>
        </a:stretch>
      </xdr:blipFill>
      <xdr:spPr>
        <a:prstGeom prst="rect">
          <a:avLst/>
        </a:prstGeom>
        <a:noFill/>
      </xdr:spPr>
    </xdr:pic>
    <xdr:clientData fLocksWithSheet="0"/>
  </xdr:oneCellAnchor>
  <xdr:oneCellAnchor>
    <xdr:from>
      <xdr:col>0</xdr:col>
      <xdr:colOff>0</xdr:colOff>
      <xdr:row>84</xdr:row>
      <xdr:rowOff>0</xdr:rowOff>
    </xdr:from>
    <xdr:ext cx="333375" cy="333375"/>
    <xdr:pic>
      <xdr:nvPicPr>
        <xdr:cNvPr id="0" name="image154.jpg"/>
        <xdr:cNvPicPr preferRelativeResize="0"/>
      </xdr:nvPicPr>
      <xdr:blipFill>
        <a:blip cstate="print" r:embed="rId60"/>
        <a:stretch>
          <a:fillRect/>
        </a:stretch>
      </xdr:blipFill>
      <xdr:spPr>
        <a:prstGeom prst="rect">
          <a:avLst/>
        </a:prstGeom>
        <a:noFill/>
      </xdr:spPr>
    </xdr:pic>
    <xdr:clientData fLocksWithSheet="0"/>
  </xdr:oneCellAnchor>
  <xdr:oneCellAnchor>
    <xdr:from>
      <xdr:col>0</xdr:col>
      <xdr:colOff>0</xdr:colOff>
      <xdr:row>85</xdr:row>
      <xdr:rowOff>0</xdr:rowOff>
    </xdr:from>
    <xdr:ext cx="333375" cy="333375"/>
    <xdr:pic>
      <xdr:nvPicPr>
        <xdr:cNvPr id="0" name="image191.jpg"/>
        <xdr:cNvPicPr preferRelativeResize="0"/>
      </xdr:nvPicPr>
      <xdr:blipFill>
        <a:blip cstate="print" r:embed="rId61"/>
        <a:stretch>
          <a:fillRect/>
        </a:stretch>
      </xdr:blipFill>
      <xdr:spPr>
        <a:prstGeom prst="rect">
          <a:avLst/>
        </a:prstGeom>
        <a:noFill/>
      </xdr:spPr>
    </xdr:pic>
    <xdr:clientData fLocksWithSheet="0"/>
  </xdr:oneCellAnchor>
  <xdr:oneCellAnchor>
    <xdr:from>
      <xdr:col>0</xdr:col>
      <xdr:colOff>0</xdr:colOff>
      <xdr:row>86</xdr:row>
      <xdr:rowOff>0</xdr:rowOff>
    </xdr:from>
    <xdr:ext cx="333375" cy="333375"/>
    <xdr:pic>
      <xdr:nvPicPr>
        <xdr:cNvPr id="0" name="image247.jpg"/>
        <xdr:cNvPicPr preferRelativeResize="0"/>
      </xdr:nvPicPr>
      <xdr:blipFill>
        <a:blip cstate="print" r:embed="rId62"/>
        <a:stretch>
          <a:fillRect/>
        </a:stretch>
      </xdr:blipFill>
      <xdr:spPr>
        <a:prstGeom prst="rect">
          <a:avLst/>
        </a:prstGeom>
        <a:noFill/>
      </xdr:spPr>
    </xdr:pic>
    <xdr:clientData fLocksWithSheet="0"/>
  </xdr:oneCellAnchor>
  <xdr:oneCellAnchor>
    <xdr:from>
      <xdr:col>0</xdr:col>
      <xdr:colOff>0</xdr:colOff>
      <xdr:row>87</xdr:row>
      <xdr:rowOff>0</xdr:rowOff>
    </xdr:from>
    <xdr:ext cx="333375" cy="333375"/>
    <xdr:pic>
      <xdr:nvPicPr>
        <xdr:cNvPr id="0" name="image247.jpg"/>
        <xdr:cNvPicPr preferRelativeResize="0"/>
      </xdr:nvPicPr>
      <xdr:blipFill>
        <a:blip cstate="print" r:embed="rId62"/>
        <a:stretch>
          <a:fillRect/>
        </a:stretch>
      </xdr:blipFill>
      <xdr:spPr>
        <a:prstGeom prst="rect">
          <a:avLst/>
        </a:prstGeom>
        <a:noFill/>
      </xdr:spPr>
    </xdr:pic>
    <xdr:clientData fLocksWithSheet="0"/>
  </xdr:oneCellAnchor>
  <xdr:oneCellAnchor>
    <xdr:from>
      <xdr:col>0</xdr:col>
      <xdr:colOff>0</xdr:colOff>
      <xdr:row>88</xdr:row>
      <xdr:rowOff>0</xdr:rowOff>
    </xdr:from>
    <xdr:ext cx="333375" cy="333375"/>
    <xdr:pic>
      <xdr:nvPicPr>
        <xdr:cNvPr id="0" name="image170.jpg"/>
        <xdr:cNvPicPr preferRelativeResize="0"/>
      </xdr:nvPicPr>
      <xdr:blipFill>
        <a:blip cstate="print" r:embed="rId63"/>
        <a:stretch>
          <a:fillRect/>
        </a:stretch>
      </xdr:blipFill>
      <xdr:spPr>
        <a:prstGeom prst="rect">
          <a:avLst/>
        </a:prstGeom>
        <a:noFill/>
      </xdr:spPr>
    </xdr:pic>
    <xdr:clientData fLocksWithSheet="0"/>
  </xdr:oneCellAnchor>
  <xdr:oneCellAnchor>
    <xdr:from>
      <xdr:col>0</xdr:col>
      <xdr:colOff>0</xdr:colOff>
      <xdr:row>89</xdr:row>
      <xdr:rowOff>0</xdr:rowOff>
    </xdr:from>
    <xdr:ext cx="333375" cy="333375"/>
    <xdr:pic>
      <xdr:nvPicPr>
        <xdr:cNvPr id="0" name="image170.jpg"/>
        <xdr:cNvPicPr preferRelativeResize="0"/>
      </xdr:nvPicPr>
      <xdr:blipFill>
        <a:blip cstate="print" r:embed="rId63"/>
        <a:stretch>
          <a:fillRect/>
        </a:stretch>
      </xdr:blipFill>
      <xdr:spPr>
        <a:prstGeom prst="rect">
          <a:avLst/>
        </a:prstGeom>
        <a:noFill/>
      </xdr:spPr>
    </xdr:pic>
    <xdr:clientData fLocksWithSheet="0"/>
  </xdr:oneCellAnchor>
  <xdr:oneCellAnchor>
    <xdr:from>
      <xdr:col>0</xdr:col>
      <xdr:colOff>0</xdr:colOff>
      <xdr:row>90</xdr:row>
      <xdr:rowOff>0</xdr:rowOff>
    </xdr:from>
    <xdr:ext cx="333375" cy="333375"/>
    <xdr:pic>
      <xdr:nvPicPr>
        <xdr:cNvPr id="0" name="image28.jpg"/>
        <xdr:cNvPicPr preferRelativeResize="0"/>
      </xdr:nvPicPr>
      <xdr:blipFill>
        <a:blip cstate="print" r:embed="rId64"/>
        <a:stretch>
          <a:fillRect/>
        </a:stretch>
      </xdr:blipFill>
      <xdr:spPr>
        <a:prstGeom prst="rect">
          <a:avLst/>
        </a:prstGeom>
        <a:noFill/>
      </xdr:spPr>
    </xdr:pic>
    <xdr:clientData fLocksWithSheet="0"/>
  </xdr:oneCellAnchor>
  <xdr:oneCellAnchor>
    <xdr:from>
      <xdr:col>0</xdr:col>
      <xdr:colOff>0</xdr:colOff>
      <xdr:row>91</xdr:row>
      <xdr:rowOff>0</xdr:rowOff>
    </xdr:from>
    <xdr:ext cx="333375" cy="333375"/>
    <xdr:pic>
      <xdr:nvPicPr>
        <xdr:cNvPr id="0" name="image151.jpg"/>
        <xdr:cNvPicPr preferRelativeResize="0"/>
      </xdr:nvPicPr>
      <xdr:blipFill>
        <a:blip cstate="print" r:embed="rId65"/>
        <a:stretch>
          <a:fillRect/>
        </a:stretch>
      </xdr:blipFill>
      <xdr:spPr>
        <a:prstGeom prst="rect">
          <a:avLst/>
        </a:prstGeom>
        <a:noFill/>
      </xdr:spPr>
    </xdr:pic>
    <xdr:clientData fLocksWithSheet="0"/>
  </xdr:oneCellAnchor>
  <xdr:oneCellAnchor>
    <xdr:from>
      <xdr:col>0</xdr:col>
      <xdr:colOff>0</xdr:colOff>
      <xdr:row>92</xdr:row>
      <xdr:rowOff>0</xdr:rowOff>
    </xdr:from>
    <xdr:ext cx="333375" cy="333375"/>
    <xdr:pic>
      <xdr:nvPicPr>
        <xdr:cNvPr id="0" name="image151.jpg"/>
        <xdr:cNvPicPr preferRelativeResize="0"/>
      </xdr:nvPicPr>
      <xdr:blipFill>
        <a:blip cstate="print" r:embed="rId65"/>
        <a:stretch>
          <a:fillRect/>
        </a:stretch>
      </xdr:blipFill>
      <xdr:spPr>
        <a:prstGeom prst="rect">
          <a:avLst/>
        </a:prstGeom>
        <a:noFill/>
      </xdr:spPr>
    </xdr:pic>
    <xdr:clientData fLocksWithSheet="0"/>
  </xdr:oneCellAnchor>
  <xdr:oneCellAnchor>
    <xdr:from>
      <xdr:col>0</xdr:col>
      <xdr:colOff>0</xdr:colOff>
      <xdr:row>93</xdr:row>
      <xdr:rowOff>0</xdr:rowOff>
    </xdr:from>
    <xdr:ext cx="333375" cy="333375"/>
    <xdr:pic>
      <xdr:nvPicPr>
        <xdr:cNvPr id="0" name="image167.jpg"/>
        <xdr:cNvPicPr preferRelativeResize="0"/>
      </xdr:nvPicPr>
      <xdr:blipFill>
        <a:blip cstate="print" r:embed="rId66"/>
        <a:stretch>
          <a:fillRect/>
        </a:stretch>
      </xdr:blipFill>
      <xdr:spPr>
        <a:prstGeom prst="rect">
          <a:avLst/>
        </a:prstGeom>
        <a:noFill/>
      </xdr:spPr>
    </xdr:pic>
    <xdr:clientData fLocksWithSheet="0"/>
  </xdr:oneCellAnchor>
  <xdr:oneCellAnchor>
    <xdr:from>
      <xdr:col>0</xdr:col>
      <xdr:colOff>0</xdr:colOff>
      <xdr:row>94</xdr:row>
      <xdr:rowOff>0</xdr:rowOff>
    </xdr:from>
    <xdr:ext cx="333375" cy="333375"/>
    <xdr:pic>
      <xdr:nvPicPr>
        <xdr:cNvPr id="0" name="image167.jpg"/>
        <xdr:cNvPicPr preferRelativeResize="0"/>
      </xdr:nvPicPr>
      <xdr:blipFill>
        <a:blip cstate="print" r:embed="rId66"/>
        <a:stretch>
          <a:fillRect/>
        </a:stretch>
      </xdr:blipFill>
      <xdr:spPr>
        <a:prstGeom prst="rect">
          <a:avLst/>
        </a:prstGeom>
        <a:noFill/>
      </xdr:spPr>
    </xdr:pic>
    <xdr:clientData fLocksWithSheet="0"/>
  </xdr:oneCellAnchor>
  <xdr:oneCellAnchor>
    <xdr:from>
      <xdr:col>0</xdr:col>
      <xdr:colOff>0</xdr:colOff>
      <xdr:row>95</xdr:row>
      <xdr:rowOff>0</xdr:rowOff>
    </xdr:from>
    <xdr:ext cx="333375" cy="333375"/>
    <xdr:pic>
      <xdr:nvPicPr>
        <xdr:cNvPr id="0" name="image152.jpg"/>
        <xdr:cNvPicPr preferRelativeResize="0"/>
      </xdr:nvPicPr>
      <xdr:blipFill>
        <a:blip cstate="print" r:embed="rId67"/>
        <a:stretch>
          <a:fillRect/>
        </a:stretch>
      </xdr:blipFill>
      <xdr:spPr>
        <a:prstGeom prst="rect">
          <a:avLst/>
        </a:prstGeom>
        <a:noFill/>
      </xdr:spPr>
    </xdr:pic>
    <xdr:clientData fLocksWithSheet="0"/>
  </xdr:oneCellAnchor>
  <xdr:oneCellAnchor>
    <xdr:from>
      <xdr:col>0</xdr:col>
      <xdr:colOff>0</xdr:colOff>
      <xdr:row>96</xdr:row>
      <xdr:rowOff>0</xdr:rowOff>
    </xdr:from>
    <xdr:ext cx="333375" cy="333375"/>
    <xdr:pic>
      <xdr:nvPicPr>
        <xdr:cNvPr id="0" name="image160.jpg"/>
        <xdr:cNvPicPr preferRelativeResize="0"/>
      </xdr:nvPicPr>
      <xdr:blipFill>
        <a:blip cstate="print" r:embed="rId68"/>
        <a:stretch>
          <a:fillRect/>
        </a:stretch>
      </xdr:blipFill>
      <xdr:spPr>
        <a:prstGeom prst="rect">
          <a:avLst/>
        </a:prstGeom>
        <a:noFill/>
      </xdr:spPr>
    </xdr:pic>
    <xdr:clientData fLocksWithSheet="0"/>
  </xdr:oneCellAnchor>
  <xdr:oneCellAnchor>
    <xdr:from>
      <xdr:col>0</xdr:col>
      <xdr:colOff>0</xdr:colOff>
      <xdr:row>97</xdr:row>
      <xdr:rowOff>0</xdr:rowOff>
    </xdr:from>
    <xdr:ext cx="333375" cy="333375"/>
    <xdr:pic>
      <xdr:nvPicPr>
        <xdr:cNvPr id="0" name="image161.jpg"/>
        <xdr:cNvPicPr preferRelativeResize="0"/>
      </xdr:nvPicPr>
      <xdr:blipFill>
        <a:blip cstate="print" r:embed="rId69"/>
        <a:stretch>
          <a:fillRect/>
        </a:stretch>
      </xdr:blipFill>
      <xdr:spPr>
        <a:prstGeom prst="rect">
          <a:avLst/>
        </a:prstGeom>
        <a:noFill/>
      </xdr:spPr>
    </xdr:pic>
    <xdr:clientData fLocksWithSheet="0"/>
  </xdr:oneCellAnchor>
  <xdr:oneCellAnchor>
    <xdr:from>
      <xdr:col>0</xdr:col>
      <xdr:colOff>0</xdr:colOff>
      <xdr:row>98</xdr:row>
      <xdr:rowOff>0</xdr:rowOff>
    </xdr:from>
    <xdr:ext cx="333375" cy="333375"/>
    <xdr:pic>
      <xdr:nvPicPr>
        <xdr:cNvPr id="0" name="image157.jpg"/>
        <xdr:cNvPicPr preferRelativeResize="0"/>
      </xdr:nvPicPr>
      <xdr:blipFill>
        <a:blip cstate="print" r:embed="rId70"/>
        <a:stretch>
          <a:fillRect/>
        </a:stretch>
      </xdr:blipFill>
      <xdr:spPr>
        <a:prstGeom prst="rect">
          <a:avLst/>
        </a:prstGeom>
        <a:noFill/>
      </xdr:spPr>
    </xdr:pic>
    <xdr:clientData fLocksWithSheet="0"/>
  </xdr:oneCellAnchor>
  <xdr:oneCellAnchor>
    <xdr:from>
      <xdr:col>0</xdr:col>
      <xdr:colOff>0</xdr:colOff>
      <xdr:row>99</xdr:row>
      <xdr:rowOff>0</xdr:rowOff>
    </xdr:from>
    <xdr:ext cx="333375" cy="333375"/>
    <xdr:pic>
      <xdr:nvPicPr>
        <xdr:cNvPr id="0" name="image157.jpg"/>
        <xdr:cNvPicPr preferRelativeResize="0"/>
      </xdr:nvPicPr>
      <xdr:blipFill>
        <a:blip cstate="print" r:embed="rId70"/>
        <a:stretch>
          <a:fillRect/>
        </a:stretch>
      </xdr:blipFill>
      <xdr:spPr>
        <a:prstGeom prst="rect">
          <a:avLst/>
        </a:prstGeom>
        <a:noFill/>
      </xdr:spPr>
    </xdr:pic>
    <xdr:clientData fLocksWithSheet="0"/>
  </xdr:oneCellAnchor>
  <xdr:oneCellAnchor>
    <xdr:from>
      <xdr:col>0</xdr:col>
      <xdr:colOff>0</xdr:colOff>
      <xdr:row>100</xdr:row>
      <xdr:rowOff>0</xdr:rowOff>
    </xdr:from>
    <xdr:ext cx="333375" cy="333375"/>
    <xdr:pic>
      <xdr:nvPicPr>
        <xdr:cNvPr id="0" name="image190.jpg"/>
        <xdr:cNvPicPr preferRelativeResize="0"/>
      </xdr:nvPicPr>
      <xdr:blipFill>
        <a:blip cstate="print" r:embed="rId71"/>
        <a:stretch>
          <a:fillRect/>
        </a:stretch>
      </xdr:blipFill>
      <xdr:spPr>
        <a:prstGeom prst="rect">
          <a:avLst/>
        </a:prstGeom>
        <a:noFill/>
      </xdr:spPr>
    </xdr:pic>
    <xdr:clientData fLocksWithSheet="0"/>
  </xdr:oneCellAnchor>
  <xdr:oneCellAnchor>
    <xdr:from>
      <xdr:col>0</xdr:col>
      <xdr:colOff>0</xdr:colOff>
      <xdr:row>101</xdr:row>
      <xdr:rowOff>0</xdr:rowOff>
    </xdr:from>
    <xdr:ext cx="333375" cy="333375"/>
    <xdr:pic>
      <xdr:nvPicPr>
        <xdr:cNvPr id="0" name="image173.jpg"/>
        <xdr:cNvPicPr preferRelativeResize="0"/>
      </xdr:nvPicPr>
      <xdr:blipFill>
        <a:blip cstate="print" r:embed="rId72"/>
        <a:stretch>
          <a:fillRect/>
        </a:stretch>
      </xdr:blipFill>
      <xdr:spPr>
        <a:prstGeom prst="rect">
          <a:avLst/>
        </a:prstGeom>
        <a:noFill/>
      </xdr:spPr>
    </xdr:pic>
    <xdr:clientData fLocksWithSheet="0"/>
  </xdr:oneCellAnchor>
  <xdr:oneCellAnchor>
    <xdr:from>
      <xdr:col>0</xdr:col>
      <xdr:colOff>0</xdr:colOff>
      <xdr:row>102</xdr:row>
      <xdr:rowOff>0</xdr:rowOff>
    </xdr:from>
    <xdr:ext cx="333375" cy="333375"/>
    <xdr:pic>
      <xdr:nvPicPr>
        <xdr:cNvPr id="0" name="image209.jpg"/>
        <xdr:cNvPicPr preferRelativeResize="0"/>
      </xdr:nvPicPr>
      <xdr:blipFill>
        <a:blip cstate="print" r:embed="rId73"/>
        <a:stretch>
          <a:fillRect/>
        </a:stretch>
      </xdr:blipFill>
      <xdr:spPr>
        <a:prstGeom prst="rect">
          <a:avLst/>
        </a:prstGeom>
        <a:noFill/>
      </xdr:spPr>
    </xdr:pic>
    <xdr:clientData fLocksWithSheet="0"/>
  </xdr:oneCellAnchor>
  <xdr:oneCellAnchor>
    <xdr:from>
      <xdr:col>0</xdr:col>
      <xdr:colOff>0</xdr:colOff>
      <xdr:row>103</xdr:row>
      <xdr:rowOff>0</xdr:rowOff>
    </xdr:from>
    <xdr:ext cx="333375" cy="333375"/>
    <xdr:pic>
      <xdr:nvPicPr>
        <xdr:cNvPr id="0" name="image166.jpg"/>
        <xdr:cNvPicPr preferRelativeResize="0"/>
      </xdr:nvPicPr>
      <xdr:blipFill>
        <a:blip cstate="print" r:embed="rId74"/>
        <a:stretch>
          <a:fillRect/>
        </a:stretch>
      </xdr:blipFill>
      <xdr:spPr>
        <a:prstGeom prst="rect">
          <a:avLst/>
        </a:prstGeom>
        <a:noFill/>
      </xdr:spPr>
    </xdr:pic>
    <xdr:clientData fLocksWithSheet="0"/>
  </xdr:oneCellAnchor>
  <xdr:oneCellAnchor>
    <xdr:from>
      <xdr:col>0</xdr:col>
      <xdr:colOff>0</xdr:colOff>
      <xdr:row>104</xdr:row>
      <xdr:rowOff>0</xdr:rowOff>
    </xdr:from>
    <xdr:ext cx="333375" cy="333375"/>
    <xdr:pic>
      <xdr:nvPicPr>
        <xdr:cNvPr id="0" name="image166.jpg"/>
        <xdr:cNvPicPr preferRelativeResize="0"/>
      </xdr:nvPicPr>
      <xdr:blipFill>
        <a:blip cstate="print" r:embed="rId74"/>
        <a:stretch>
          <a:fillRect/>
        </a:stretch>
      </xdr:blipFill>
      <xdr:spPr>
        <a:prstGeom prst="rect">
          <a:avLst/>
        </a:prstGeom>
        <a:noFill/>
      </xdr:spPr>
    </xdr:pic>
    <xdr:clientData fLocksWithSheet="0"/>
  </xdr:oneCellAnchor>
  <xdr:oneCellAnchor>
    <xdr:from>
      <xdr:col>0</xdr:col>
      <xdr:colOff>0</xdr:colOff>
      <xdr:row>105</xdr:row>
      <xdr:rowOff>0</xdr:rowOff>
    </xdr:from>
    <xdr:ext cx="333375" cy="333375"/>
    <xdr:pic>
      <xdr:nvPicPr>
        <xdr:cNvPr id="0" name="image166.jpg"/>
        <xdr:cNvPicPr preferRelativeResize="0"/>
      </xdr:nvPicPr>
      <xdr:blipFill>
        <a:blip cstate="print" r:embed="rId74"/>
        <a:stretch>
          <a:fillRect/>
        </a:stretch>
      </xdr:blipFill>
      <xdr:spPr>
        <a:prstGeom prst="rect">
          <a:avLst/>
        </a:prstGeom>
        <a:noFill/>
      </xdr:spPr>
    </xdr:pic>
    <xdr:clientData fLocksWithSheet="0"/>
  </xdr:oneCellAnchor>
  <xdr:oneCellAnchor>
    <xdr:from>
      <xdr:col>0</xdr:col>
      <xdr:colOff>0</xdr:colOff>
      <xdr:row>106</xdr:row>
      <xdr:rowOff>0</xdr:rowOff>
    </xdr:from>
    <xdr:ext cx="333375" cy="333375"/>
    <xdr:pic>
      <xdr:nvPicPr>
        <xdr:cNvPr id="0" name="image165.jpg"/>
        <xdr:cNvPicPr preferRelativeResize="0"/>
      </xdr:nvPicPr>
      <xdr:blipFill>
        <a:blip cstate="print" r:embed="rId75"/>
        <a:stretch>
          <a:fillRect/>
        </a:stretch>
      </xdr:blipFill>
      <xdr:spPr>
        <a:prstGeom prst="rect">
          <a:avLst/>
        </a:prstGeom>
        <a:noFill/>
      </xdr:spPr>
    </xdr:pic>
    <xdr:clientData fLocksWithSheet="0"/>
  </xdr:oneCellAnchor>
  <xdr:oneCellAnchor>
    <xdr:from>
      <xdr:col>0</xdr:col>
      <xdr:colOff>0</xdr:colOff>
      <xdr:row>107</xdr:row>
      <xdr:rowOff>0</xdr:rowOff>
    </xdr:from>
    <xdr:ext cx="333375" cy="333375"/>
    <xdr:pic>
      <xdr:nvPicPr>
        <xdr:cNvPr id="0" name="image162.jpg"/>
        <xdr:cNvPicPr preferRelativeResize="0"/>
      </xdr:nvPicPr>
      <xdr:blipFill>
        <a:blip cstate="print" r:embed="rId76"/>
        <a:stretch>
          <a:fillRect/>
        </a:stretch>
      </xdr:blipFill>
      <xdr:spPr>
        <a:prstGeom prst="rect">
          <a:avLst/>
        </a:prstGeom>
        <a:noFill/>
      </xdr:spPr>
    </xdr:pic>
    <xdr:clientData fLocksWithSheet="0"/>
  </xdr:oneCellAnchor>
  <xdr:oneCellAnchor>
    <xdr:from>
      <xdr:col>0</xdr:col>
      <xdr:colOff>0</xdr:colOff>
      <xdr:row>108</xdr:row>
      <xdr:rowOff>0</xdr:rowOff>
    </xdr:from>
    <xdr:ext cx="333375" cy="333375"/>
    <xdr:pic>
      <xdr:nvPicPr>
        <xdr:cNvPr id="0" name="image164.jpg"/>
        <xdr:cNvPicPr preferRelativeResize="0"/>
      </xdr:nvPicPr>
      <xdr:blipFill>
        <a:blip cstate="print" r:embed="rId77"/>
        <a:stretch>
          <a:fillRect/>
        </a:stretch>
      </xdr:blipFill>
      <xdr:spPr>
        <a:prstGeom prst="rect">
          <a:avLst/>
        </a:prstGeom>
        <a:noFill/>
      </xdr:spPr>
    </xdr:pic>
    <xdr:clientData fLocksWithSheet="0"/>
  </xdr:oneCellAnchor>
  <xdr:oneCellAnchor>
    <xdr:from>
      <xdr:col>0</xdr:col>
      <xdr:colOff>0</xdr:colOff>
      <xdr:row>109</xdr:row>
      <xdr:rowOff>0</xdr:rowOff>
    </xdr:from>
    <xdr:ext cx="333375" cy="333375"/>
    <xdr:pic>
      <xdr:nvPicPr>
        <xdr:cNvPr id="0" name="image164.jpg"/>
        <xdr:cNvPicPr preferRelativeResize="0"/>
      </xdr:nvPicPr>
      <xdr:blipFill>
        <a:blip cstate="print" r:embed="rId77"/>
        <a:stretch>
          <a:fillRect/>
        </a:stretch>
      </xdr:blipFill>
      <xdr:spPr>
        <a:prstGeom prst="rect">
          <a:avLst/>
        </a:prstGeom>
        <a:noFill/>
      </xdr:spPr>
    </xdr:pic>
    <xdr:clientData fLocksWithSheet="0"/>
  </xdr:oneCellAnchor>
  <xdr:oneCellAnchor>
    <xdr:from>
      <xdr:col>0</xdr:col>
      <xdr:colOff>0</xdr:colOff>
      <xdr:row>110</xdr:row>
      <xdr:rowOff>0</xdr:rowOff>
    </xdr:from>
    <xdr:ext cx="333375" cy="333375"/>
    <xdr:pic>
      <xdr:nvPicPr>
        <xdr:cNvPr id="0" name="image164.jpg"/>
        <xdr:cNvPicPr preferRelativeResize="0"/>
      </xdr:nvPicPr>
      <xdr:blipFill>
        <a:blip cstate="print" r:embed="rId77"/>
        <a:stretch>
          <a:fillRect/>
        </a:stretch>
      </xdr:blipFill>
      <xdr:spPr>
        <a:prstGeom prst="rect">
          <a:avLst/>
        </a:prstGeom>
        <a:noFill/>
      </xdr:spPr>
    </xdr:pic>
    <xdr:clientData fLocksWithSheet="0"/>
  </xdr:oneCellAnchor>
  <xdr:oneCellAnchor>
    <xdr:from>
      <xdr:col>0</xdr:col>
      <xdr:colOff>0</xdr:colOff>
      <xdr:row>111</xdr:row>
      <xdr:rowOff>0</xdr:rowOff>
    </xdr:from>
    <xdr:ext cx="333375" cy="333375"/>
    <xdr:pic>
      <xdr:nvPicPr>
        <xdr:cNvPr id="0" name="image172.jpg"/>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112</xdr:row>
      <xdr:rowOff>0</xdr:rowOff>
    </xdr:from>
    <xdr:ext cx="333375" cy="333375"/>
    <xdr:pic>
      <xdr:nvPicPr>
        <xdr:cNvPr id="0" name="image172.jpg"/>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113</xdr:row>
      <xdr:rowOff>0</xdr:rowOff>
    </xdr:from>
    <xdr:ext cx="333375" cy="333375"/>
    <xdr:pic>
      <xdr:nvPicPr>
        <xdr:cNvPr id="0" name="image172.jpg"/>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114</xdr:row>
      <xdr:rowOff>0</xdr:rowOff>
    </xdr:from>
    <xdr:ext cx="333375" cy="333375"/>
    <xdr:pic>
      <xdr:nvPicPr>
        <xdr:cNvPr id="0" name="image163.jpg"/>
        <xdr:cNvPicPr preferRelativeResize="0"/>
      </xdr:nvPicPr>
      <xdr:blipFill>
        <a:blip cstate="print" r:embed="rId79"/>
        <a:stretch>
          <a:fillRect/>
        </a:stretch>
      </xdr:blipFill>
      <xdr:spPr>
        <a:prstGeom prst="rect">
          <a:avLst/>
        </a:prstGeom>
        <a:noFill/>
      </xdr:spPr>
    </xdr:pic>
    <xdr:clientData fLocksWithSheet="0"/>
  </xdr:oneCellAnchor>
  <xdr:oneCellAnchor>
    <xdr:from>
      <xdr:col>0</xdr:col>
      <xdr:colOff>0</xdr:colOff>
      <xdr:row>115</xdr:row>
      <xdr:rowOff>0</xdr:rowOff>
    </xdr:from>
    <xdr:ext cx="333375" cy="333375"/>
    <xdr:pic>
      <xdr:nvPicPr>
        <xdr:cNvPr id="0" name="image163.jpg"/>
        <xdr:cNvPicPr preferRelativeResize="0"/>
      </xdr:nvPicPr>
      <xdr:blipFill>
        <a:blip cstate="print" r:embed="rId79"/>
        <a:stretch>
          <a:fillRect/>
        </a:stretch>
      </xdr:blipFill>
      <xdr:spPr>
        <a:prstGeom prst="rect">
          <a:avLst/>
        </a:prstGeom>
        <a:noFill/>
      </xdr:spPr>
    </xdr:pic>
    <xdr:clientData fLocksWithSheet="0"/>
  </xdr:oneCellAnchor>
  <xdr:oneCellAnchor>
    <xdr:from>
      <xdr:col>0</xdr:col>
      <xdr:colOff>0</xdr:colOff>
      <xdr:row>116</xdr:row>
      <xdr:rowOff>0</xdr:rowOff>
    </xdr:from>
    <xdr:ext cx="333375" cy="333375"/>
    <xdr:pic>
      <xdr:nvPicPr>
        <xdr:cNvPr id="0" name="image163.jpg"/>
        <xdr:cNvPicPr preferRelativeResize="0"/>
      </xdr:nvPicPr>
      <xdr:blipFill>
        <a:blip cstate="print" r:embed="rId79"/>
        <a:stretch>
          <a:fillRect/>
        </a:stretch>
      </xdr:blipFill>
      <xdr:spPr>
        <a:prstGeom prst="rect">
          <a:avLst/>
        </a:prstGeom>
        <a:noFill/>
      </xdr:spPr>
    </xdr:pic>
    <xdr:clientData fLocksWithSheet="0"/>
  </xdr:oneCellAnchor>
  <xdr:oneCellAnchor>
    <xdr:from>
      <xdr:col>0</xdr:col>
      <xdr:colOff>0</xdr:colOff>
      <xdr:row>117</xdr:row>
      <xdr:rowOff>0</xdr:rowOff>
    </xdr:from>
    <xdr:ext cx="333375" cy="333375"/>
    <xdr:pic>
      <xdr:nvPicPr>
        <xdr:cNvPr id="0" name="image171.jpg"/>
        <xdr:cNvPicPr preferRelativeResize="0"/>
      </xdr:nvPicPr>
      <xdr:blipFill>
        <a:blip cstate="print" r:embed="rId80"/>
        <a:stretch>
          <a:fillRect/>
        </a:stretch>
      </xdr:blipFill>
      <xdr:spPr>
        <a:prstGeom prst="rect">
          <a:avLst/>
        </a:prstGeom>
        <a:noFill/>
      </xdr:spPr>
    </xdr:pic>
    <xdr:clientData fLocksWithSheet="0"/>
  </xdr:oneCellAnchor>
  <xdr:oneCellAnchor>
    <xdr:from>
      <xdr:col>0</xdr:col>
      <xdr:colOff>0</xdr:colOff>
      <xdr:row>118</xdr:row>
      <xdr:rowOff>0</xdr:rowOff>
    </xdr:from>
    <xdr:ext cx="333375" cy="333375"/>
    <xdr:pic>
      <xdr:nvPicPr>
        <xdr:cNvPr id="0" name="image169.jpg"/>
        <xdr:cNvPicPr preferRelativeResize="0"/>
      </xdr:nvPicPr>
      <xdr:blipFill>
        <a:blip cstate="print" r:embed="rId81"/>
        <a:stretch>
          <a:fillRect/>
        </a:stretch>
      </xdr:blipFill>
      <xdr:spPr>
        <a:prstGeom prst="rect">
          <a:avLst/>
        </a:prstGeom>
        <a:noFill/>
      </xdr:spPr>
    </xdr:pic>
    <xdr:clientData fLocksWithSheet="0"/>
  </xdr:oneCellAnchor>
  <xdr:oneCellAnchor>
    <xdr:from>
      <xdr:col>0</xdr:col>
      <xdr:colOff>0</xdr:colOff>
      <xdr:row>119</xdr:row>
      <xdr:rowOff>0</xdr:rowOff>
    </xdr:from>
    <xdr:ext cx="333375" cy="333375"/>
    <xdr:pic>
      <xdr:nvPicPr>
        <xdr:cNvPr id="0" name="image295.jpg"/>
        <xdr:cNvPicPr preferRelativeResize="0"/>
      </xdr:nvPicPr>
      <xdr:blipFill>
        <a:blip cstate="print" r:embed="rId82"/>
        <a:stretch>
          <a:fillRect/>
        </a:stretch>
      </xdr:blipFill>
      <xdr:spPr>
        <a:prstGeom prst="rect">
          <a:avLst/>
        </a:prstGeom>
        <a:noFill/>
      </xdr:spPr>
    </xdr:pic>
    <xdr:clientData fLocksWithSheet="0"/>
  </xdr:oneCellAnchor>
  <xdr:oneCellAnchor>
    <xdr:from>
      <xdr:col>0</xdr:col>
      <xdr:colOff>0</xdr:colOff>
      <xdr:row>120</xdr:row>
      <xdr:rowOff>0</xdr:rowOff>
    </xdr:from>
    <xdr:ext cx="333375" cy="333375"/>
    <xdr:pic>
      <xdr:nvPicPr>
        <xdr:cNvPr id="0" name="image217.jp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121</xdr:row>
      <xdr:rowOff>0</xdr:rowOff>
    </xdr:from>
    <xdr:ext cx="333375" cy="333375"/>
    <xdr:pic>
      <xdr:nvPicPr>
        <xdr:cNvPr id="0" name="image168.jpg"/>
        <xdr:cNvPicPr preferRelativeResize="0"/>
      </xdr:nvPicPr>
      <xdr:blipFill>
        <a:blip cstate="print" r:embed="rId84"/>
        <a:stretch>
          <a:fillRect/>
        </a:stretch>
      </xdr:blipFill>
      <xdr:spPr>
        <a:prstGeom prst="rect">
          <a:avLst/>
        </a:prstGeom>
        <a:noFill/>
      </xdr:spPr>
    </xdr:pic>
    <xdr:clientData fLocksWithSheet="0"/>
  </xdr:oneCellAnchor>
  <xdr:oneCellAnchor>
    <xdr:from>
      <xdr:col>0</xdr:col>
      <xdr:colOff>0</xdr:colOff>
      <xdr:row>122</xdr:row>
      <xdr:rowOff>0</xdr:rowOff>
    </xdr:from>
    <xdr:ext cx="333375" cy="333375"/>
    <xdr:pic>
      <xdr:nvPicPr>
        <xdr:cNvPr id="0" name="image168.jpg"/>
        <xdr:cNvPicPr preferRelativeResize="0"/>
      </xdr:nvPicPr>
      <xdr:blipFill>
        <a:blip cstate="print" r:embed="rId84"/>
        <a:stretch>
          <a:fillRect/>
        </a:stretch>
      </xdr:blipFill>
      <xdr:spPr>
        <a:prstGeom prst="rect">
          <a:avLst/>
        </a:prstGeom>
        <a:noFill/>
      </xdr:spPr>
    </xdr:pic>
    <xdr:clientData fLocksWithSheet="0"/>
  </xdr:oneCellAnchor>
  <xdr:oneCellAnchor>
    <xdr:from>
      <xdr:col>0</xdr:col>
      <xdr:colOff>0</xdr:colOff>
      <xdr:row>123</xdr:row>
      <xdr:rowOff>0</xdr:rowOff>
    </xdr:from>
    <xdr:ext cx="333375" cy="333375"/>
    <xdr:pic>
      <xdr:nvPicPr>
        <xdr:cNvPr id="0" name="image168.jpg"/>
        <xdr:cNvPicPr preferRelativeResize="0"/>
      </xdr:nvPicPr>
      <xdr:blipFill>
        <a:blip cstate="print" r:embed="rId84"/>
        <a:stretch>
          <a:fillRect/>
        </a:stretch>
      </xdr:blipFill>
      <xdr:spPr>
        <a:prstGeom prst="rect">
          <a:avLst/>
        </a:prstGeom>
        <a:noFill/>
      </xdr:spPr>
    </xdr:pic>
    <xdr:clientData fLocksWithSheet="0"/>
  </xdr:oneCellAnchor>
  <xdr:oneCellAnchor>
    <xdr:from>
      <xdr:col>0</xdr:col>
      <xdr:colOff>0</xdr:colOff>
      <xdr:row>124</xdr:row>
      <xdr:rowOff>0</xdr:rowOff>
    </xdr:from>
    <xdr:ext cx="333375" cy="333375"/>
    <xdr:pic>
      <xdr:nvPicPr>
        <xdr:cNvPr id="0" name="image179.jpg"/>
        <xdr:cNvPicPr preferRelativeResize="0"/>
      </xdr:nvPicPr>
      <xdr:blipFill>
        <a:blip cstate="print" r:embed="rId85"/>
        <a:stretch>
          <a:fillRect/>
        </a:stretch>
      </xdr:blipFill>
      <xdr:spPr>
        <a:prstGeom prst="rect">
          <a:avLst/>
        </a:prstGeom>
        <a:noFill/>
      </xdr:spPr>
    </xdr:pic>
    <xdr:clientData fLocksWithSheet="0"/>
  </xdr:oneCellAnchor>
  <xdr:oneCellAnchor>
    <xdr:from>
      <xdr:col>0</xdr:col>
      <xdr:colOff>0</xdr:colOff>
      <xdr:row>125</xdr:row>
      <xdr:rowOff>0</xdr:rowOff>
    </xdr:from>
    <xdr:ext cx="333375" cy="333375"/>
    <xdr:pic>
      <xdr:nvPicPr>
        <xdr:cNvPr id="0" name="image179.jpg"/>
        <xdr:cNvPicPr preferRelativeResize="0"/>
      </xdr:nvPicPr>
      <xdr:blipFill>
        <a:blip cstate="print" r:embed="rId85"/>
        <a:stretch>
          <a:fillRect/>
        </a:stretch>
      </xdr:blipFill>
      <xdr:spPr>
        <a:prstGeom prst="rect">
          <a:avLst/>
        </a:prstGeom>
        <a:noFill/>
      </xdr:spPr>
    </xdr:pic>
    <xdr:clientData fLocksWithSheet="0"/>
  </xdr:oneCellAnchor>
  <xdr:oneCellAnchor>
    <xdr:from>
      <xdr:col>0</xdr:col>
      <xdr:colOff>0</xdr:colOff>
      <xdr:row>126</xdr:row>
      <xdr:rowOff>0</xdr:rowOff>
    </xdr:from>
    <xdr:ext cx="333375" cy="333375"/>
    <xdr:pic>
      <xdr:nvPicPr>
        <xdr:cNvPr id="0" name="image179.jpg"/>
        <xdr:cNvPicPr preferRelativeResize="0"/>
      </xdr:nvPicPr>
      <xdr:blipFill>
        <a:blip cstate="print" r:embed="rId85"/>
        <a:stretch>
          <a:fillRect/>
        </a:stretch>
      </xdr:blipFill>
      <xdr:spPr>
        <a:prstGeom prst="rect">
          <a:avLst/>
        </a:prstGeom>
        <a:noFill/>
      </xdr:spPr>
    </xdr:pic>
    <xdr:clientData fLocksWithSheet="0"/>
  </xdr:oneCellAnchor>
  <xdr:oneCellAnchor>
    <xdr:from>
      <xdr:col>0</xdr:col>
      <xdr:colOff>0</xdr:colOff>
      <xdr:row>127</xdr:row>
      <xdr:rowOff>0</xdr:rowOff>
    </xdr:from>
    <xdr:ext cx="333375" cy="333375"/>
    <xdr:pic>
      <xdr:nvPicPr>
        <xdr:cNvPr id="0" name="image330.jp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128</xdr:row>
      <xdr:rowOff>0</xdr:rowOff>
    </xdr:from>
    <xdr:ext cx="333375" cy="333375"/>
    <xdr:pic>
      <xdr:nvPicPr>
        <xdr:cNvPr id="0" name="image330.jp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129</xdr:row>
      <xdr:rowOff>0</xdr:rowOff>
    </xdr:from>
    <xdr:ext cx="333375" cy="333375"/>
    <xdr:pic>
      <xdr:nvPicPr>
        <xdr:cNvPr id="0" name="image330.jp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130</xdr:row>
      <xdr:rowOff>0</xdr:rowOff>
    </xdr:from>
    <xdr:ext cx="333375" cy="333375"/>
    <xdr:pic>
      <xdr:nvPicPr>
        <xdr:cNvPr id="0" name="image174.jpg"/>
        <xdr:cNvPicPr preferRelativeResize="0"/>
      </xdr:nvPicPr>
      <xdr:blipFill>
        <a:blip cstate="print" r:embed="rId87"/>
        <a:stretch>
          <a:fillRect/>
        </a:stretch>
      </xdr:blipFill>
      <xdr:spPr>
        <a:prstGeom prst="rect">
          <a:avLst/>
        </a:prstGeom>
        <a:noFill/>
      </xdr:spPr>
    </xdr:pic>
    <xdr:clientData fLocksWithSheet="0"/>
  </xdr:oneCellAnchor>
  <xdr:oneCellAnchor>
    <xdr:from>
      <xdr:col>0</xdr:col>
      <xdr:colOff>0</xdr:colOff>
      <xdr:row>131</xdr:row>
      <xdr:rowOff>0</xdr:rowOff>
    </xdr:from>
    <xdr:ext cx="333375" cy="333375"/>
    <xdr:pic>
      <xdr:nvPicPr>
        <xdr:cNvPr id="0" name="image180.jpg"/>
        <xdr:cNvPicPr preferRelativeResize="0"/>
      </xdr:nvPicPr>
      <xdr:blipFill>
        <a:blip cstate="print" r:embed="rId88"/>
        <a:stretch>
          <a:fillRect/>
        </a:stretch>
      </xdr:blipFill>
      <xdr:spPr>
        <a:prstGeom prst="rect">
          <a:avLst/>
        </a:prstGeom>
        <a:noFill/>
      </xdr:spPr>
    </xdr:pic>
    <xdr:clientData fLocksWithSheet="0"/>
  </xdr:oneCellAnchor>
  <xdr:oneCellAnchor>
    <xdr:from>
      <xdr:col>0</xdr:col>
      <xdr:colOff>0</xdr:colOff>
      <xdr:row>132</xdr:row>
      <xdr:rowOff>0</xdr:rowOff>
    </xdr:from>
    <xdr:ext cx="333375" cy="333375"/>
    <xdr:pic>
      <xdr:nvPicPr>
        <xdr:cNvPr id="0" name="image176.jpg"/>
        <xdr:cNvPicPr preferRelativeResize="0"/>
      </xdr:nvPicPr>
      <xdr:blipFill>
        <a:blip cstate="print" r:embed="rId89"/>
        <a:stretch>
          <a:fillRect/>
        </a:stretch>
      </xdr:blipFill>
      <xdr:spPr>
        <a:prstGeom prst="rect">
          <a:avLst/>
        </a:prstGeom>
        <a:noFill/>
      </xdr:spPr>
    </xdr:pic>
    <xdr:clientData fLocksWithSheet="0"/>
  </xdr:oneCellAnchor>
  <xdr:oneCellAnchor>
    <xdr:from>
      <xdr:col>0</xdr:col>
      <xdr:colOff>0</xdr:colOff>
      <xdr:row>133</xdr:row>
      <xdr:rowOff>0</xdr:rowOff>
    </xdr:from>
    <xdr:ext cx="333375" cy="333375"/>
    <xdr:pic>
      <xdr:nvPicPr>
        <xdr:cNvPr id="0" name="image176.jpg"/>
        <xdr:cNvPicPr preferRelativeResize="0"/>
      </xdr:nvPicPr>
      <xdr:blipFill>
        <a:blip cstate="print" r:embed="rId89"/>
        <a:stretch>
          <a:fillRect/>
        </a:stretch>
      </xdr:blipFill>
      <xdr:spPr>
        <a:prstGeom prst="rect">
          <a:avLst/>
        </a:prstGeom>
        <a:noFill/>
      </xdr:spPr>
    </xdr:pic>
    <xdr:clientData fLocksWithSheet="0"/>
  </xdr:oneCellAnchor>
  <xdr:oneCellAnchor>
    <xdr:from>
      <xdr:col>0</xdr:col>
      <xdr:colOff>0</xdr:colOff>
      <xdr:row>134</xdr:row>
      <xdr:rowOff>0</xdr:rowOff>
    </xdr:from>
    <xdr:ext cx="333375" cy="333375"/>
    <xdr:pic>
      <xdr:nvPicPr>
        <xdr:cNvPr id="0" name="image176.jpg"/>
        <xdr:cNvPicPr preferRelativeResize="0"/>
      </xdr:nvPicPr>
      <xdr:blipFill>
        <a:blip cstate="print" r:embed="rId89"/>
        <a:stretch>
          <a:fillRect/>
        </a:stretch>
      </xdr:blipFill>
      <xdr:spPr>
        <a:prstGeom prst="rect">
          <a:avLst/>
        </a:prstGeom>
        <a:noFill/>
      </xdr:spPr>
    </xdr:pic>
    <xdr:clientData fLocksWithSheet="0"/>
  </xdr:oneCellAnchor>
  <xdr:oneCellAnchor>
    <xdr:from>
      <xdr:col>0</xdr:col>
      <xdr:colOff>0</xdr:colOff>
      <xdr:row>135</xdr:row>
      <xdr:rowOff>0</xdr:rowOff>
    </xdr:from>
    <xdr:ext cx="333375" cy="333375"/>
    <xdr:pic>
      <xdr:nvPicPr>
        <xdr:cNvPr id="0" name="image236.jpg"/>
        <xdr:cNvPicPr preferRelativeResize="0"/>
      </xdr:nvPicPr>
      <xdr:blipFill>
        <a:blip cstate="print" r:embed="rId90"/>
        <a:stretch>
          <a:fillRect/>
        </a:stretch>
      </xdr:blipFill>
      <xdr:spPr>
        <a:prstGeom prst="rect">
          <a:avLst/>
        </a:prstGeom>
        <a:noFill/>
      </xdr:spPr>
    </xdr:pic>
    <xdr:clientData fLocksWithSheet="0"/>
  </xdr:oneCellAnchor>
  <xdr:oneCellAnchor>
    <xdr:from>
      <xdr:col>0</xdr:col>
      <xdr:colOff>0</xdr:colOff>
      <xdr:row>136</xdr:row>
      <xdr:rowOff>0</xdr:rowOff>
    </xdr:from>
    <xdr:ext cx="333375" cy="333375"/>
    <xdr:pic>
      <xdr:nvPicPr>
        <xdr:cNvPr id="0" name="image236.jpg"/>
        <xdr:cNvPicPr preferRelativeResize="0"/>
      </xdr:nvPicPr>
      <xdr:blipFill>
        <a:blip cstate="print" r:embed="rId90"/>
        <a:stretch>
          <a:fillRect/>
        </a:stretch>
      </xdr:blipFill>
      <xdr:spPr>
        <a:prstGeom prst="rect">
          <a:avLst/>
        </a:prstGeom>
        <a:noFill/>
      </xdr:spPr>
    </xdr:pic>
    <xdr:clientData fLocksWithSheet="0"/>
  </xdr:oneCellAnchor>
  <xdr:oneCellAnchor>
    <xdr:from>
      <xdr:col>0</xdr:col>
      <xdr:colOff>0</xdr:colOff>
      <xdr:row>137</xdr:row>
      <xdr:rowOff>0</xdr:rowOff>
    </xdr:from>
    <xdr:ext cx="333375" cy="333375"/>
    <xdr:pic>
      <xdr:nvPicPr>
        <xdr:cNvPr id="0" name="image175.jpg"/>
        <xdr:cNvPicPr preferRelativeResize="0"/>
      </xdr:nvPicPr>
      <xdr:blipFill>
        <a:blip cstate="print" r:embed="rId91"/>
        <a:stretch>
          <a:fillRect/>
        </a:stretch>
      </xdr:blipFill>
      <xdr:spPr>
        <a:prstGeom prst="rect">
          <a:avLst/>
        </a:prstGeom>
        <a:noFill/>
      </xdr:spPr>
    </xdr:pic>
    <xdr:clientData fLocksWithSheet="0"/>
  </xdr:oneCellAnchor>
  <xdr:oneCellAnchor>
    <xdr:from>
      <xdr:col>0</xdr:col>
      <xdr:colOff>0</xdr:colOff>
      <xdr:row>138</xdr:row>
      <xdr:rowOff>0</xdr:rowOff>
    </xdr:from>
    <xdr:ext cx="333375" cy="333375"/>
    <xdr:pic>
      <xdr:nvPicPr>
        <xdr:cNvPr id="0" name="image178.jpg"/>
        <xdr:cNvPicPr preferRelativeResize="0"/>
      </xdr:nvPicPr>
      <xdr:blipFill>
        <a:blip cstate="print" r:embed="rId92"/>
        <a:stretch>
          <a:fillRect/>
        </a:stretch>
      </xdr:blipFill>
      <xdr:spPr>
        <a:prstGeom prst="rect">
          <a:avLst/>
        </a:prstGeom>
        <a:noFill/>
      </xdr:spPr>
    </xdr:pic>
    <xdr:clientData fLocksWithSheet="0"/>
  </xdr:oneCellAnchor>
  <xdr:oneCellAnchor>
    <xdr:from>
      <xdr:col>0</xdr:col>
      <xdr:colOff>0</xdr:colOff>
      <xdr:row>139</xdr:row>
      <xdr:rowOff>0</xdr:rowOff>
    </xdr:from>
    <xdr:ext cx="333375" cy="333375"/>
    <xdr:pic>
      <xdr:nvPicPr>
        <xdr:cNvPr id="0" name="image177.png"/>
        <xdr:cNvPicPr preferRelativeResize="0"/>
      </xdr:nvPicPr>
      <xdr:blipFill>
        <a:blip cstate="print" r:embed="rId93"/>
        <a:stretch>
          <a:fillRect/>
        </a:stretch>
      </xdr:blipFill>
      <xdr:spPr>
        <a:prstGeom prst="rect">
          <a:avLst/>
        </a:prstGeom>
        <a:noFill/>
      </xdr:spPr>
    </xdr:pic>
    <xdr:clientData fLocksWithSheet="0"/>
  </xdr:oneCellAnchor>
  <xdr:oneCellAnchor>
    <xdr:from>
      <xdr:col>0</xdr:col>
      <xdr:colOff>0</xdr:colOff>
      <xdr:row>140</xdr:row>
      <xdr:rowOff>0</xdr:rowOff>
    </xdr:from>
    <xdr:ext cx="333375" cy="333375"/>
    <xdr:pic>
      <xdr:nvPicPr>
        <xdr:cNvPr id="0" name="image181.jpg"/>
        <xdr:cNvPicPr preferRelativeResize="0"/>
      </xdr:nvPicPr>
      <xdr:blipFill>
        <a:blip cstate="print" r:embed="rId94"/>
        <a:stretch>
          <a:fillRect/>
        </a:stretch>
      </xdr:blipFill>
      <xdr:spPr>
        <a:prstGeom prst="rect">
          <a:avLst/>
        </a:prstGeom>
        <a:noFill/>
      </xdr:spPr>
    </xdr:pic>
    <xdr:clientData fLocksWithSheet="0"/>
  </xdr:oneCellAnchor>
  <xdr:oneCellAnchor>
    <xdr:from>
      <xdr:col>0</xdr:col>
      <xdr:colOff>0</xdr:colOff>
      <xdr:row>141</xdr:row>
      <xdr:rowOff>0</xdr:rowOff>
    </xdr:from>
    <xdr:ext cx="333375" cy="333375"/>
    <xdr:pic>
      <xdr:nvPicPr>
        <xdr:cNvPr id="0" name="image218.jpg"/>
        <xdr:cNvPicPr preferRelativeResize="0"/>
      </xdr:nvPicPr>
      <xdr:blipFill>
        <a:blip cstate="print" r:embed="rId95"/>
        <a:stretch>
          <a:fillRect/>
        </a:stretch>
      </xdr:blipFill>
      <xdr:spPr>
        <a:prstGeom prst="rect">
          <a:avLst/>
        </a:prstGeom>
        <a:noFill/>
      </xdr:spPr>
    </xdr:pic>
    <xdr:clientData fLocksWithSheet="0"/>
  </xdr:oneCellAnchor>
  <xdr:oneCellAnchor>
    <xdr:from>
      <xdr:col>0</xdr:col>
      <xdr:colOff>0</xdr:colOff>
      <xdr:row>142</xdr:row>
      <xdr:rowOff>0</xdr:rowOff>
    </xdr:from>
    <xdr:ext cx="333375" cy="333375"/>
    <xdr:pic>
      <xdr:nvPicPr>
        <xdr:cNvPr id="0" name="image195.jpg"/>
        <xdr:cNvPicPr preferRelativeResize="0"/>
      </xdr:nvPicPr>
      <xdr:blipFill>
        <a:blip cstate="print" r:embed="rId96"/>
        <a:stretch>
          <a:fillRect/>
        </a:stretch>
      </xdr:blipFill>
      <xdr:spPr>
        <a:prstGeom prst="rect">
          <a:avLst/>
        </a:prstGeom>
        <a:noFill/>
      </xdr:spPr>
    </xdr:pic>
    <xdr:clientData fLocksWithSheet="0"/>
  </xdr:oneCellAnchor>
  <xdr:oneCellAnchor>
    <xdr:from>
      <xdr:col>0</xdr:col>
      <xdr:colOff>0</xdr:colOff>
      <xdr:row>143</xdr:row>
      <xdr:rowOff>0</xdr:rowOff>
    </xdr:from>
    <xdr:ext cx="333375" cy="333375"/>
    <xdr:pic>
      <xdr:nvPicPr>
        <xdr:cNvPr id="0" name="image258.jpg"/>
        <xdr:cNvPicPr preferRelativeResize="0"/>
      </xdr:nvPicPr>
      <xdr:blipFill>
        <a:blip cstate="print" r:embed="rId97"/>
        <a:stretch>
          <a:fillRect/>
        </a:stretch>
      </xdr:blipFill>
      <xdr:spPr>
        <a:prstGeom prst="rect">
          <a:avLst/>
        </a:prstGeom>
        <a:noFill/>
      </xdr:spPr>
    </xdr:pic>
    <xdr:clientData fLocksWithSheet="0"/>
  </xdr:oneCellAnchor>
  <xdr:oneCellAnchor>
    <xdr:from>
      <xdr:col>0</xdr:col>
      <xdr:colOff>0</xdr:colOff>
      <xdr:row>144</xdr:row>
      <xdr:rowOff>0</xdr:rowOff>
    </xdr:from>
    <xdr:ext cx="333375" cy="333375"/>
    <xdr:pic>
      <xdr:nvPicPr>
        <xdr:cNvPr id="0" name="image189.jpg"/>
        <xdr:cNvPicPr preferRelativeResize="0"/>
      </xdr:nvPicPr>
      <xdr:blipFill>
        <a:blip cstate="print" r:embed="rId98"/>
        <a:stretch>
          <a:fillRect/>
        </a:stretch>
      </xdr:blipFill>
      <xdr:spPr>
        <a:prstGeom prst="rect">
          <a:avLst/>
        </a:prstGeom>
        <a:noFill/>
      </xdr:spPr>
    </xdr:pic>
    <xdr:clientData fLocksWithSheet="0"/>
  </xdr:oneCellAnchor>
  <xdr:oneCellAnchor>
    <xdr:from>
      <xdr:col>0</xdr:col>
      <xdr:colOff>0</xdr:colOff>
      <xdr:row>145</xdr:row>
      <xdr:rowOff>0</xdr:rowOff>
    </xdr:from>
    <xdr:ext cx="333375" cy="333375"/>
    <xdr:pic>
      <xdr:nvPicPr>
        <xdr:cNvPr id="0" name="image189.jpg"/>
        <xdr:cNvPicPr preferRelativeResize="0"/>
      </xdr:nvPicPr>
      <xdr:blipFill>
        <a:blip cstate="print" r:embed="rId98"/>
        <a:stretch>
          <a:fillRect/>
        </a:stretch>
      </xdr:blipFill>
      <xdr:spPr>
        <a:prstGeom prst="rect">
          <a:avLst/>
        </a:prstGeom>
        <a:noFill/>
      </xdr:spPr>
    </xdr:pic>
    <xdr:clientData fLocksWithSheet="0"/>
  </xdr:oneCellAnchor>
  <xdr:oneCellAnchor>
    <xdr:from>
      <xdr:col>0</xdr:col>
      <xdr:colOff>0</xdr:colOff>
      <xdr:row>146</xdr:row>
      <xdr:rowOff>0</xdr:rowOff>
    </xdr:from>
    <xdr:ext cx="333375" cy="333375"/>
    <xdr:pic>
      <xdr:nvPicPr>
        <xdr:cNvPr id="0" name="image182.jpg"/>
        <xdr:cNvPicPr preferRelativeResize="0"/>
      </xdr:nvPicPr>
      <xdr:blipFill>
        <a:blip cstate="print" r:embed="rId99"/>
        <a:stretch>
          <a:fillRect/>
        </a:stretch>
      </xdr:blipFill>
      <xdr:spPr>
        <a:prstGeom prst="rect">
          <a:avLst/>
        </a:prstGeom>
        <a:noFill/>
      </xdr:spPr>
    </xdr:pic>
    <xdr:clientData fLocksWithSheet="0"/>
  </xdr:oneCellAnchor>
  <xdr:oneCellAnchor>
    <xdr:from>
      <xdr:col>0</xdr:col>
      <xdr:colOff>0</xdr:colOff>
      <xdr:row>147</xdr:row>
      <xdr:rowOff>0</xdr:rowOff>
    </xdr:from>
    <xdr:ext cx="333375" cy="333375"/>
    <xdr:pic>
      <xdr:nvPicPr>
        <xdr:cNvPr id="0" name="image250.jpg"/>
        <xdr:cNvPicPr preferRelativeResize="0"/>
      </xdr:nvPicPr>
      <xdr:blipFill>
        <a:blip cstate="print" r:embed="rId100"/>
        <a:stretch>
          <a:fillRect/>
        </a:stretch>
      </xdr:blipFill>
      <xdr:spPr>
        <a:prstGeom prst="rect">
          <a:avLst/>
        </a:prstGeom>
        <a:noFill/>
      </xdr:spPr>
    </xdr:pic>
    <xdr:clientData fLocksWithSheet="0"/>
  </xdr:oneCellAnchor>
  <xdr:oneCellAnchor>
    <xdr:from>
      <xdr:col>0</xdr:col>
      <xdr:colOff>0</xdr:colOff>
      <xdr:row>148</xdr:row>
      <xdr:rowOff>0</xdr:rowOff>
    </xdr:from>
    <xdr:ext cx="333375" cy="333375"/>
    <xdr:pic>
      <xdr:nvPicPr>
        <xdr:cNvPr id="0" name="image188.jpg"/>
        <xdr:cNvPicPr preferRelativeResize="0"/>
      </xdr:nvPicPr>
      <xdr:blipFill>
        <a:blip cstate="print" r:embed="rId101"/>
        <a:stretch>
          <a:fillRect/>
        </a:stretch>
      </xdr:blipFill>
      <xdr:spPr>
        <a:prstGeom prst="rect">
          <a:avLst/>
        </a:prstGeom>
        <a:noFill/>
      </xdr:spPr>
    </xdr:pic>
    <xdr:clientData fLocksWithSheet="0"/>
  </xdr:oneCellAnchor>
  <xdr:oneCellAnchor>
    <xdr:from>
      <xdr:col>0</xdr:col>
      <xdr:colOff>0</xdr:colOff>
      <xdr:row>149</xdr:row>
      <xdr:rowOff>0</xdr:rowOff>
    </xdr:from>
    <xdr:ext cx="333375" cy="333375"/>
    <xdr:pic>
      <xdr:nvPicPr>
        <xdr:cNvPr id="0" name="image194.jpg"/>
        <xdr:cNvPicPr preferRelativeResize="0"/>
      </xdr:nvPicPr>
      <xdr:blipFill>
        <a:blip cstate="print" r:embed="rId102"/>
        <a:stretch>
          <a:fillRect/>
        </a:stretch>
      </xdr:blipFill>
      <xdr:spPr>
        <a:prstGeom prst="rect">
          <a:avLst/>
        </a:prstGeom>
        <a:noFill/>
      </xdr:spPr>
    </xdr:pic>
    <xdr:clientData fLocksWithSheet="0"/>
  </xdr:oneCellAnchor>
  <xdr:oneCellAnchor>
    <xdr:from>
      <xdr:col>0</xdr:col>
      <xdr:colOff>0</xdr:colOff>
      <xdr:row>150</xdr:row>
      <xdr:rowOff>0</xdr:rowOff>
    </xdr:from>
    <xdr:ext cx="333375" cy="333375"/>
    <xdr:pic>
      <xdr:nvPicPr>
        <xdr:cNvPr id="0" name="image185.jpg"/>
        <xdr:cNvPicPr preferRelativeResize="0"/>
      </xdr:nvPicPr>
      <xdr:blipFill>
        <a:blip cstate="print" r:embed="rId103"/>
        <a:stretch>
          <a:fillRect/>
        </a:stretch>
      </xdr:blipFill>
      <xdr:spPr>
        <a:prstGeom prst="rect">
          <a:avLst/>
        </a:prstGeom>
        <a:noFill/>
      </xdr:spPr>
    </xdr:pic>
    <xdr:clientData fLocksWithSheet="0"/>
  </xdr:oneCellAnchor>
  <xdr:oneCellAnchor>
    <xdr:from>
      <xdr:col>0</xdr:col>
      <xdr:colOff>0</xdr:colOff>
      <xdr:row>151</xdr:row>
      <xdr:rowOff>0</xdr:rowOff>
    </xdr:from>
    <xdr:ext cx="333375" cy="333375"/>
    <xdr:pic>
      <xdr:nvPicPr>
        <xdr:cNvPr id="0" name="image185.jpg"/>
        <xdr:cNvPicPr preferRelativeResize="0"/>
      </xdr:nvPicPr>
      <xdr:blipFill>
        <a:blip cstate="print" r:embed="rId103"/>
        <a:stretch>
          <a:fillRect/>
        </a:stretch>
      </xdr:blipFill>
      <xdr:spPr>
        <a:prstGeom prst="rect">
          <a:avLst/>
        </a:prstGeom>
        <a:noFill/>
      </xdr:spPr>
    </xdr:pic>
    <xdr:clientData fLocksWithSheet="0"/>
  </xdr:oneCellAnchor>
  <xdr:oneCellAnchor>
    <xdr:from>
      <xdr:col>0</xdr:col>
      <xdr:colOff>0</xdr:colOff>
      <xdr:row>152</xdr:row>
      <xdr:rowOff>0</xdr:rowOff>
    </xdr:from>
    <xdr:ext cx="333375" cy="333375"/>
    <xdr:pic>
      <xdr:nvPicPr>
        <xdr:cNvPr id="0" name="image186.jpg"/>
        <xdr:cNvPicPr preferRelativeResize="0"/>
      </xdr:nvPicPr>
      <xdr:blipFill>
        <a:blip cstate="print" r:embed="rId104"/>
        <a:stretch>
          <a:fillRect/>
        </a:stretch>
      </xdr:blipFill>
      <xdr:spPr>
        <a:prstGeom prst="rect">
          <a:avLst/>
        </a:prstGeom>
        <a:noFill/>
      </xdr:spPr>
    </xdr:pic>
    <xdr:clientData fLocksWithSheet="0"/>
  </xdr:oneCellAnchor>
  <xdr:oneCellAnchor>
    <xdr:from>
      <xdr:col>0</xdr:col>
      <xdr:colOff>0</xdr:colOff>
      <xdr:row>153</xdr:row>
      <xdr:rowOff>0</xdr:rowOff>
    </xdr:from>
    <xdr:ext cx="333375" cy="333375"/>
    <xdr:pic>
      <xdr:nvPicPr>
        <xdr:cNvPr id="0" name="image245.jpg"/>
        <xdr:cNvPicPr preferRelativeResize="0"/>
      </xdr:nvPicPr>
      <xdr:blipFill>
        <a:blip cstate="print" r:embed="rId105"/>
        <a:stretch>
          <a:fillRect/>
        </a:stretch>
      </xdr:blipFill>
      <xdr:spPr>
        <a:prstGeom prst="rect">
          <a:avLst/>
        </a:prstGeom>
        <a:noFill/>
      </xdr:spPr>
    </xdr:pic>
    <xdr:clientData fLocksWithSheet="0"/>
  </xdr:oneCellAnchor>
  <xdr:oneCellAnchor>
    <xdr:from>
      <xdr:col>0</xdr:col>
      <xdr:colOff>0</xdr:colOff>
      <xdr:row>154</xdr:row>
      <xdr:rowOff>0</xdr:rowOff>
    </xdr:from>
    <xdr:ext cx="333375" cy="333375"/>
    <xdr:pic>
      <xdr:nvPicPr>
        <xdr:cNvPr id="0" name="image183.jpg"/>
        <xdr:cNvPicPr preferRelativeResize="0"/>
      </xdr:nvPicPr>
      <xdr:blipFill>
        <a:blip cstate="print" r:embed="rId106"/>
        <a:stretch>
          <a:fillRect/>
        </a:stretch>
      </xdr:blipFill>
      <xdr:spPr>
        <a:prstGeom prst="rect">
          <a:avLst/>
        </a:prstGeom>
        <a:noFill/>
      </xdr:spPr>
    </xdr:pic>
    <xdr:clientData fLocksWithSheet="0"/>
  </xdr:oneCellAnchor>
  <xdr:oneCellAnchor>
    <xdr:from>
      <xdr:col>0</xdr:col>
      <xdr:colOff>0</xdr:colOff>
      <xdr:row>155</xdr:row>
      <xdr:rowOff>0</xdr:rowOff>
    </xdr:from>
    <xdr:ext cx="333375" cy="333375"/>
    <xdr:pic>
      <xdr:nvPicPr>
        <xdr:cNvPr id="0" name="image268.jpg"/>
        <xdr:cNvPicPr preferRelativeResize="0"/>
      </xdr:nvPicPr>
      <xdr:blipFill>
        <a:blip cstate="print" r:embed="rId107"/>
        <a:stretch>
          <a:fillRect/>
        </a:stretch>
      </xdr:blipFill>
      <xdr:spPr>
        <a:prstGeom prst="rect">
          <a:avLst/>
        </a:prstGeom>
        <a:noFill/>
      </xdr:spPr>
    </xdr:pic>
    <xdr:clientData fLocksWithSheet="0"/>
  </xdr:oneCellAnchor>
  <xdr:oneCellAnchor>
    <xdr:from>
      <xdr:col>0</xdr:col>
      <xdr:colOff>0</xdr:colOff>
      <xdr:row>156</xdr:row>
      <xdr:rowOff>0</xdr:rowOff>
    </xdr:from>
    <xdr:ext cx="333375" cy="333375"/>
    <xdr:pic>
      <xdr:nvPicPr>
        <xdr:cNvPr id="0" name="image187.jpg"/>
        <xdr:cNvPicPr preferRelativeResize="0"/>
      </xdr:nvPicPr>
      <xdr:blipFill>
        <a:blip cstate="print" r:embed="rId108"/>
        <a:stretch>
          <a:fillRect/>
        </a:stretch>
      </xdr:blipFill>
      <xdr:spPr>
        <a:prstGeom prst="rect">
          <a:avLst/>
        </a:prstGeom>
        <a:noFill/>
      </xdr:spPr>
    </xdr:pic>
    <xdr:clientData fLocksWithSheet="0"/>
  </xdr:oneCellAnchor>
  <xdr:oneCellAnchor>
    <xdr:from>
      <xdr:col>0</xdr:col>
      <xdr:colOff>0</xdr:colOff>
      <xdr:row>157</xdr:row>
      <xdr:rowOff>0</xdr:rowOff>
    </xdr:from>
    <xdr:ext cx="333375" cy="333375"/>
    <xdr:pic>
      <xdr:nvPicPr>
        <xdr:cNvPr id="0" name="image227.jpg"/>
        <xdr:cNvPicPr preferRelativeResize="0"/>
      </xdr:nvPicPr>
      <xdr:blipFill>
        <a:blip cstate="print" r:embed="rId109"/>
        <a:stretch>
          <a:fillRect/>
        </a:stretch>
      </xdr:blipFill>
      <xdr:spPr>
        <a:prstGeom prst="rect">
          <a:avLst/>
        </a:prstGeom>
        <a:noFill/>
      </xdr:spPr>
    </xdr:pic>
    <xdr:clientData fLocksWithSheet="0"/>
  </xdr:oneCellAnchor>
  <xdr:oneCellAnchor>
    <xdr:from>
      <xdr:col>0</xdr:col>
      <xdr:colOff>0</xdr:colOff>
      <xdr:row>158</xdr:row>
      <xdr:rowOff>0</xdr:rowOff>
    </xdr:from>
    <xdr:ext cx="333375" cy="333375"/>
    <xdr:pic>
      <xdr:nvPicPr>
        <xdr:cNvPr id="0" name="image240.jpg"/>
        <xdr:cNvPicPr preferRelativeResize="0"/>
      </xdr:nvPicPr>
      <xdr:blipFill>
        <a:blip cstate="print" r:embed="rId110"/>
        <a:stretch>
          <a:fillRect/>
        </a:stretch>
      </xdr:blipFill>
      <xdr:spPr>
        <a:prstGeom prst="rect">
          <a:avLst/>
        </a:prstGeom>
        <a:noFill/>
      </xdr:spPr>
    </xdr:pic>
    <xdr:clientData fLocksWithSheet="0"/>
  </xdr:oneCellAnchor>
  <xdr:oneCellAnchor>
    <xdr:from>
      <xdr:col>0</xdr:col>
      <xdr:colOff>0</xdr:colOff>
      <xdr:row>159</xdr:row>
      <xdr:rowOff>0</xdr:rowOff>
    </xdr:from>
    <xdr:ext cx="333375" cy="333375"/>
    <xdr:pic>
      <xdr:nvPicPr>
        <xdr:cNvPr id="0" name="image193.jpg"/>
        <xdr:cNvPicPr preferRelativeResize="0"/>
      </xdr:nvPicPr>
      <xdr:blipFill>
        <a:blip cstate="print" r:embed="rId111"/>
        <a:stretch>
          <a:fillRect/>
        </a:stretch>
      </xdr:blipFill>
      <xdr:spPr>
        <a:prstGeom prst="rect">
          <a:avLst/>
        </a:prstGeom>
        <a:noFill/>
      </xdr:spPr>
    </xdr:pic>
    <xdr:clientData fLocksWithSheet="0"/>
  </xdr:oneCellAnchor>
  <xdr:oneCellAnchor>
    <xdr:from>
      <xdr:col>0</xdr:col>
      <xdr:colOff>0</xdr:colOff>
      <xdr:row>160</xdr:row>
      <xdr:rowOff>0</xdr:rowOff>
    </xdr:from>
    <xdr:ext cx="333375" cy="333375"/>
    <xdr:pic>
      <xdr:nvPicPr>
        <xdr:cNvPr id="0" name="image208.jpg"/>
        <xdr:cNvPicPr preferRelativeResize="0"/>
      </xdr:nvPicPr>
      <xdr:blipFill>
        <a:blip cstate="print" r:embed="rId112"/>
        <a:stretch>
          <a:fillRect/>
        </a:stretch>
      </xdr:blipFill>
      <xdr:spPr>
        <a:prstGeom prst="rect">
          <a:avLst/>
        </a:prstGeom>
        <a:noFill/>
      </xdr:spPr>
    </xdr:pic>
    <xdr:clientData fLocksWithSheet="0"/>
  </xdr:oneCellAnchor>
  <xdr:oneCellAnchor>
    <xdr:from>
      <xdr:col>0</xdr:col>
      <xdr:colOff>0</xdr:colOff>
      <xdr:row>161</xdr:row>
      <xdr:rowOff>0</xdr:rowOff>
    </xdr:from>
    <xdr:ext cx="333375" cy="333375"/>
    <xdr:pic>
      <xdr:nvPicPr>
        <xdr:cNvPr id="0" name="image196.jpg"/>
        <xdr:cNvPicPr preferRelativeResize="0"/>
      </xdr:nvPicPr>
      <xdr:blipFill>
        <a:blip cstate="print" r:embed="rId113"/>
        <a:stretch>
          <a:fillRect/>
        </a:stretch>
      </xdr:blipFill>
      <xdr:spPr>
        <a:prstGeom prst="rect">
          <a:avLst/>
        </a:prstGeom>
        <a:noFill/>
      </xdr:spPr>
    </xdr:pic>
    <xdr:clientData fLocksWithSheet="0"/>
  </xdr:oneCellAnchor>
  <xdr:oneCellAnchor>
    <xdr:from>
      <xdr:col>0</xdr:col>
      <xdr:colOff>0</xdr:colOff>
      <xdr:row>162</xdr:row>
      <xdr:rowOff>0</xdr:rowOff>
    </xdr:from>
    <xdr:ext cx="333375" cy="333375"/>
    <xdr:pic>
      <xdr:nvPicPr>
        <xdr:cNvPr id="0" name="image192.jpg"/>
        <xdr:cNvPicPr preferRelativeResize="0"/>
      </xdr:nvPicPr>
      <xdr:blipFill>
        <a:blip cstate="print" r:embed="rId114"/>
        <a:stretch>
          <a:fillRect/>
        </a:stretch>
      </xdr:blipFill>
      <xdr:spPr>
        <a:prstGeom prst="rect">
          <a:avLst/>
        </a:prstGeom>
        <a:noFill/>
      </xdr:spPr>
    </xdr:pic>
    <xdr:clientData fLocksWithSheet="0"/>
  </xdr:oneCellAnchor>
  <xdr:oneCellAnchor>
    <xdr:from>
      <xdr:col>0</xdr:col>
      <xdr:colOff>0</xdr:colOff>
      <xdr:row>163</xdr:row>
      <xdr:rowOff>0</xdr:rowOff>
    </xdr:from>
    <xdr:ext cx="333375" cy="333375"/>
    <xdr:pic>
      <xdr:nvPicPr>
        <xdr:cNvPr id="0" name="image316.jpg"/>
        <xdr:cNvPicPr preferRelativeResize="0"/>
      </xdr:nvPicPr>
      <xdr:blipFill>
        <a:blip cstate="print" r:embed="rId115"/>
        <a:stretch>
          <a:fillRect/>
        </a:stretch>
      </xdr:blipFill>
      <xdr:spPr>
        <a:prstGeom prst="rect">
          <a:avLst/>
        </a:prstGeom>
        <a:noFill/>
      </xdr:spPr>
    </xdr:pic>
    <xdr:clientData fLocksWithSheet="0"/>
  </xdr:oneCellAnchor>
  <xdr:oneCellAnchor>
    <xdr:from>
      <xdr:col>0</xdr:col>
      <xdr:colOff>0</xdr:colOff>
      <xdr:row>164</xdr:row>
      <xdr:rowOff>0</xdr:rowOff>
    </xdr:from>
    <xdr:ext cx="333375" cy="333375"/>
    <xdr:pic>
      <xdr:nvPicPr>
        <xdr:cNvPr id="0" name="image199.jpg"/>
        <xdr:cNvPicPr preferRelativeResize="0"/>
      </xdr:nvPicPr>
      <xdr:blipFill>
        <a:blip cstate="print" r:embed="rId116"/>
        <a:stretch>
          <a:fillRect/>
        </a:stretch>
      </xdr:blipFill>
      <xdr:spPr>
        <a:prstGeom prst="rect">
          <a:avLst/>
        </a:prstGeom>
        <a:noFill/>
      </xdr:spPr>
    </xdr:pic>
    <xdr:clientData fLocksWithSheet="0"/>
  </xdr:oneCellAnchor>
  <xdr:oneCellAnchor>
    <xdr:from>
      <xdr:col>0</xdr:col>
      <xdr:colOff>0</xdr:colOff>
      <xdr:row>165</xdr:row>
      <xdr:rowOff>0</xdr:rowOff>
    </xdr:from>
    <xdr:ext cx="333375" cy="333375"/>
    <xdr:pic>
      <xdr:nvPicPr>
        <xdr:cNvPr id="0" name="image198.jpg"/>
        <xdr:cNvPicPr preferRelativeResize="0"/>
      </xdr:nvPicPr>
      <xdr:blipFill>
        <a:blip cstate="print" r:embed="rId117"/>
        <a:stretch>
          <a:fillRect/>
        </a:stretch>
      </xdr:blipFill>
      <xdr:spPr>
        <a:prstGeom prst="rect">
          <a:avLst/>
        </a:prstGeom>
        <a:noFill/>
      </xdr:spPr>
    </xdr:pic>
    <xdr:clientData fLocksWithSheet="0"/>
  </xdr:oneCellAnchor>
  <xdr:oneCellAnchor>
    <xdr:from>
      <xdr:col>0</xdr:col>
      <xdr:colOff>0</xdr:colOff>
      <xdr:row>166</xdr:row>
      <xdr:rowOff>0</xdr:rowOff>
    </xdr:from>
    <xdr:ext cx="333375" cy="333375"/>
    <xdr:pic>
      <xdr:nvPicPr>
        <xdr:cNvPr id="0" name="image202.jpg"/>
        <xdr:cNvPicPr preferRelativeResize="0"/>
      </xdr:nvPicPr>
      <xdr:blipFill>
        <a:blip cstate="print" r:embed="rId118"/>
        <a:stretch>
          <a:fillRect/>
        </a:stretch>
      </xdr:blipFill>
      <xdr:spPr>
        <a:prstGeom prst="rect">
          <a:avLst/>
        </a:prstGeom>
        <a:noFill/>
      </xdr:spPr>
    </xdr:pic>
    <xdr:clientData fLocksWithSheet="0"/>
  </xdr:oneCellAnchor>
  <xdr:oneCellAnchor>
    <xdr:from>
      <xdr:col>0</xdr:col>
      <xdr:colOff>0</xdr:colOff>
      <xdr:row>167</xdr:row>
      <xdr:rowOff>0</xdr:rowOff>
    </xdr:from>
    <xdr:ext cx="333375" cy="333375"/>
    <xdr:pic>
      <xdr:nvPicPr>
        <xdr:cNvPr id="0" name="image308.jpg"/>
        <xdr:cNvPicPr preferRelativeResize="0"/>
      </xdr:nvPicPr>
      <xdr:blipFill>
        <a:blip cstate="print" r:embed="rId119"/>
        <a:stretch>
          <a:fillRect/>
        </a:stretch>
      </xdr:blipFill>
      <xdr:spPr>
        <a:prstGeom prst="rect">
          <a:avLst/>
        </a:prstGeom>
        <a:noFill/>
      </xdr:spPr>
    </xdr:pic>
    <xdr:clientData fLocksWithSheet="0"/>
  </xdr:oneCellAnchor>
  <xdr:oneCellAnchor>
    <xdr:from>
      <xdr:col>0</xdr:col>
      <xdr:colOff>0</xdr:colOff>
      <xdr:row>168</xdr:row>
      <xdr:rowOff>0</xdr:rowOff>
    </xdr:from>
    <xdr:ext cx="333375" cy="333375"/>
    <xdr:pic>
      <xdr:nvPicPr>
        <xdr:cNvPr id="0" name="image197.jpg"/>
        <xdr:cNvPicPr preferRelativeResize="0"/>
      </xdr:nvPicPr>
      <xdr:blipFill>
        <a:blip cstate="print" r:embed="rId120"/>
        <a:stretch>
          <a:fillRect/>
        </a:stretch>
      </xdr:blipFill>
      <xdr:spPr>
        <a:prstGeom prst="rect">
          <a:avLst/>
        </a:prstGeom>
        <a:noFill/>
      </xdr:spPr>
    </xdr:pic>
    <xdr:clientData fLocksWithSheet="0"/>
  </xdr:oneCellAnchor>
  <xdr:oneCellAnchor>
    <xdr:from>
      <xdr:col>0</xdr:col>
      <xdr:colOff>0</xdr:colOff>
      <xdr:row>169</xdr:row>
      <xdr:rowOff>0</xdr:rowOff>
    </xdr:from>
    <xdr:ext cx="333375" cy="333375"/>
    <xdr:pic>
      <xdr:nvPicPr>
        <xdr:cNvPr id="0" name="image296.jpg"/>
        <xdr:cNvPicPr preferRelativeResize="0"/>
      </xdr:nvPicPr>
      <xdr:blipFill>
        <a:blip cstate="print" r:embed="rId121"/>
        <a:stretch>
          <a:fillRect/>
        </a:stretch>
      </xdr:blipFill>
      <xdr:spPr>
        <a:prstGeom prst="rect">
          <a:avLst/>
        </a:prstGeom>
        <a:noFill/>
      </xdr:spPr>
    </xdr:pic>
    <xdr:clientData fLocksWithSheet="0"/>
  </xdr:oneCellAnchor>
  <xdr:oneCellAnchor>
    <xdr:from>
      <xdr:col>0</xdr:col>
      <xdr:colOff>0</xdr:colOff>
      <xdr:row>170</xdr:row>
      <xdr:rowOff>0</xdr:rowOff>
    </xdr:from>
    <xdr:ext cx="333375" cy="333375"/>
    <xdr:pic>
      <xdr:nvPicPr>
        <xdr:cNvPr id="0" name="image214.jpg"/>
        <xdr:cNvPicPr preferRelativeResize="0"/>
      </xdr:nvPicPr>
      <xdr:blipFill>
        <a:blip cstate="print" r:embed="rId122"/>
        <a:stretch>
          <a:fillRect/>
        </a:stretch>
      </xdr:blipFill>
      <xdr:spPr>
        <a:prstGeom prst="rect">
          <a:avLst/>
        </a:prstGeom>
        <a:noFill/>
      </xdr:spPr>
    </xdr:pic>
    <xdr:clientData fLocksWithSheet="0"/>
  </xdr:oneCellAnchor>
  <xdr:oneCellAnchor>
    <xdr:from>
      <xdr:col>0</xdr:col>
      <xdr:colOff>0</xdr:colOff>
      <xdr:row>171</xdr:row>
      <xdr:rowOff>0</xdr:rowOff>
    </xdr:from>
    <xdr:ext cx="333375" cy="333375"/>
    <xdr:pic>
      <xdr:nvPicPr>
        <xdr:cNvPr id="0" name="image206.jpg"/>
        <xdr:cNvPicPr preferRelativeResize="0"/>
      </xdr:nvPicPr>
      <xdr:blipFill>
        <a:blip cstate="print" r:embed="rId123"/>
        <a:stretch>
          <a:fillRect/>
        </a:stretch>
      </xdr:blipFill>
      <xdr:spPr>
        <a:prstGeom prst="rect">
          <a:avLst/>
        </a:prstGeom>
        <a:noFill/>
      </xdr:spPr>
    </xdr:pic>
    <xdr:clientData fLocksWithSheet="0"/>
  </xdr:oneCellAnchor>
  <xdr:oneCellAnchor>
    <xdr:from>
      <xdr:col>0</xdr:col>
      <xdr:colOff>0</xdr:colOff>
      <xdr:row>172</xdr:row>
      <xdr:rowOff>0</xdr:rowOff>
    </xdr:from>
    <xdr:ext cx="333375" cy="333375"/>
    <xdr:pic>
      <xdr:nvPicPr>
        <xdr:cNvPr id="0" name="image206.jpg"/>
        <xdr:cNvPicPr preferRelativeResize="0"/>
      </xdr:nvPicPr>
      <xdr:blipFill>
        <a:blip cstate="print" r:embed="rId123"/>
        <a:stretch>
          <a:fillRect/>
        </a:stretch>
      </xdr:blipFill>
      <xdr:spPr>
        <a:prstGeom prst="rect">
          <a:avLst/>
        </a:prstGeom>
        <a:noFill/>
      </xdr:spPr>
    </xdr:pic>
    <xdr:clientData fLocksWithSheet="0"/>
  </xdr:oneCellAnchor>
  <xdr:oneCellAnchor>
    <xdr:from>
      <xdr:col>0</xdr:col>
      <xdr:colOff>0</xdr:colOff>
      <xdr:row>173</xdr:row>
      <xdr:rowOff>0</xdr:rowOff>
    </xdr:from>
    <xdr:ext cx="333375" cy="333375"/>
    <xdr:pic>
      <xdr:nvPicPr>
        <xdr:cNvPr id="0" name="image213.jpg"/>
        <xdr:cNvPicPr preferRelativeResize="0"/>
      </xdr:nvPicPr>
      <xdr:blipFill>
        <a:blip cstate="print" r:embed="rId124"/>
        <a:stretch>
          <a:fillRect/>
        </a:stretch>
      </xdr:blipFill>
      <xdr:spPr>
        <a:prstGeom prst="rect">
          <a:avLst/>
        </a:prstGeom>
        <a:noFill/>
      </xdr:spPr>
    </xdr:pic>
    <xdr:clientData fLocksWithSheet="0"/>
  </xdr:oneCellAnchor>
  <xdr:oneCellAnchor>
    <xdr:from>
      <xdr:col>0</xdr:col>
      <xdr:colOff>0</xdr:colOff>
      <xdr:row>174</xdr:row>
      <xdr:rowOff>0</xdr:rowOff>
    </xdr:from>
    <xdr:ext cx="333375" cy="333375"/>
    <xdr:pic>
      <xdr:nvPicPr>
        <xdr:cNvPr id="0" name="image237.jpg"/>
        <xdr:cNvPicPr preferRelativeResize="0"/>
      </xdr:nvPicPr>
      <xdr:blipFill>
        <a:blip cstate="print" r:embed="rId125"/>
        <a:stretch>
          <a:fillRect/>
        </a:stretch>
      </xdr:blipFill>
      <xdr:spPr>
        <a:prstGeom prst="rect">
          <a:avLst/>
        </a:prstGeom>
        <a:noFill/>
      </xdr:spPr>
    </xdr:pic>
    <xdr:clientData fLocksWithSheet="0"/>
  </xdr:oneCellAnchor>
  <xdr:oneCellAnchor>
    <xdr:from>
      <xdr:col>0</xdr:col>
      <xdr:colOff>0</xdr:colOff>
      <xdr:row>175</xdr:row>
      <xdr:rowOff>0</xdr:rowOff>
    </xdr:from>
    <xdr:ext cx="333375" cy="333375"/>
    <xdr:pic>
      <xdr:nvPicPr>
        <xdr:cNvPr id="0" name="image205.jpg"/>
        <xdr:cNvPicPr preferRelativeResize="0"/>
      </xdr:nvPicPr>
      <xdr:blipFill>
        <a:blip cstate="print" r:embed="rId126"/>
        <a:stretch>
          <a:fillRect/>
        </a:stretch>
      </xdr:blipFill>
      <xdr:spPr>
        <a:prstGeom prst="rect">
          <a:avLst/>
        </a:prstGeom>
        <a:noFill/>
      </xdr:spPr>
    </xdr:pic>
    <xdr:clientData fLocksWithSheet="0"/>
  </xdr:oneCellAnchor>
  <xdr:oneCellAnchor>
    <xdr:from>
      <xdr:col>0</xdr:col>
      <xdr:colOff>0</xdr:colOff>
      <xdr:row>176</xdr:row>
      <xdr:rowOff>0</xdr:rowOff>
    </xdr:from>
    <xdr:ext cx="333375" cy="333375"/>
    <xdr:pic>
      <xdr:nvPicPr>
        <xdr:cNvPr id="0" name="image205.jpg"/>
        <xdr:cNvPicPr preferRelativeResize="0"/>
      </xdr:nvPicPr>
      <xdr:blipFill>
        <a:blip cstate="print" r:embed="rId126"/>
        <a:stretch>
          <a:fillRect/>
        </a:stretch>
      </xdr:blipFill>
      <xdr:spPr>
        <a:prstGeom prst="rect">
          <a:avLst/>
        </a:prstGeom>
        <a:noFill/>
      </xdr:spPr>
    </xdr:pic>
    <xdr:clientData fLocksWithSheet="0"/>
  </xdr:oneCellAnchor>
  <xdr:oneCellAnchor>
    <xdr:from>
      <xdr:col>0</xdr:col>
      <xdr:colOff>0</xdr:colOff>
      <xdr:row>177</xdr:row>
      <xdr:rowOff>0</xdr:rowOff>
    </xdr:from>
    <xdr:ext cx="333375" cy="333375"/>
    <xdr:pic>
      <xdr:nvPicPr>
        <xdr:cNvPr id="0" name="image205.jpg"/>
        <xdr:cNvPicPr preferRelativeResize="0"/>
      </xdr:nvPicPr>
      <xdr:blipFill>
        <a:blip cstate="print" r:embed="rId126"/>
        <a:stretch>
          <a:fillRect/>
        </a:stretch>
      </xdr:blipFill>
      <xdr:spPr>
        <a:prstGeom prst="rect">
          <a:avLst/>
        </a:prstGeom>
        <a:noFill/>
      </xdr:spPr>
    </xdr:pic>
    <xdr:clientData fLocksWithSheet="0"/>
  </xdr:oneCellAnchor>
  <xdr:oneCellAnchor>
    <xdr:from>
      <xdr:col>0</xdr:col>
      <xdr:colOff>0</xdr:colOff>
      <xdr:row>178</xdr:row>
      <xdr:rowOff>0</xdr:rowOff>
    </xdr:from>
    <xdr:ext cx="333375" cy="333375"/>
    <xdr:pic>
      <xdr:nvPicPr>
        <xdr:cNvPr id="0" name="image203.jpg"/>
        <xdr:cNvPicPr preferRelativeResize="0"/>
      </xdr:nvPicPr>
      <xdr:blipFill>
        <a:blip cstate="print" r:embed="rId127"/>
        <a:stretch>
          <a:fillRect/>
        </a:stretch>
      </xdr:blipFill>
      <xdr:spPr>
        <a:prstGeom prst="rect">
          <a:avLst/>
        </a:prstGeom>
        <a:noFill/>
      </xdr:spPr>
    </xdr:pic>
    <xdr:clientData fLocksWithSheet="0"/>
  </xdr:oneCellAnchor>
  <xdr:oneCellAnchor>
    <xdr:from>
      <xdr:col>0</xdr:col>
      <xdr:colOff>0</xdr:colOff>
      <xdr:row>179</xdr:row>
      <xdr:rowOff>0</xdr:rowOff>
    </xdr:from>
    <xdr:ext cx="333375" cy="333375"/>
    <xdr:pic>
      <xdr:nvPicPr>
        <xdr:cNvPr id="0" name="image210.jpg"/>
        <xdr:cNvPicPr preferRelativeResize="0"/>
      </xdr:nvPicPr>
      <xdr:blipFill>
        <a:blip cstate="print" r:embed="rId128"/>
        <a:stretch>
          <a:fillRect/>
        </a:stretch>
      </xdr:blipFill>
      <xdr:spPr>
        <a:prstGeom prst="rect">
          <a:avLst/>
        </a:prstGeom>
        <a:noFill/>
      </xdr:spPr>
    </xdr:pic>
    <xdr:clientData fLocksWithSheet="0"/>
  </xdr:oneCellAnchor>
  <xdr:oneCellAnchor>
    <xdr:from>
      <xdr:col>0</xdr:col>
      <xdr:colOff>0</xdr:colOff>
      <xdr:row>180</xdr:row>
      <xdr:rowOff>0</xdr:rowOff>
    </xdr:from>
    <xdr:ext cx="333375" cy="333375"/>
    <xdr:pic>
      <xdr:nvPicPr>
        <xdr:cNvPr id="0" name="image210.jpg"/>
        <xdr:cNvPicPr preferRelativeResize="0"/>
      </xdr:nvPicPr>
      <xdr:blipFill>
        <a:blip cstate="print" r:embed="rId128"/>
        <a:stretch>
          <a:fillRect/>
        </a:stretch>
      </xdr:blipFill>
      <xdr:spPr>
        <a:prstGeom prst="rect">
          <a:avLst/>
        </a:prstGeom>
        <a:noFill/>
      </xdr:spPr>
    </xdr:pic>
    <xdr:clientData fLocksWithSheet="0"/>
  </xdr:oneCellAnchor>
  <xdr:oneCellAnchor>
    <xdr:from>
      <xdr:col>0</xdr:col>
      <xdr:colOff>0</xdr:colOff>
      <xdr:row>181</xdr:row>
      <xdr:rowOff>0</xdr:rowOff>
    </xdr:from>
    <xdr:ext cx="333375" cy="333375"/>
    <xdr:pic>
      <xdr:nvPicPr>
        <xdr:cNvPr id="0" name="image211.jpg"/>
        <xdr:cNvPicPr preferRelativeResize="0"/>
      </xdr:nvPicPr>
      <xdr:blipFill>
        <a:blip cstate="print" r:embed="rId129"/>
        <a:stretch>
          <a:fillRect/>
        </a:stretch>
      </xdr:blipFill>
      <xdr:spPr>
        <a:prstGeom prst="rect">
          <a:avLst/>
        </a:prstGeom>
        <a:noFill/>
      </xdr:spPr>
    </xdr:pic>
    <xdr:clientData fLocksWithSheet="0"/>
  </xdr:oneCellAnchor>
  <xdr:oneCellAnchor>
    <xdr:from>
      <xdr:col>0</xdr:col>
      <xdr:colOff>0</xdr:colOff>
      <xdr:row>182</xdr:row>
      <xdr:rowOff>0</xdr:rowOff>
    </xdr:from>
    <xdr:ext cx="333375" cy="333375"/>
    <xdr:pic>
      <xdr:nvPicPr>
        <xdr:cNvPr id="0" name="image215.jpg"/>
        <xdr:cNvPicPr preferRelativeResize="0"/>
      </xdr:nvPicPr>
      <xdr:blipFill>
        <a:blip cstate="print" r:embed="rId130"/>
        <a:stretch>
          <a:fillRect/>
        </a:stretch>
      </xdr:blipFill>
      <xdr:spPr>
        <a:prstGeom prst="rect">
          <a:avLst/>
        </a:prstGeom>
        <a:noFill/>
      </xdr:spPr>
    </xdr:pic>
    <xdr:clientData fLocksWithSheet="0"/>
  </xdr:oneCellAnchor>
  <xdr:oneCellAnchor>
    <xdr:from>
      <xdr:col>0</xdr:col>
      <xdr:colOff>0</xdr:colOff>
      <xdr:row>183</xdr:row>
      <xdr:rowOff>0</xdr:rowOff>
    </xdr:from>
    <xdr:ext cx="333375" cy="333375"/>
    <xdr:pic>
      <xdr:nvPicPr>
        <xdr:cNvPr id="0" name="image215.jpg"/>
        <xdr:cNvPicPr preferRelativeResize="0"/>
      </xdr:nvPicPr>
      <xdr:blipFill>
        <a:blip cstate="print" r:embed="rId130"/>
        <a:stretch>
          <a:fillRect/>
        </a:stretch>
      </xdr:blipFill>
      <xdr:spPr>
        <a:prstGeom prst="rect">
          <a:avLst/>
        </a:prstGeom>
        <a:noFill/>
      </xdr:spPr>
    </xdr:pic>
    <xdr:clientData fLocksWithSheet="0"/>
  </xdr:oneCellAnchor>
  <xdr:oneCellAnchor>
    <xdr:from>
      <xdr:col>0</xdr:col>
      <xdr:colOff>0</xdr:colOff>
      <xdr:row>184</xdr:row>
      <xdr:rowOff>0</xdr:rowOff>
    </xdr:from>
    <xdr:ext cx="333375" cy="333375"/>
    <xdr:pic>
      <xdr:nvPicPr>
        <xdr:cNvPr id="0" name="image231.jpg"/>
        <xdr:cNvPicPr preferRelativeResize="0"/>
      </xdr:nvPicPr>
      <xdr:blipFill>
        <a:blip cstate="print" r:embed="rId131"/>
        <a:stretch>
          <a:fillRect/>
        </a:stretch>
      </xdr:blipFill>
      <xdr:spPr>
        <a:prstGeom prst="rect">
          <a:avLst/>
        </a:prstGeom>
        <a:noFill/>
      </xdr:spPr>
    </xdr:pic>
    <xdr:clientData fLocksWithSheet="0"/>
  </xdr:oneCellAnchor>
  <xdr:oneCellAnchor>
    <xdr:from>
      <xdr:col>0</xdr:col>
      <xdr:colOff>0</xdr:colOff>
      <xdr:row>185</xdr:row>
      <xdr:rowOff>0</xdr:rowOff>
    </xdr:from>
    <xdr:ext cx="333375" cy="333375"/>
    <xdr:pic>
      <xdr:nvPicPr>
        <xdr:cNvPr id="0" name="image22.jpg"/>
        <xdr:cNvPicPr preferRelativeResize="0"/>
      </xdr:nvPicPr>
      <xdr:blipFill>
        <a:blip cstate="print" r:embed="rId132"/>
        <a:stretch>
          <a:fillRect/>
        </a:stretch>
      </xdr:blipFill>
      <xdr:spPr>
        <a:prstGeom prst="rect">
          <a:avLst/>
        </a:prstGeom>
        <a:noFill/>
      </xdr:spPr>
    </xdr:pic>
    <xdr:clientData fLocksWithSheet="0"/>
  </xdr:oneCellAnchor>
  <xdr:oneCellAnchor>
    <xdr:from>
      <xdr:col>0</xdr:col>
      <xdr:colOff>0</xdr:colOff>
      <xdr:row>186</xdr:row>
      <xdr:rowOff>0</xdr:rowOff>
    </xdr:from>
    <xdr:ext cx="333375" cy="333375"/>
    <xdr:pic>
      <xdr:nvPicPr>
        <xdr:cNvPr id="0" name="image332.jpg"/>
        <xdr:cNvPicPr preferRelativeResize="0"/>
      </xdr:nvPicPr>
      <xdr:blipFill>
        <a:blip cstate="print" r:embed="rId133"/>
        <a:stretch>
          <a:fillRect/>
        </a:stretch>
      </xdr:blipFill>
      <xdr:spPr>
        <a:prstGeom prst="rect">
          <a:avLst/>
        </a:prstGeom>
        <a:noFill/>
      </xdr:spPr>
    </xdr:pic>
    <xdr:clientData fLocksWithSheet="0"/>
  </xdr:oneCellAnchor>
  <xdr:oneCellAnchor>
    <xdr:from>
      <xdr:col>0</xdr:col>
      <xdr:colOff>0</xdr:colOff>
      <xdr:row>187</xdr:row>
      <xdr:rowOff>0</xdr:rowOff>
    </xdr:from>
    <xdr:ext cx="333375" cy="333375"/>
    <xdr:pic>
      <xdr:nvPicPr>
        <xdr:cNvPr id="0" name="image332.jpg"/>
        <xdr:cNvPicPr preferRelativeResize="0"/>
      </xdr:nvPicPr>
      <xdr:blipFill>
        <a:blip cstate="print" r:embed="rId133"/>
        <a:stretch>
          <a:fillRect/>
        </a:stretch>
      </xdr:blipFill>
      <xdr:spPr>
        <a:prstGeom prst="rect">
          <a:avLst/>
        </a:prstGeom>
        <a:noFill/>
      </xdr:spPr>
    </xdr:pic>
    <xdr:clientData fLocksWithSheet="0"/>
  </xdr:oneCellAnchor>
  <xdr:oneCellAnchor>
    <xdr:from>
      <xdr:col>0</xdr:col>
      <xdr:colOff>0</xdr:colOff>
      <xdr:row>188</xdr:row>
      <xdr:rowOff>0</xdr:rowOff>
    </xdr:from>
    <xdr:ext cx="333375" cy="333375"/>
    <xdr:pic>
      <xdr:nvPicPr>
        <xdr:cNvPr id="0" name="image223.jpg"/>
        <xdr:cNvPicPr preferRelativeResize="0"/>
      </xdr:nvPicPr>
      <xdr:blipFill>
        <a:blip cstate="print" r:embed="rId134"/>
        <a:stretch>
          <a:fillRect/>
        </a:stretch>
      </xdr:blipFill>
      <xdr:spPr>
        <a:prstGeom prst="rect">
          <a:avLst/>
        </a:prstGeom>
        <a:noFill/>
      </xdr:spPr>
    </xdr:pic>
    <xdr:clientData fLocksWithSheet="0"/>
  </xdr:oneCellAnchor>
  <xdr:oneCellAnchor>
    <xdr:from>
      <xdr:col>0</xdr:col>
      <xdr:colOff>0</xdr:colOff>
      <xdr:row>189</xdr:row>
      <xdr:rowOff>0</xdr:rowOff>
    </xdr:from>
    <xdr:ext cx="333375" cy="333375"/>
    <xdr:pic>
      <xdr:nvPicPr>
        <xdr:cNvPr id="0" name="image223.jpg"/>
        <xdr:cNvPicPr preferRelativeResize="0"/>
      </xdr:nvPicPr>
      <xdr:blipFill>
        <a:blip cstate="print" r:embed="rId134"/>
        <a:stretch>
          <a:fillRect/>
        </a:stretch>
      </xdr:blipFill>
      <xdr:spPr>
        <a:prstGeom prst="rect">
          <a:avLst/>
        </a:prstGeom>
        <a:noFill/>
      </xdr:spPr>
    </xdr:pic>
    <xdr:clientData fLocksWithSheet="0"/>
  </xdr:oneCellAnchor>
  <xdr:oneCellAnchor>
    <xdr:from>
      <xdr:col>0</xdr:col>
      <xdr:colOff>0</xdr:colOff>
      <xdr:row>190</xdr:row>
      <xdr:rowOff>0</xdr:rowOff>
    </xdr:from>
    <xdr:ext cx="333375" cy="333375"/>
    <xdr:pic>
      <xdr:nvPicPr>
        <xdr:cNvPr id="0" name="image228.jpg"/>
        <xdr:cNvPicPr preferRelativeResize="0"/>
      </xdr:nvPicPr>
      <xdr:blipFill>
        <a:blip cstate="print" r:embed="rId135"/>
        <a:stretch>
          <a:fillRect/>
        </a:stretch>
      </xdr:blipFill>
      <xdr:spPr>
        <a:prstGeom prst="rect">
          <a:avLst/>
        </a:prstGeom>
        <a:noFill/>
      </xdr:spPr>
    </xdr:pic>
    <xdr:clientData fLocksWithSheet="0"/>
  </xdr:oneCellAnchor>
  <xdr:oneCellAnchor>
    <xdr:from>
      <xdr:col>0</xdr:col>
      <xdr:colOff>0</xdr:colOff>
      <xdr:row>191</xdr:row>
      <xdr:rowOff>0</xdr:rowOff>
    </xdr:from>
    <xdr:ext cx="333375" cy="333375"/>
    <xdr:pic>
      <xdr:nvPicPr>
        <xdr:cNvPr id="0" name="image319.jpg"/>
        <xdr:cNvPicPr preferRelativeResize="0"/>
      </xdr:nvPicPr>
      <xdr:blipFill>
        <a:blip cstate="print" r:embed="rId136"/>
        <a:stretch>
          <a:fillRect/>
        </a:stretch>
      </xdr:blipFill>
      <xdr:spPr>
        <a:prstGeom prst="rect">
          <a:avLst/>
        </a:prstGeom>
        <a:noFill/>
      </xdr:spPr>
    </xdr:pic>
    <xdr:clientData fLocksWithSheet="0"/>
  </xdr:oneCellAnchor>
  <xdr:oneCellAnchor>
    <xdr:from>
      <xdr:col>0</xdr:col>
      <xdr:colOff>0</xdr:colOff>
      <xdr:row>192</xdr:row>
      <xdr:rowOff>0</xdr:rowOff>
    </xdr:from>
    <xdr:ext cx="333375" cy="333375"/>
    <xdr:pic>
      <xdr:nvPicPr>
        <xdr:cNvPr id="0" name="image306.jpg"/>
        <xdr:cNvPicPr preferRelativeResize="0"/>
      </xdr:nvPicPr>
      <xdr:blipFill>
        <a:blip cstate="print" r:embed="rId137"/>
        <a:stretch>
          <a:fillRect/>
        </a:stretch>
      </xdr:blipFill>
      <xdr:spPr>
        <a:prstGeom prst="rect">
          <a:avLst/>
        </a:prstGeom>
        <a:noFill/>
      </xdr:spPr>
    </xdr:pic>
    <xdr:clientData fLocksWithSheet="0"/>
  </xdr:oneCellAnchor>
  <xdr:oneCellAnchor>
    <xdr:from>
      <xdr:col>0</xdr:col>
      <xdr:colOff>0</xdr:colOff>
      <xdr:row>193</xdr:row>
      <xdr:rowOff>0</xdr:rowOff>
    </xdr:from>
    <xdr:ext cx="333375" cy="333375"/>
    <xdr:pic>
      <xdr:nvPicPr>
        <xdr:cNvPr id="0" name="image219.jpg"/>
        <xdr:cNvPicPr preferRelativeResize="0"/>
      </xdr:nvPicPr>
      <xdr:blipFill>
        <a:blip cstate="print" r:embed="rId138"/>
        <a:stretch>
          <a:fillRect/>
        </a:stretch>
      </xdr:blipFill>
      <xdr:spPr>
        <a:prstGeom prst="rect">
          <a:avLst/>
        </a:prstGeom>
        <a:noFill/>
      </xdr:spPr>
    </xdr:pic>
    <xdr:clientData fLocksWithSheet="0"/>
  </xdr:oneCellAnchor>
  <xdr:oneCellAnchor>
    <xdr:from>
      <xdr:col>0</xdr:col>
      <xdr:colOff>0</xdr:colOff>
      <xdr:row>194</xdr:row>
      <xdr:rowOff>0</xdr:rowOff>
    </xdr:from>
    <xdr:ext cx="333375" cy="333375"/>
    <xdr:pic>
      <xdr:nvPicPr>
        <xdr:cNvPr id="0" name="image219.jpg"/>
        <xdr:cNvPicPr preferRelativeResize="0"/>
      </xdr:nvPicPr>
      <xdr:blipFill>
        <a:blip cstate="print" r:embed="rId138"/>
        <a:stretch>
          <a:fillRect/>
        </a:stretch>
      </xdr:blipFill>
      <xdr:spPr>
        <a:prstGeom prst="rect">
          <a:avLst/>
        </a:prstGeom>
        <a:noFill/>
      </xdr:spPr>
    </xdr:pic>
    <xdr:clientData fLocksWithSheet="0"/>
  </xdr:oneCellAnchor>
  <xdr:oneCellAnchor>
    <xdr:from>
      <xdr:col>0</xdr:col>
      <xdr:colOff>0</xdr:colOff>
      <xdr:row>195</xdr:row>
      <xdr:rowOff>0</xdr:rowOff>
    </xdr:from>
    <xdr:ext cx="333375" cy="333375"/>
    <xdr:pic>
      <xdr:nvPicPr>
        <xdr:cNvPr id="0" name="image219.jpg"/>
        <xdr:cNvPicPr preferRelativeResize="0"/>
      </xdr:nvPicPr>
      <xdr:blipFill>
        <a:blip cstate="print" r:embed="rId138"/>
        <a:stretch>
          <a:fillRect/>
        </a:stretch>
      </xdr:blipFill>
      <xdr:spPr>
        <a:prstGeom prst="rect">
          <a:avLst/>
        </a:prstGeom>
        <a:noFill/>
      </xdr:spPr>
    </xdr:pic>
    <xdr:clientData fLocksWithSheet="0"/>
  </xdr:oneCellAnchor>
  <xdr:oneCellAnchor>
    <xdr:from>
      <xdr:col>0</xdr:col>
      <xdr:colOff>0</xdr:colOff>
      <xdr:row>196</xdr:row>
      <xdr:rowOff>0</xdr:rowOff>
    </xdr:from>
    <xdr:ext cx="333375" cy="333375"/>
    <xdr:pic>
      <xdr:nvPicPr>
        <xdr:cNvPr id="0" name="image219.jpg"/>
        <xdr:cNvPicPr preferRelativeResize="0"/>
      </xdr:nvPicPr>
      <xdr:blipFill>
        <a:blip cstate="print" r:embed="rId138"/>
        <a:stretch>
          <a:fillRect/>
        </a:stretch>
      </xdr:blipFill>
      <xdr:spPr>
        <a:prstGeom prst="rect">
          <a:avLst/>
        </a:prstGeom>
        <a:noFill/>
      </xdr:spPr>
    </xdr:pic>
    <xdr:clientData fLocksWithSheet="0"/>
  </xdr:oneCellAnchor>
  <xdr:oneCellAnchor>
    <xdr:from>
      <xdr:col>0</xdr:col>
      <xdr:colOff>0</xdr:colOff>
      <xdr:row>197</xdr:row>
      <xdr:rowOff>0</xdr:rowOff>
    </xdr:from>
    <xdr:ext cx="333375" cy="333375"/>
    <xdr:pic>
      <xdr:nvPicPr>
        <xdr:cNvPr id="0" name="image226.jpg"/>
        <xdr:cNvPicPr preferRelativeResize="0"/>
      </xdr:nvPicPr>
      <xdr:blipFill>
        <a:blip cstate="print" r:embed="rId139"/>
        <a:stretch>
          <a:fillRect/>
        </a:stretch>
      </xdr:blipFill>
      <xdr:spPr>
        <a:prstGeom prst="rect">
          <a:avLst/>
        </a:prstGeom>
        <a:noFill/>
      </xdr:spPr>
    </xdr:pic>
    <xdr:clientData fLocksWithSheet="0"/>
  </xdr:oneCellAnchor>
  <xdr:oneCellAnchor>
    <xdr:from>
      <xdr:col>0</xdr:col>
      <xdr:colOff>0</xdr:colOff>
      <xdr:row>198</xdr:row>
      <xdr:rowOff>0</xdr:rowOff>
    </xdr:from>
    <xdr:ext cx="333375" cy="333375"/>
    <xdr:pic>
      <xdr:nvPicPr>
        <xdr:cNvPr id="0" name="image225.jpg"/>
        <xdr:cNvPicPr preferRelativeResize="0"/>
      </xdr:nvPicPr>
      <xdr:blipFill>
        <a:blip cstate="print" r:embed="rId140"/>
        <a:stretch>
          <a:fillRect/>
        </a:stretch>
      </xdr:blipFill>
      <xdr:spPr>
        <a:prstGeom prst="rect">
          <a:avLst/>
        </a:prstGeom>
        <a:noFill/>
      </xdr:spPr>
    </xdr:pic>
    <xdr:clientData fLocksWithSheet="0"/>
  </xdr:oneCellAnchor>
  <xdr:oneCellAnchor>
    <xdr:from>
      <xdr:col>0</xdr:col>
      <xdr:colOff>0</xdr:colOff>
      <xdr:row>199</xdr:row>
      <xdr:rowOff>0</xdr:rowOff>
    </xdr:from>
    <xdr:ext cx="333375" cy="333375"/>
    <xdr:pic>
      <xdr:nvPicPr>
        <xdr:cNvPr id="0" name="image221.jpg"/>
        <xdr:cNvPicPr preferRelativeResize="0"/>
      </xdr:nvPicPr>
      <xdr:blipFill>
        <a:blip cstate="print" r:embed="rId141"/>
        <a:stretch>
          <a:fillRect/>
        </a:stretch>
      </xdr:blipFill>
      <xdr:spPr>
        <a:prstGeom prst="rect">
          <a:avLst/>
        </a:prstGeom>
        <a:noFill/>
      </xdr:spPr>
    </xdr:pic>
    <xdr:clientData fLocksWithSheet="0"/>
  </xdr:oneCellAnchor>
  <xdr:oneCellAnchor>
    <xdr:from>
      <xdr:col>0</xdr:col>
      <xdr:colOff>0</xdr:colOff>
      <xdr:row>200</xdr:row>
      <xdr:rowOff>0</xdr:rowOff>
    </xdr:from>
    <xdr:ext cx="333375" cy="333375"/>
    <xdr:pic>
      <xdr:nvPicPr>
        <xdr:cNvPr id="0" name="image220.jpg"/>
        <xdr:cNvPicPr preferRelativeResize="0"/>
      </xdr:nvPicPr>
      <xdr:blipFill>
        <a:blip cstate="print" r:embed="rId142"/>
        <a:stretch>
          <a:fillRect/>
        </a:stretch>
      </xdr:blipFill>
      <xdr:spPr>
        <a:prstGeom prst="rect">
          <a:avLst/>
        </a:prstGeom>
        <a:noFill/>
      </xdr:spPr>
    </xdr:pic>
    <xdr:clientData fLocksWithSheet="0"/>
  </xdr:oneCellAnchor>
  <xdr:oneCellAnchor>
    <xdr:from>
      <xdr:col>0</xdr:col>
      <xdr:colOff>0</xdr:colOff>
      <xdr:row>201</xdr:row>
      <xdr:rowOff>0</xdr:rowOff>
    </xdr:from>
    <xdr:ext cx="333375" cy="333375"/>
    <xdr:pic>
      <xdr:nvPicPr>
        <xdr:cNvPr id="0" name="image222.jpg"/>
        <xdr:cNvPicPr preferRelativeResize="0"/>
      </xdr:nvPicPr>
      <xdr:blipFill>
        <a:blip cstate="print" r:embed="rId143"/>
        <a:stretch>
          <a:fillRect/>
        </a:stretch>
      </xdr:blipFill>
      <xdr:spPr>
        <a:prstGeom prst="rect">
          <a:avLst/>
        </a:prstGeom>
        <a:noFill/>
      </xdr:spPr>
    </xdr:pic>
    <xdr:clientData fLocksWithSheet="0"/>
  </xdr:oneCellAnchor>
  <xdr:oneCellAnchor>
    <xdr:from>
      <xdr:col>0</xdr:col>
      <xdr:colOff>0</xdr:colOff>
      <xdr:row>202</xdr:row>
      <xdr:rowOff>0</xdr:rowOff>
    </xdr:from>
    <xdr:ext cx="333375" cy="333375"/>
    <xdr:pic>
      <xdr:nvPicPr>
        <xdr:cNvPr id="0" name="image239.jpg"/>
        <xdr:cNvPicPr preferRelativeResize="0"/>
      </xdr:nvPicPr>
      <xdr:blipFill>
        <a:blip cstate="print" r:embed="rId144"/>
        <a:stretch>
          <a:fillRect/>
        </a:stretch>
      </xdr:blipFill>
      <xdr:spPr>
        <a:prstGeom prst="rect">
          <a:avLst/>
        </a:prstGeom>
        <a:noFill/>
      </xdr:spPr>
    </xdr:pic>
    <xdr:clientData fLocksWithSheet="0"/>
  </xdr:oneCellAnchor>
  <xdr:oneCellAnchor>
    <xdr:from>
      <xdr:col>0</xdr:col>
      <xdr:colOff>0</xdr:colOff>
      <xdr:row>203</xdr:row>
      <xdr:rowOff>0</xdr:rowOff>
    </xdr:from>
    <xdr:ext cx="333375" cy="333375"/>
    <xdr:pic>
      <xdr:nvPicPr>
        <xdr:cNvPr id="0" name="image235.jpg"/>
        <xdr:cNvPicPr preferRelativeResize="0"/>
      </xdr:nvPicPr>
      <xdr:blipFill>
        <a:blip cstate="print" r:embed="rId145"/>
        <a:stretch>
          <a:fillRect/>
        </a:stretch>
      </xdr:blipFill>
      <xdr:spPr>
        <a:prstGeom prst="rect">
          <a:avLst/>
        </a:prstGeom>
        <a:noFill/>
      </xdr:spPr>
    </xdr:pic>
    <xdr:clientData fLocksWithSheet="0"/>
  </xdr:oneCellAnchor>
  <xdr:oneCellAnchor>
    <xdr:from>
      <xdr:col>0</xdr:col>
      <xdr:colOff>0</xdr:colOff>
      <xdr:row>204</xdr:row>
      <xdr:rowOff>0</xdr:rowOff>
    </xdr:from>
    <xdr:ext cx="333375" cy="333375"/>
    <xdr:pic>
      <xdr:nvPicPr>
        <xdr:cNvPr id="0" name="image235.jpg"/>
        <xdr:cNvPicPr preferRelativeResize="0"/>
      </xdr:nvPicPr>
      <xdr:blipFill>
        <a:blip cstate="print" r:embed="rId145"/>
        <a:stretch>
          <a:fillRect/>
        </a:stretch>
      </xdr:blipFill>
      <xdr:spPr>
        <a:prstGeom prst="rect">
          <a:avLst/>
        </a:prstGeom>
        <a:noFill/>
      </xdr:spPr>
    </xdr:pic>
    <xdr:clientData fLocksWithSheet="0"/>
  </xdr:oneCellAnchor>
  <xdr:oneCellAnchor>
    <xdr:from>
      <xdr:col>0</xdr:col>
      <xdr:colOff>0</xdr:colOff>
      <xdr:row>205</xdr:row>
      <xdr:rowOff>0</xdr:rowOff>
    </xdr:from>
    <xdr:ext cx="333375" cy="333375"/>
    <xdr:pic>
      <xdr:nvPicPr>
        <xdr:cNvPr id="0" name="image234.jpg"/>
        <xdr:cNvPicPr preferRelativeResize="0"/>
      </xdr:nvPicPr>
      <xdr:blipFill>
        <a:blip cstate="print" r:embed="rId146"/>
        <a:stretch>
          <a:fillRect/>
        </a:stretch>
      </xdr:blipFill>
      <xdr:spPr>
        <a:prstGeom prst="rect">
          <a:avLst/>
        </a:prstGeom>
        <a:noFill/>
      </xdr:spPr>
    </xdr:pic>
    <xdr:clientData fLocksWithSheet="0"/>
  </xdr:oneCellAnchor>
  <xdr:oneCellAnchor>
    <xdr:from>
      <xdr:col>0</xdr:col>
      <xdr:colOff>0</xdr:colOff>
      <xdr:row>206</xdr:row>
      <xdr:rowOff>0</xdr:rowOff>
    </xdr:from>
    <xdr:ext cx="333375" cy="333375"/>
    <xdr:pic>
      <xdr:nvPicPr>
        <xdr:cNvPr id="0" name="image242.jpg"/>
        <xdr:cNvPicPr preferRelativeResize="0"/>
      </xdr:nvPicPr>
      <xdr:blipFill>
        <a:blip cstate="print" r:embed="rId147"/>
        <a:stretch>
          <a:fillRect/>
        </a:stretch>
      </xdr:blipFill>
      <xdr:spPr>
        <a:prstGeom prst="rect">
          <a:avLst/>
        </a:prstGeom>
        <a:noFill/>
      </xdr:spPr>
    </xdr:pic>
    <xdr:clientData fLocksWithSheet="0"/>
  </xdr:oneCellAnchor>
  <xdr:oneCellAnchor>
    <xdr:from>
      <xdr:col>0</xdr:col>
      <xdr:colOff>0</xdr:colOff>
      <xdr:row>207</xdr:row>
      <xdr:rowOff>0</xdr:rowOff>
    </xdr:from>
    <xdr:ext cx="333375" cy="333375"/>
    <xdr:pic>
      <xdr:nvPicPr>
        <xdr:cNvPr id="0" name="image238.jpg"/>
        <xdr:cNvPicPr preferRelativeResize="0"/>
      </xdr:nvPicPr>
      <xdr:blipFill>
        <a:blip cstate="print" r:embed="rId148"/>
        <a:stretch>
          <a:fillRect/>
        </a:stretch>
      </xdr:blipFill>
      <xdr:spPr>
        <a:prstGeom prst="rect">
          <a:avLst/>
        </a:prstGeom>
        <a:noFill/>
      </xdr:spPr>
    </xdr:pic>
    <xdr:clientData fLocksWithSheet="0"/>
  </xdr:oneCellAnchor>
  <xdr:oneCellAnchor>
    <xdr:from>
      <xdr:col>0</xdr:col>
      <xdr:colOff>0</xdr:colOff>
      <xdr:row>208</xdr:row>
      <xdr:rowOff>0</xdr:rowOff>
    </xdr:from>
    <xdr:ext cx="333375" cy="333375"/>
    <xdr:pic>
      <xdr:nvPicPr>
        <xdr:cNvPr id="0" name="image238.jpg"/>
        <xdr:cNvPicPr preferRelativeResize="0"/>
      </xdr:nvPicPr>
      <xdr:blipFill>
        <a:blip cstate="print" r:embed="rId148"/>
        <a:stretch>
          <a:fillRect/>
        </a:stretch>
      </xdr:blipFill>
      <xdr:spPr>
        <a:prstGeom prst="rect">
          <a:avLst/>
        </a:prstGeom>
        <a:noFill/>
      </xdr:spPr>
    </xdr:pic>
    <xdr:clientData fLocksWithSheet="0"/>
  </xdr:oneCellAnchor>
  <xdr:oneCellAnchor>
    <xdr:from>
      <xdr:col>0</xdr:col>
      <xdr:colOff>0</xdr:colOff>
      <xdr:row>209</xdr:row>
      <xdr:rowOff>0</xdr:rowOff>
    </xdr:from>
    <xdr:ext cx="333375" cy="333375"/>
    <xdr:pic>
      <xdr:nvPicPr>
        <xdr:cNvPr id="0" name="image238.jpg"/>
        <xdr:cNvPicPr preferRelativeResize="0"/>
      </xdr:nvPicPr>
      <xdr:blipFill>
        <a:blip cstate="print" r:embed="rId148"/>
        <a:stretch>
          <a:fillRect/>
        </a:stretch>
      </xdr:blipFill>
      <xdr:spPr>
        <a:prstGeom prst="rect">
          <a:avLst/>
        </a:prstGeom>
        <a:noFill/>
      </xdr:spPr>
    </xdr:pic>
    <xdr:clientData fLocksWithSheet="0"/>
  </xdr:oneCellAnchor>
  <xdr:oneCellAnchor>
    <xdr:from>
      <xdr:col>0</xdr:col>
      <xdr:colOff>0</xdr:colOff>
      <xdr:row>210</xdr:row>
      <xdr:rowOff>0</xdr:rowOff>
    </xdr:from>
    <xdr:ext cx="333375" cy="333375"/>
    <xdr:pic>
      <xdr:nvPicPr>
        <xdr:cNvPr id="0" name="image230.jpg"/>
        <xdr:cNvPicPr preferRelativeResize="0"/>
      </xdr:nvPicPr>
      <xdr:blipFill>
        <a:blip cstate="print" r:embed="rId149"/>
        <a:stretch>
          <a:fillRect/>
        </a:stretch>
      </xdr:blipFill>
      <xdr:spPr>
        <a:prstGeom prst="rect">
          <a:avLst/>
        </a:prstGeom>
        <a:noFill/>
      </xdr:spPr>
    </xdr:pic>
    <xdr:clientData fLocksWithSheet="0"/>
  </xdr:oneCellAnchor>
  <xdr:oneCellAnchor>
    <xdr:from>
      <xdr:col>0</xdr:col>
      <xdr:colOff>0</xdr:colOff>
      <xdr:row>211</xdr:row>
      <xdr:rowOff>0</xdr:rowOff>
    </xdr:from>
    <xdr:ext cx="333375" cy="333375"/>
    <xdr:pic>
      <xdr:nvPicPr>
        <xdr:cNvPr id="0" name="image230.jpg"/>
        <xdr:cNvPicPr preferRelativeResize="0"/>
      </xdr:nvPicPr>
      <xdr:blipFill>
        <a:blip cstate="print" r:embed="rId149"/>
        <a:stretch>
          <a:fillRect/>
        </a:stretch>
      </xdr:blipFill>
      <xdr:spPr>
        <a:prstGeom prst="rect">
          <a:avLst/>
        </a:prstGeom>
        <a:noFill/>
      </xdr:spPr>
    </xdr:pic>
    <xdr:clientData fLocksWithSheet="0"/>
  </xdr:oneCellAnchor>
  <xdr:oneCellAnchor>
    <xdr:from>
      <xdr:col>0</xdr:col>
      <xdr:colOff>0</xdr:colOff>
      <xdr:row>212</xdr:row>
      <xdr:rowOff>0</xdr:rowOff>
    </xdr:from>
    <xdr:ext cx="333375" cy="333375"/>
    <xdr:pic>
      <xdr:nvPicPr>
        <xdr:cNvPr id="0" name="image274.jpg"/>
        <xdr:cNvPicPr preferRelativeResize="0"/>
      </xdr:nvPicPr>
      <xdr:blipFill>
        <a:blip cstate="print" r:embed="rId150"/>
        <a:stretch>
          <a:fillRect/>
        </a:stretch>
      </xdr:blipFill>
      <xdr:spPr>
        <a:prstGeom prst="rect">
          <a:avLst/>
        </a:prstGeom>
        <a:noFill/>
      </xdr:spPr>
    </xdr:pic>
    <xdr:clientData fLocksWithSheet="0"/>
  </xdr:oneCellAnchor>
  <xdr:oneCellAnchor>
    <xdr:from>
      <xdr:col>0</xdr:col>
      <xdr:colOff>0</xdr:colOff>
      <xdr:row>213</xdr:row>
      <xdr:rowOff>0</xdr:rowOff>
    </xdr:from>
    <xdr:ext cx="333375" cy="333375"/>
    <xdr:pic>
      <xdr:nvPicPr>
        <xdr:cNvPr id="0" name="image232.jpg"/>
        <xdr:cNvPicPr preferRelativeResize="0"/>
      </xdr:nvPicPr>
      <xdr:blipFill>
        <a:blip cstate="print" r:embed="rId151"/>
        <a:stretch>
          <a:fillRect/>
        </a:stretch>
      </xdr:blipFill>
      <xdr:spPr>
        <a:prstGeom prst="rect">
          <a:avLst/>
        </a:prstGeom>
        <a:noFill/>
      </xdr:spPr>
    </xdr:pic>
    <xdr:clientData fLocksWithSheet="0"/>
  </xdr:oneCellAnchor>
  <xdr:oneCellAnchor>
    <xdr:from>
      <xdr:col>0</xdr:col>
      <xdr:colOff>0</xdr:colOff>
      <xdr:row>214</xdr:row>
      <xdr:rowOff>0</xdr:rowOff>
    </xdr:from>
    <xdr:ext cx="333375" cy="333375"/>
    <xdr:pic>
      <xdr:nvPicPr>
        <xdr:cNvPr id="0" name="image232.jpg"/>
        <xdr:cNvPicPr preferRelativeResize="0"/>
      </xdr:nvPicPr>
      <xdr:blipFill>
        <a:blip cstate="print" r:embed="rId151"/>
        <a:stretch>
          <a:fillRect/>
        </a:stretch>
      </xdr:blipFill>
      <xdr:spPr>
        <a:prstGeom prst="rect">
          <a:avLst/>
        </a:prstGeom>
        <a:noFill/>
      </xdr:spPr>
    </xdr:pic>
    <xdr:clientData fLocksWithSheet="0"/>
  </xdr:oneCellAnchor>
  <xdr:oneCellAnchor>
    <xdr:from>
      <xdr:col>0</xdr:col>
      <xdr:colOff>0</xdr:colOff>
      <xdr:row>215</xdr:row>
      <xdr:rowOff>0</xdr:rowOff>
    </xdr:from>
    <xdr:ext cx="333375" cy="333375"/>
    <xdr:pic>
      <xdr:nvPicPr>
        <xdr:cNvPr id="0" name="image403.jpg"/>
        <xdr:cNvPicPr preferRelativeResize="0"/>
      </xdr:nvPicPr>
      <xdr:blipFill>
        <a:blip cstate="print" r:embed="rId152"/>
        <a:stretch>
          <a:fillRect/>
        </a:stretch>
      </xdr:blipFill>
      <xdr:spPr>
        <a:prstGeom prst="rect">
          <a:avLst/>
        </a:prstGeom>
        <a:noFill/>
      </xdr:spPr>
    </xdr:pic>
    <xdr:clientData fLocksWithSheet="0"/>
  </xdr:oneCellAnchor>
  <xdr:oneCellAnchor>
    <xdr:from>
      <xdr:col>0</xdr:col>
      <xdr:colOff>0</xdr:colOff>
      <xdr:row>216</xdr:row>
      <xdr:rowOff>0</xdr:rowOff>
    </xdr:from>
    <xdr:ext cx="333375" cy="333375"/>
    <xdr:pic>
      <xdr:nvPicPr>
        <xdr:cNvPr id="0" name="image403.jpg"/>
        <xdr:cNvPicPr preferRelativeResize="0"/>
      </xdr:nvPicPr>
      <xdr:blipFill>
        <a:blip cstate="print" r:embed="rId152"/>
        <a:stretch>
          <a:fillRect/>
        </a:stretch>
      </xdr:blipFill>
      <xdr:spPr>
        <a:prstGeom prst="rect">
          <a:avLst/>
        </a:prstGeom>
        <a:noFill/>
      </xdr:spPr>
    </xdr:pic>
    <xdr:clientData fLocksWithSheet="0"/>
  </xdr:oneCellAnchor>
  <xdr:oneCellAnchor>
    <xdr:from>
      <xdr:col>0</xdr:col>
      <xdr:colOff>0</xdr:colOff>
      <xdr:row>217</xdr:row>
      <xdr:rowOff>0</xdr:rowOff>
    </xdr:from>
    <xdr:ext cx="333375" cy="333375"/>
    <xdr:pic>
      <xdr:nvPicPr>
        <xdr:cNvPr id="0" name="image233.jpg"/>
        <xdr:cNvPicPr preferRelativeResize="0"/>
      </xdr:nvPicPr>
      <xdr:blipFill>
        <a:blip cstate="print" r:embed="rId153"/>
        <a:stretch>
          <a:fillRect/>
        </a:stretch>
      </xdr:blipFill>
      <xdr:spPr>
        <a:prstGeom prst="rect">
          <a:avLst/>
        </a:prstGeom>
        <a:noFill/>
      </xdr:spPr>
    </xdr:pic>
    <xdr:clientData fLocksWithSheet="0"/>
  </xdr:oneCellAnchor>
  <xdr:oneCellAnchor>
    <xdr:from>
      <xdr:col>0</xdr:col>
      <xdr:colOff>0</xdr:colOff>
      <xdr:row>218</xdr:row>
      <xdr:rowOff>0</xdr:rowOff>
    </xdr:from>
    <xdr:ext cx="333375" cy="333375"/>
    <xdr:pic>
      <xdr:nvPicPr>
        <xdr:cNvPr id="0" name="image248.jpg"/>
        <xdr:cNvPicPr preferRelativeResize="0"/>
      </xdr:nvPicPr>
      <xdr:blipFill>
        <a:blip cstate="print" r:embed="rId154"/>
        <a:stretch>
          <a:fillRect/>
        </a:stretch>
      </xdr:blipFill>
      <xdr:spPr>
        <a:prstGeom prst="rect">
          <a:avLst/>
        </a:prstGeom>
        <a:noFill/>
      </xdr:spPr>
    </xdr:pic>
    <xdr:clientData fLocksWithSheet="0"/>
  </xdr:oneCellAnchor>
  <xdr:oneCellAnchor>
    <xdr:from>
      <xdr:col>0</xdr:col>
      <xdr:colOff>0</xdr:colOff>
      <xdr:row>219</xdr:row>
      <xdr:rowOff>0</xdr:rowOff>
    </xdr:from>
    <xdr:ext cx="333375" cy="333375"/>
    <xdr:pic>
      <xdr:nvPicPr>
        <xdr:cNvPr id="0" name="image246.jpg"/>
        <xdr:cNvPicPr preferRelativeResize="0"/>
      </xdr:nvPicPr>
      <xdr:blipFill>
        <a:blip cstate="print" r:embed="rId155"/>
        <a:stretch>
          <a:fillRect/>
        </a:stretch>
      </xdr:blipFill>
      <xdr:spPr>
        <a:prstGeom prst="rect">
          <a:avLst/>
        </a:prstGeom>
        <a:noFill/>
      </xdr:spPr>
    </xdr:pic>
    <xdr:clientData fLocksWithSheet="0"/>
  </xdr:oneCellAnchor>
  <xdr:oneCellAnchor>
    <xdr:from>
      <xdr:col>0</xdr:col>
      <xdr:colOff>0</xdr:colOff>
      <xdr:row>220</xdr:row>
      <xdr:rowOff>0</xdr:rowOff>
    </xdr:from>
    <xdr:ext cx="333375" cy="333375"/>
    <xdr:pic>
      <xdr:nvPicPr>
        <xdr:cNvPr id="0" name="image271.jpg"/>
        <xdr:cNvPicPr preferRelativeResize="0"/>
      </xdr:nvPicPr>
      <xdr:blipFill>
        <a:blip cstate="print" r:embed="rId156"/>
        <a:stretch>
          <a:fillRect/>
        </a:stretch>
      </xdr:blipFill>
      <xdr:spPr>
        <a:prstGeom prst="rect">
          <a:avLst/>
        </a:prstGeom>
        <a:noFill/>
      </xdr:spPr>
    </xdr:pic>
    <xdr:clientData fLocksWithSheet="0"/>
  </xdr:oneCellAnchor>
  <xdr:oneCellAnchor>
    <xdr:from>
      <xdr:col>0</xdr:col>
      <xdr:colOff>0</xdr:colOff>
      <xdr:row>221</xdr:row>
      <xdr:rowOff>0</xdr:rowOff>
    </xdr:from>
    <xdr:ext cx="333375" cy="333375"/>
    <xdr:pic>
      <xdr:nvPicPr>
        <xdr:cNvPr id="0" name="image271.jpg"/>
        <xdr:cNvPicPr preferRelativeResize="0"/>
      </xdr:nvPicPr>
      <xdr:blipFill>
        <a:blip cstate="print" r:embed="rId156"/>
        <a:stretch>
          <a:fillRect/>
        </a:stretch>
      </xdr:blipFill>
      <xdr:spPr>
        <a:prstGeom prst="rect">
          <a:avLst/>
        </a:prstGeom>
        <a:noFill/>
      </xdr:spPr>
    </xdr:pic>
    <xdr:clientData fLocksWithSheet="0"/>
  </xdr:oneCellAnchor>
  <xdr:oneCellAnchor>
    <xdr:from>
      <xdr:col>0</xdr:col>
      <xdr:colOff>0</xdr:colOff>
      <xdr:row>222</xdr:row>
      <xdr:rowOff>0</xdr:rowOff>
    </xdr:from>
    <xdr:ext cx="333375" cy="333375"/>
    <xdr:pic>
      <xdr:nvPicPr>
        <xdr:cNvPr id="0" name="image243.jpg"/>
        <xdr:cNvPicPr preferRelativeResize="0"/>
      </xdr:nvPicPr>
      <xdr:blipFill>
        <a:blip cstate="print" r:embed="rId157"/>
        <a:stretch>
          <a:fillRect/>
        </a:stretch>
      </xdr:blipFill>
      <xdr:spPr>
        <a:prstGeom prst="rect">
          <a:avLst/>
        </a:prstGeom>
        <a:noFill/>
      </xdr:spPr>
    </xdr:pic>
    <xdr:clientData fLocksWithSheet="0"/>
  </xdr:oneCellAnchor>
  <xdr:oneCellAnchor>
    <xdr:from>
      <xdr:col>0</xdr:col>
      <xdr:colOff>0</xdr:colOff>
      <xdr:row>223</xdr:row>
      <xdr:rowOff>0</xdr:rowOff>
    </xdr:from>
    <xdr:ext cx="333375" cy="333375"/>
    <xdr:pic>
      <xdr:nvPicPr>
        <xdr:cNvPr id="0" name="image426.jpg"/>
        <xdr:cNvPicPr preferRelativeResize="0"/>
      </xdr:nvPicPr>
      <xdr:blipFill>
        <a:blip cstate="print" r:embed="rId158"/>
        <a:stretch>
          <a:fillRect/>
        </a:stretch>
      </xdr:blipFill>
      <xdr:spPr>
        <a:prstGeom prst="rect">
          <a:avLst/>
        </a:prstGeom>
        <a:noFill/>
      </xdr:spPr>
    </xdr:pic>
    <xdr:clientData fLocksWithSheet="0"/>
  </xdr:oneCellAnchor>
  <xdr:oneCellAnchor>
    <xdr:from>
      <xdr:col>0</xdr:col>
      <xdr:colOff>0</xdr:colOff>
      <xdr:row>224</xdr:row>
      <xdr:rowOff>0</xdr:rowOff>
    </xdr:from>
    <xdr:ext cx="333375" cy="333375"/>
    <xdr:pic>
      <xdr:nvPicPr>
        <xdr:cNvPr id="0" name="image252.jpg"/>
        <xdr:cNvPicPr preferRelativeResize="0"/>
      </xdr:nvPicPr>
      <xdr:blipFill>
        <a:blip cstate="print" r:embed="rId159"/>
        <a:stretch>
          <a:fillRect/>
        </a:stretch>
      </xdr:blipFill>
      <xdr:spPr>
        <a:prstGeom prst="rect">
          <a:avLst/>
        </a:prstGeom>
        <a:noFill/>
      </xdr:spPr>
    </xdr:pic>
    <xdr:clientData fLocksWithSheet="0"/>
  </xdr:oneCellAnchor>
  <xdr:oneCellAnchor>
    <xdr:from>
      <xdr:col>0</xdr:col>
      <xdr:colOff>0</xdr:colOff>
      <xdr:row>225</xdr:row>
      <xdr:rowOff>0</xdr:rowOff>
    </xdr:from>
    <xdr:ext cx="333375" cy="333375"/>
    <xdr:pic>
      <xdr:nvPicPr>
        <xdr:cNvPr id="0" name="image328.jpg"/>
        <xdr:cNvPicPr preferRelativeResize="0"/>
      </xdr:nvPicPr>
      <xdr:blipFill>
        <a:blip cstate="print" r:embed="rId160"/>
        <a:stretch>
          <a:fillRect/>
        </a:stretch>
      </xdr:blipFill>
      <xdr:spPr>
        <a:prstGeom prst="rect">
          <a:avLst/>
        </a:prstGeom>
        <a:noFill/>
      </xdr:spPr>
    </xdr:pic>
    <xdr:clientData fLocksWithSheet="0"/>
  </xdr:oneCellAnchor>
  <xdr:oneCellAnchor>
    <xdr:from>
      <xdr:col>0</xdr:col>
      <xdr:colOff>0</xdr:colOff>
      <xdr:row>226</xdr:row>
      <xdr:rowOff>0</xdr:rowOff>
    </xdr:from>
    <xdr:ext cx="333375" cy="333375"/>
    <xdr:pic>
      <xdr:nvPicPr>
        <xdr:cNvPr id="0" name="image244.jpg"/>
        <xdr:cNvPicPr preferRelativeResize="0"/>
      </xdr:nvPicPr>
      <xdr:blipFill>
        <a:blip cstate="print" r:embed="rId161"/>
        <a:stretch>
          <a:fillRect/>
        </a:stretch>
      </xdr:blipFill>
      <xdr:spPr>
        <a:prstGeom prst="rect">
          <a:avLst/>
        </a:prstGeom>
        <a:noFill/>
      </xdr:spPr>
    </xdr:pic>
    <xdr:clientData fLocksWithSheet="0"/>
  </xdr:oneCellAnchor>
  <xdr:oneCellAnchor>
    <xdr:from>
      <xdr:col>0</xdr:col>
      <xdr:colOff>0</xdr:colOff>
      <xdr:row>227</xdr:row>
      <xdr:rowOff>0</xdr:rowOff>
    </xdr:from>
    <xdr:ext cx="333375" cy="333375"/>
    <xdr:pic>
      <xdr:nvPicPr>
        <xdr:cNvPr id="0" name="image309.jpg"/>
        <xdr:cNvPicPr preferRelativeResize="0"/>
      </xdr:nvPicPr>
      <xdr:blipFill>
        <a:blip cstate="print" r:embed="rId162"/>
        <a:stretch>
          <a:fillRect/>
        </a:stretch>
      </xdr:blipFill>
      <xdr:spPr>
        <a:prstGeom prst="rect">
          <a:avLst/>
        </a:prstGeom>
        <a:noFill/>
      </xdr:spPr>
    </xdr:pic>
    <xdr:clientData fLocksWithSheet="0"/>
  </xdr:oneCellAnchor>
  <xdr:oneCellAnchor>
    <xdr:from>
      <xdr:col>0</xdr:col>
      <xdr:colOff>0</xdr:colOff>
      <xdr:row>228</xdr:row>
      <xdr:rowOff>0</xdr:rowOff>
    </xdr:from>
    <xdr:ext cx="333375" cy="333375"/>
    <xdr:pic>
      <xdr:nvPicPr>
        <xdr:cNvPr id="0" name="image241.jpg"/>
        <xdr:cNvPicPr preferRelativeResize="0"/>
      </xdr:nvPicPr>
      <xdr:blipFill>
        <a:blip cstate="print" r:embed="rId163"/>
        <a:stretch>
          <a:fillRect/>
        </a:stretch>
      </xdr:blipFill>
      <xdr:spPr>
        <a:prstGeom prst="rect">
          <a:avLst/>
        </a:prstGeom>
        <a:noFill/>
      </xdr:spPr>
    </xdr:pic>
    <xdr:clientData fLocksWithSheet="0"/>
  </xdr:oneCellAnchor>
  <xdr:oneCellAnchor>
    <xdr:from>
      <xdr:col>0</xdr:col>
      <xdr:colOff>0</xdr:colOff>
      <xdr:row>229</xdr:row>
      <xdr:rowOff>0</xdr:rowOff>
    </xdr:from>
    <xdr:ext cx="333375" cy="333375"/>
    <xdr:pic>
      <xdr:nvPicPr>
        <xdr:cNvPr id="0" name="image263.jpg"/>
        <xdr:cNvPicPr preferRelativeResize="0"/>
      </xdr:nvPicPr>
      <xdr:blipFill>
        <a:blip cstate="print" r:embed="rId164"/>
        <a:stretch>
          <a:fillRect/>
        </a:stretch>
      </xdr:blipFill>
      <xdr:spPr>
        <a:prstGeom prst="rect">
          <a:avLst/>
        </a:prstGeom>
        <a:noFill/>
      </xdr:spPr>
    </xdr:pic>
    <xdr:clientData fLocksWithSheet="0"/>
  </xdr:oneCellAnchor>
  <xdr:oneCellAnchor>
    <xdr:from>
      <xdr:col>0</xdr:col>
      <xdr:colOff>0</xdr:colOff>
      <xdr:row>230</xdr:row>
      <xdr:rowOff>0</xdr:rowOff>
    </xdr:from>
    <xdr:ext cx="333375" cy="333375"/>
    <xdr:pic>
      <xdr:nvPicPr>
        <xdr:cNvPr id="0" name="image251.jpg"/>
        <xdr:cNvPicPr preferRelativeResize="0"/>
      </xdr:nvPicPr>
      <xdr:blipFill>
        <a:blip cstate="print" r:embed="rId165"/>
        <a:stretch>
          <a:fillRect/>
        </a:stretch>
      </xdr:blipFill>
      <xdr:spPr>
        <a:prstGeom prst="rect">
          <a:avLst/>
        </a:prstGeom>
        <a:noFill/>
      </xdr:spPr>
    </xdr:pic>
    <xdr:clientData fLocksWithSheet="0"/>
  </xdr:oneCellAnchor>
  <xdr:oneCellAnchor>
    <xdr:from>
      <xdr:col>0</xdr:col>
      <xdr:colOff>0</xdr:colOff>
      <xdr:row>231</xdr:row>
      <xdr:rowOff>0</xdr:rowOff>
    </xdr:from>
    <xdr:ext cx="333375" cy="333375"/>
    <xdr:pic>
      <xdr:nvPicPr>
        <xdr:cNvPr id="0" name="image259.jpg"/>
        <xdr:cNvPicPr preferRelativeResize="0"/>
      </xdr:nvPicPr>
      <xdr:blipFill>
        <a:blip cstate="print" r:embed="rId166"/>
        <a:stretch>
          <a:fillRect/>
        </a:stretch>
      </xdr:blipFill>
      <xdr:spPr>
        <a:prstGeom prst="rect">
          <a:avLst/>
        </a:prstGeom>
        <a:noFill/>
      </xdr:spPr>
    </xdr:pic>
    <xdr:clientData fLocksWithSheet="0"/>
  </xdr:oneCellAnchor>
  <xdr:oneCellAnchor>
    <xdr:from>
      <xdr:col>0</xdr:col>
      <xdr:colOff>0</xdr:colOff>
      <xdr:row>232</xdr:row>
      <xdr:rowOff>0</xdr:rowOff>
    </xdr:from>
    <xdr:ext cx="333375" cy="333375"/>
    <xdr:pic>
      <xdr:nvPicPr>
        <xdr:cNvPr id="0" name="image253.jpg"/>
        <xdr:cNvPicPr preferRelativeResize="0"/>
      </xdr:nvPicPr>
      <xdr:blipFill>
        <a:blip cstate="print" r:embed="rId167"/>
        <a:stretch>
          <a:fillRect/>
        </a:stretch>
      </xdr:blipFill>
      <xdr:spPr>
        <a:prstGeom prst="rect">
          <a:avLst/>
        </a:prstGeom>
        <a:noFill/>
      </xdr:spPr>
    </xdr:pic>
    <xdr:clientData fLocksWithSheet="0"/>
  </xdr:oneCellAnchor>
  <xdr:oneCellAnchor>
    <xdr:from>
      <xdr:col>0</xdr:col>
      <xdr:colOff>0</xdr:colOff>
      <xdr:row>233</xdr:row>
      <xdr:rowOff>0</xdr:rowOff>
    </xdr:from>
    <xdr:ext cx="333375" cy="333375"/>
    <xdr:pic>
      <xdr:nvPicPr>
        <xdr:cNvPr id="0" name="image73.jpg"/>
        <xdr:cNvPicPr preferRelativeResize="0"/>
      </xdr:nvPicPr>
      <xdr:blipFill>
        <a:blip cstate="print" r:embed="rId168"/>
        <a:stretch>
          <a:fillRect/>
        </a:stretch>
      </xdr:blipFill>
      <xdr:spPr>
        <a:prstGeom prst="rect">
          <a:avLst/>
        </a:prstGeom>
        <a:noFill/>
      </xdr:spPr>
    </xdr:pic>
    <xdr:clientData fLocksWithSheet="0"/>
  </xdr:oneCellAnchor>
  <xdr:oneCellAnchor>
    <xdr:from>
      <xdr:col>0</xdr:col>
      <xdr:colOff>0</xdr:colOff>
      <xdr:row>234</xdr:row>
      <xdr:rowOff>0</xdr:rowOff>
    </xdr:from>
    <xdr:ext cx="333375" cy="333375"/>
    <xdr:pic>
      <xdr:nvPicPr>
        <xdr:cNvPr id="0" name="image281.jpg"/>
        <xdr:cNvPicPr preferRelativeResize="0"/>
      </xdr:nvPicPr>
      <xdr:blipFill>
        <a:blip cstate="print" r:embed="rId169"/>
        <a:stretch>
          <a:fillRect/>
        </a:stretch>
      </xdr:blipFill>
      <xdr:spPr>
        <a:prstGeom prst="rect">
          <a:avLst/>
        </a:prstGeom>
        <a:noFill/>
      </xdr:spPr>
    </xdr:pic>
    <xdr:clientData fLocksWithSheet="0"/>
  </xdr:oneCellAnchor>
  <xdr:oneCellAnchor>
    <xdr:from>
      <xdr:col>0</xdr:col>
      <xdr:colOff>0</xdr:colOff>
      <xdr:row>235</xdr:row>
      <xdr:rowOff>0</xdr:rowOff>
    </xdr:from>
    <xdr:ext cx="333375" cy="333375"/>
    <xdr:pic>
      <xdr:nvPicPr>
        <xdr:cNvPr id="0" name="image260.jpg"/>
        <xdr:cNvPicPr preferRelativeResize="0"/>
      </xdr:nvPicPr>
      <xdr:blipFill>
        <a:blip cstate="print" r:embed="rId170"/>
        <a:stretch>
          <a:fillRect/>
        </a:stretch>
      </xdr:blipFill>
      <xdr:spPr>
        <a:prstGeom prst="rect">
          <a:avLst/>
        </a:prstGeom>
        <a:noFill/>
      </xdr:spPr>
    </xdr:pic>
    <xdr:clientData fLocksWithSheet="0"/>
  </xdr:oneCellAnchor>
  <xdr:oneCellAnchor>
    <xdr:from>
      <xdr:col>0</xdr:col>
      <xdr:colOff>0</xdr:colOff>
      <xdr:row>236</xdr:row>
      <xdr:rowOff>0</xdr:rowOff>
    </xdr:from>
    <xdr:ext cx="333375" cy="333375"/>
    <xdr:pic>
      <xdr:nvPicPr>
        <xdr:cNvPr id="0" name="image255.jpg"/>
        <xdr:cNvPicPr preferRelativeResize="0"/>
      </xdr:nvPicPr>
      <xdr:blipFill>
        <a:blip cstate="print" r:embed="rId171"/>
        <a:stretch>
          <a:fillRect/>
        </a:stretch>
      </xdr:blipFill>
      <xdr:spPr>
        <a:prstGeom prst="rect">
          <a:avLst/>
        </a:prstGeom>
        <a:noFill/>
      </xdr:spPr>
    </xdr:pic>
    <xdr:clientData fLocksWithSheet="0"/>
  </xdr:oneCellAnchor>
  <xdr:oneCellAnchor>
    <xdr:from>
      <xdr:col>0</xdr:col>
      <xdr:colOff>0</xdr:colOff>
      <xdr:row>237</xdr:row>
      <xdr:rowOff>0</xdr:rowOff>
    </xdr:from>
    <xdr:ext cx="333375" cy="333375"/>
    <xdr:pic>
      <xdr:nvPicPr>
        <xdr:cNvPr id="0" name="image282.jpg"/>
        <xdr:cNvPicPr preferRelativeResize="0"/>
      </xdr:nvPicPr>
      <xdr:blipFill>
        <a:blip cstate="print" r:embed="rId172"/>
        <a:stretch>
          <a:fillRect/>
        </a:stretch>
      </xdr:blipFill>
      <xdr:spPr>
        <a:prstGeom prst="rect">
          <a:avLst/>
        </a:prstGeom>
        <a:noFill/>
      </xdr:spPr>
    </xdr:pic>
    <xdr:clientData fLocksWithSheet="0"/>
  </xdr:oneCellAnchor>
  <xdr:oneCellAnchor>
    <xdr:from>
      <xdr:col>0</xdr:col>
      <xdr:colOff>0</xdr:colOff>
      <xdr:row>238</xdr:row>
      <xdr:rowOff>0</xdr:rowOff>
    </xdr:from>
    <xdr:ext cx="333375" cy="333375"/>
    <xdr:pic>
      <xdr:nvPicPr>
        <xdr:cNvPr id="0" name="image277.jpg"/>
        <xdr:cNvPicPr preferRelativeResize="0"/>
      </xdr:nvPicPr>
      <xdr:blipFill>
        <a:blip cstate="print" r:embed="rId173"/>
        <a:stretch>
          <a:fillRect/>
        </a:stretch>
      </xdr:blipFill>
      <xdr:spPr>
        <a:prstGeom prst="rect">
          <a:avLst/>
        </a:prstGeom>
        <a:noFill/>
      </xdr:spPr>
    </xdr:pic>
    <xdr:clientData fLocksWithSheet="0"/>
  </xdr:oneCellAnchor>
  <xdr:oneCellAnchor>
    <xdr:from>
      <xdr:col>0</xdr:col>
      <xdr:colOff>0</xdr:colOff>
      <xdr:row>239</xdr:row>
      <xdr:rowOff>0</xdr:rowOff>
    </xdr:from>
    <xdr:ext cx="333375" cy="333375"/>
    <xdr:pic>
      <xdr:nvPicPr>
        <xdr:cNvPr id="0" name="image277.jpg"/>
        <xdr:cNvPicPr preferRelativeResize="0"/>
      </xdr:nvPicPr>
      <xdr:blipFill>
        <a:blip cstate="print" r:embed="rId173"/>
        <a:stretch>
          <a:fillRect/>
        </a:stretch>
      </xdr:blipFill>
      <xdr:spPr>
        <a:prstGeom prst="rect">
          <a:avLst/>
        </a:prstGeom>
        <a:noFill/>
      </xdr:spPr>
    </xdr:pic>
    <xdr:clientData fLocksWithSheet="0"/>
  </xdr:oneCellAnchor>
  <xdr:oneCellAnchor>
    <xdr:from>
      <xdr:col>0</xdr:col>
      <xdr:colOff>0</xdr:colOff>
      <xdr:row>240</xdr:row>
      <xdr:rowOff>0</xdr:rowOff>
    </xdr:from>
    <xdr:ext cx="333375" cy="333375"/>
    <xdr:pic>
      <xdr:nvPicPr>
        <xdr:cNvPr id="0" name="image272.jpg"/>
        <xdr:cNvPicPr preferRelativeResize="0"/>
      </xdr:nvPicPr>
      <xdr:blipFill>
        <a:blip cstate="print" r:embed="rId174"/>
        <a:stretch>
          <a:fillRect/>
        </a:stretch>
      </xdr:blipFill>
      <xdr:spPr>
        <a:prstGeom prst="rect">
          <a:avLst/>
        </a:prstGeom>
        <a:noFill/>
      </xdr:spPr>
    </xdr:pic>
    <xdr:clientData fLocksWithSheet="0"/>
  </xdr:oneCellAnchor>
  <xdr:oneCellAnchor>
    <xdr:from>
      <xdr:col>0</xdr:col>
      <xdr:colOff>0</xdr:colOff>
      <xdr:row>241</xdr:row>
      <xdr:rowOff>0</xdr:rowOff>
    </xdr:from>
    <xdr:ext cx="333375" cy="333375"/>
    <xdr:pic>
      <xdr:nvPicPr>
        <xdr:cNvPr id="0" name="image257.jpg"/>
        <xdr:cNvPicPr preferRelativeResize="0"/>
      </xdr:nvPicPr>
      <xdr:blipFill>
        <a:blip cstate="print" r:embed="rId175"/>
        <a:stretch>
          <a:fillRect/>
        </a:stretch>
      </xdr:blipFill>
      <xdr:spPr>
        <a:prstGeom prst="rect">
          <a:avLst/>
        </a:prstGeom>
        <a:noFill/>
      </xdr:spPr>
    </xdr:pic>
    <xdr:clientData fLocksWithSheet="0"/>
  </xdr:oneCellAnchor>
  <xdr:oneCellAnchor>
    <xdr:from>
      <xdr:col>0</xdr:col>
      <xdr:colOff>0</xdr:colOff>
      <xdr:row>242</xdr:row>
      <xdr:rowOff>0</xdr:rowOff>
    </xdr:from>
    <xdr:ext cx="333375" cy="333375"/>
    <xdr:pic>
      <xdr:nvPicPr>
        <xdr:cNvPr id="0" name="image257.jpg"/>
        <xdr:cNvPicPr preferRelativeResize="0"/>
      </xdr:nvPicPr>
      <xdr:blipFill>
        <a:blip cstate="print" r:embed="rId175"/>
        <a:stretch>
          <a:fillRect/>
        </a:stretch>
      </xdr:blipFill>
      <xdr:spPr>
        <a:prstGeom prst="rect">
          <a:avLst/>
        </a:prstGeom>
        <a:noFill/>
      </xdr:spPr>
    </xdr:pic>
    <xdr:clientData fLocksWithSheet="0"/>
  </xdr:oneCellAnchor>
  <xdr:oneCellAnchor>
    <xdr:from>
      <xdr:col>0</xdr:col>
      <xdr:colOff>0</xdr:colOff>
      <xdr:row>243</xdr:row>
      <xdr:rowOff>0</xdr:rowOff>
    </xdr:from>
    <xdr:ext cx="333375" cy="333375"/>
    <xdr:pic>
      <xdr:nvPicPr>
        <xdr:cNvPr id="0" name="image254.jpg"/>
        <xdr:cNvPicPr preferRelativeResize="0"/>
      </xdr:nvPicPr>
      <xdr:blipFill>
        <a:blip cstate="print" r:embed="rId176"/>
        <a:stretch>
          <a:fillRect/>
        </a:stretch>
      </xdr:blipFill>
      <xdr:spPr>
        <a:prstGeom prst="rect">
          <a:avLst/>
        </a:prstGeom>
        <a:noFill/>
      </xdr:spPr>
    </xdr:pic>
    <xdr:clientData fLocksWithSheet="0"/>
  </xdr:oneCellAnchor>
  <xdr:oneCellAnchor>
    <xdr:from>
      <xdr:col>0</xdr:col>
      <xdr:colOff>0</xdr:colOff>
      <xdr:row>244</xdr:row>
      <xdr:rowOff>0</xdr:rowOff>
    </xdr:from>
    <xdr:ext cx="333375" cy="333375"/>
    <xdr:pic>
      <xdr:nvPicPr>
        <xdr:cNvPr id="0" name="image254.jpg"/>
        <xdr:cNvPicPr preferRelativeResize="0"/>
      </xdr:nvPicPr>
      <xdr:blipFill>
        <a:blip cstate="print" r:embed="rId176"/>
        <a:stretch>
          <a:fillRect/>
        </a:stretch>
      </xdr:blipFill>
      <xdr:spPr>
        <a:prstGeom prst="rect">
          <a:avLst/>
        </a:prstGeom>
        <a:noFill/>
      </xdr:spPr>
    </xdr:pic>
    <xdr:clientData fLocksWithSheet="0"/>
  </xdr:oneCellAnchor>
  <xdr:oneCellAnchor>
    <xdr:from>
      <xdr:col>0</xdr:col>
      <xdr:colOff>0</xdr:colOff>
      <xdr:row>245</xdr:row>
      <xdr:rowOff>0</xdr:rowOff>
    </xdr:from>
    <xdr:ext cx="333375" cy="333375"/>
    <xdr:pic>
      <xdr:nvPicPr>
        <xdr:cNvPr id="0" name="image273.jpg"/>
        <xdr:cNvPicPr preferRelativeResize="0"/>
      </xdr:nvPicPr>
      <xdr:blipFill>
        <a:blip cstate="print" r:embed="rId177"/>
        <a:stretch>
          <a:fillRect/>
        </a:stretch>
      </xdr:blipFill>
      <xdr:spPr>
        <a:prstGeom prst="rect">
          <a:avLst/>
        </a:prstGeom>
        <a:noFill/>
      </xdr:spPr>
    </xdr:pic>
    <xdr:clientData fLocksWithSheet="0"/>
  </xdr:oneCellAnchor>
  <xdr:oneCellAnchor>
    <xdr:from>
      <xdr:col>0</xdr:col>
      <xdr:colOff>0</xdr:colOff>
      <xdr:row>246</xdr:row>
      <xdr:rowOff>0</xdr:rowOff>
    </xdr:from>
    <xdr:ext cx="333375" cy="333375"/>
    <xdr:pic>
      <xdr:nvPicPr>
        <xdr:cNvPr id="0" name="image264.jpg"/>
        <xdr:cNvPicPr preferRelativeResize="0"/>
      </xdr:nvPicPr>
      <xdr:blipFill>
        <a:blip cstate="print" r:embed="rId178"/>
        <a:stretch>
          <a:fillRect/>
        </a:stretch>
      </xdr:blipFill>
      <xdr:spPr>
        <a:prstGeom prst="rect">
          <a:avLst/>
        </a:prstGeom>
        <a:noFill/>
      </xdr:spPr>
    </xdr:pic>
    <xdr:clientData fLocksWithSheet="0"/>
  </xdr:oneCellAnchor>
  <xdr:oneCellAnchor>
    <xdr:from>
      <xdr:col>0</xdr:col>
      <xdr:colOff>0</xdr:colOff>
      <xdr:row>247</xdr:row>
      <xdr:rowOff>0</xdr:rowOff>
    </xdr:from>
    <xdr:ext cx="333375" cy="333375"/>
    <xdr:pic>
      <xdr:nvPicPr>
        <xdr:cNvPr id="0" name="image266.jpg"/>
        <xdr:cNvPicPr preferRelativeResize="0"/>
      </xdr:nvPicPr>
      <xdr:blipFill>
        <a:blip cstate="print" r:embed="rId179"/>
        <a:stretch>
          <a:fillRect/>
        </a:stretch>
      </xdr:blipFill>
      <xdr:spPr>
        <a:prstGeom prst="rect">
          <a:avLst/>
        </a:prstGeom>
        <a:noFill/>
      </xdr:spPr>
    </xdr:pic>
    <xdr:clientData fLocksWithSheet="0"/>
  </xdr:oneCellAnchor>
  <xdr:oneCellAnchor>
    <xdr:from>
      <xdr:col>0</xdr:col>
      <xdr:colOff>0</xdr:colOff>
      <xdr:row>248</xdr:row>
      <xdr:rowOff>0</xdr:rowOff>
    </xdr:from>
    <xdr:ext cx="333375" cy="333375"/>
    <xdr:pic>
      <xdr:nvPicPr>
        <xdr:cNvPr id="0" name="image262.jpg"/>
        <xdr:cNvPicPr preferRelativeResize="0"/>
      </xdr:nvPicPr>
      <xdr:blipFill>
        <a:blip cstate="print" r:embed="rId180"/>
        <a:stretch>
          <a:fillRect/>
        </a:stretch>
      </xdr:blipFill>
      <xdr:spPr>
        <a:prstGeom prst="rect">
          <a:avLst/>
        </a:prstGeom>
        <a:noFill/>
      </xdr:spPr>
    </xdr:pic>
    <xdr:clientData fLocksWithSheet="0"/>
  </xdr:oneCellAnchor>
  <xdr:oneCellAnchor>
    <xdr:from>
      <xdr:col>0</xdr:col>
      <xdr:colOff>0</xdr:colOff>
      <xdr:row>249</xdr:row>
      <xdr:rowOff>0</xdr:rowOff>
    </xdr:from>
    <xdr:ext cx="333375" cy="333375"/>
    <xdr:pic>
      <xdr:nvPicPr>
        <xdr:cNvPr id="0" name="image261.jpg"/>
        <xdr:cNvPicPr preferRelativeResize="0"/>
      </xdr:nvPicPr>
      <xdr:blipFill>
        <a:blip cstate="print" r:embed="rId181"/>
        <a:stretch>
          <a:fillRect/>
        </a:stretch>
      </xdr:blipFill>
      <xdr:spPr>
        <a:prstGeom prst="rect">
          <a:avLst/>
        </a:prstGeom>
        <a:noFill/>
      </xdr:spPr>
    </xdr:pic>
    <xdr:clientData fLocksWithSheet="0"/>
  </xdr:oneCellAnchor>
  <xdr:oneCellAnchor>
    <xdr:from>
      <xdr:col>0</xdr:col>
      <xdr:colOff>0</xdr:colOff>
      <xdr:row>250</xdr:row>
      <xdr:rowOff>0</xdr:rowOff>
    </xdr:from>
    <xdr:ext cx="333375" cy="333375"/>
    <xdr:pic>
      <xdr:nvPicPr>
        <xdr:cNvPr id="0" name="image279.jpg"/>
        <xdr:cNvPicPr preferRelativeResize="0"/>
      </xdr:nvPicPr>
      <xdr:blipFill>
        <a:blip cstate="print" r:embed="rId182"/>
        <a:stretch>
          <a:fillRect/>
        </a:stretch>
      </xdr:blipFill>
      <xdr:spPr>
        <a:prstGeom prst="rect">
          <a:avLst/>
        </a:prstGeom>
        <a:noFill/>
      </xdr:spPr>
    </xdr:pic>
    <xdr:clientData fLocksWithSheet="0"/>
  </xdr:oneCellAnchor>
  <xdr:oneCellAnchor>
    <xdr:from>
      <xdr:col>0</xdr:col>
      <xdr:colOff>0</xdr:colOff>
      <xdr:row>251</xdr:row>
      <xdr:rowOff>0</xdr:rowOff>
    </xdr:from>
    <xdr:ext cx="333375" cy="333375"/>
    <xdr:pic>
      <xdr:nvPicPr>
        <xdr:cNvPr id="0" name="image270.jpg"/>
        <xdr:cNvPicPr preferRelativeResize="0"/>
      </xdr:nvPicPr>
      <xdr:blipFill>
        <a:blip cstate="print" r:embed="rId183"/>
        <a:stretch>
          <a:fillRect/>
        </a:stretch>
      </xdr:blipFill>
      <xdr:spPr>
        <a:prstGeom prst="rect">
          <a:avLst/>
        </a:prstGeom>
        <a:noFill/>
      </xdr:spPr>
    </xdr:pic>
    <xdr:clientData fLocksWithSheet="0"/>
  </xdr:oneCellAnchor>
  <xdr:oneCellAnchor>
    <xdr:from>
      <xdr:col>0</xdr:col>
      <xdr:colOff>0</xdr:colOff>
      <xdr:row>252</xdr:row>
      <xdr:rowOff>0</xdr:rowOff>
    </xdr:from>
    <xdr:ext cx="333375" cy="333375"/>
    <xdr:pic>
      <xdr:nvPicPr>
        <xdr:cNvPr id="0" name="image269.jpg"/>
        <xdr:cNvPicPr preferRelativeResize="0"/>
      </xdr:nvPicPr>
      <xdr:blipFill>
        <a:blip cstate="print" r:embed="rId184"/>
        <a:stretch>
          <a:fillRect/>
        </a:stretch>
      </xdr:blipFill>
      <xdr:spPr>
        <a:prstGeom prst="rect">
          <a:avLst/>
        </a:prstGeom>
        <a:noFill/>
      </xdr:spPr>
    </xdr:pic>
    <xdr:clientData fLocksWithSheet="0"/>
  </xdr:oneCellAnchor>
  <xdr:oneCellAnchor>
    <xdr:from>
      <xdr:col>0</xdr:col>
      <xdr:colOff>0</xdr:colOff>
      <xdr:row>253</xdr:row>
      <xdr:rowOff>0</xdr:rowOff>
    </xdr:from>
    <xdr:ext cx="333375" cy="333375"/>
    <xdr:pic>
      <xdr:nvPicPr>
        <xdr:cNvPr id="0" name="image302.jpg"/>
        <xdr:cNvPicPr preferRelativeResize="0"/>
      </xdr:nvPicPr>
      <xdr:blipFill>
        <a:blip cstate="print" r:embed="rId185"/>
        <a:stretch>
          <a:fillRect/>
        </a:stretch>
      </xdr:blipFill>
      <xdr:spPr>
        <a:prstGeom prst="rect">
          <a:avLst/>
        </a:prstGeom>
        <a:noFill/>
      </xdr:spPr>
    </xdr:pic>
    <xdr:clientData fLocksWithSheet="0"/>
  </xdr:oneCellAnchor>
  <xdr:oneCellAnchor>
    <xdr:from>
      <xdr:col>0</xdr:col>
      <xdr:colOff>0</xdr:colOff>
      <xdr:row>254</xdr:row>
      <xdr:rowOff>0</xdr:rowOff>
    </xdr:from>
    <xdr:ext cx="333375" cy="333375"/>
    <xdr:pic>
      <xdr:nvPicPr>
        <xdr:cNvPr id="0" name="image267.jpg"/>
        <xdr:cNvPicPr preferRelativeResize="0"/>
      </xdr:nvPicPr>
      <xdr:blipFill>
        <a:blip cstate="print" r:embed="rId186"/>
        <a:stretch>
          <a:fillRect/>
        </a:stretch>
      </xdr:blipFill>
      <xdr:spPr>
        <a:prstGeom prst="rect">
          <a:avLst/>
        </a:prstGeom>
        <a:noFill/>
      </xdr:spPr>
    </xdr:pic>
    <xdr:clientData fLocksWithSheet="0"/>
  </xdr:oneCellAnchor>
  <xdr:oneCellAnchor>
    <xdr:from>
      <xdr:col>0</xdr:col>
      <xdr:colOff>0</xdr:colOff>
      <xdr:row>255</xdr:row>
      <xdr:rowOff>0</xdr:rowOff>
    </xdr:from>
    <xdr:ext cx="333375" cy="333375"/>
    <xdr:pic>
      <xdr:nvPicPr>
        <xdr:cNvPr id="0" name="image302.jpg"/>
        <xdr:cNvPicPr preferRelativeResize="0"/>
      </xdr:nvPicPr>
      <xdr:blipFill>
        <a:blip cstate="print" r:embed="rId185"/>
        <a:stretch>
          <a:fillRect/>
        </a:stretch>
      </xdr:blipFill>
      <xdr:spPr>
        <a:prstGeom prst="rect">
          <a:avLst/>
        </a:prstGeom>
        <a:noFill/>
      </xdr:spPr>
    </xdr:pic>
    <xdr:clientData fLocksWithSheet="0"/>
  </xdr:oneCellAnchor>
  <xdr:oneCellAnchor>
    <xdr:from>
      <xdr:col>0</xdr:col>
      <xdr:colOff>0</xdr:colOff>
      <xdr:row>256</xdr:row>
      <xdr:rowOff>0</xdr:rowOff>
    </xdr:from>
    <xdr:ext cx="333375" cy="333375"/>
    <xdr:pic>
      <xdr:nvPicPr>
        <xdr:cNvPr id="0" name="image265.jpg"/>
        <xdr:cNvPicPr preferRelativeResize="0"/>
      </xdr:nvPicPr>
      <xdr:blipFill>
        <a:blip cstate="print" r:embed="rId187"/>
        <a:stretch>
          <a:fillRect/>
        </a:stretch>
      </xdr:blipFill>
      <xdr:spPr>
        <a:prstGeom prst="rect">
          <a:avLst/>
        </a:prstGeom>
        <a:noFill/>
      </xdr:spPr>
    </xdr:pic>
    <xdr:clientData fLocksWithSheet="0"/>
  </xdr:oneCellAnchor>
  <xdr:oneCellAnchor>
    <xdr:from>
      <xdr:col>0</xdr:col>
      <xdr:colOff>0</xdr:colOff>
      <xdr:row>257</xdr:row>
      <xdr:rowOff>0</xdr:rowOff>
    </xdr:from>
    <xdr:ext cx="333375" cy="333375"/>
    <xdr:pic>
      <xdr:nvPicPr>
        <xdr:cNvPr id="0" name="image388.jpg"/>
        <xdr:cNvPicPr preferRelativeResize="0"/>
      </xdr:nvPicPr>
      <xdr:blipFill>
        <a:blip cstate="print" r:embed="rId187"/>
        <a:stretch>
          <a:fillRect/>
        </a:stretch>
      </xdr:blipFill>
      <xdr:spPr>
        <a:prstGeom prst="rect">
          <a:avLst/>
        </a:prstGeom>
        <a:noFill/>
      </xdr:spPr>
    </xdr:pic>
    <xdr:clientData fLocksWithSheet="0"/>
  </xdr:oneCellAnchor>
  <xdr:oneCellAnchor>
    <xdr:from>
      <xdr:col>0</xdr:col>
      <xdr:colOff>0</xdr:colOff>
      <xdr:row>258</xdr:row>
      <xdr:rowOff>0</xdr:rowOff>
    </xdr:from>
    <xdr:ext cx="333375" cy="333375"/>
    <xdr:pic>
      <xdr:nvPicPr>
        <xdr:cNvPr id="0" name="image275.jpg"/>
        <xdr:cNvPicPr preferRelativeResize="0"/>
      </xdr:nvPicPr>
      <xdr:blipFill>
        <a:blip cstate="print" r:embed="rId188"/>
        <a:stretch>
          <a:fillRect/>
        </a:stretch>
      </xdr:blipFill>
      <xdr:spPr>
        <a:prstGeom prst="rect">
          <a:avLst/>
        </a:prstGeom>
        <a:noFill/>
      </xdr:spPr>
    </xdr:pic>
    <xdr:clientData fLocksWithSheet="0"/>
  </xdr:oneCellAnchor>
  <xdr:oneCellAnchor>
    <xdr:from>
      <xdr:col>0</xdr:col>
      <xdr:colOff>0</xdr:colOff>
      <xdr:row>259</xdr:row>
      <xdr:rowOff>0</xdr:rowOff>
    </xdr:from>
    <xdr:ext cx="333375" cy="333375"/>
    <xdr:pic>
      <xdr:nvPicPr>
        <xdr:cNvPr id="0" name="image275.jpg"/>
        <xdr:cNvPicPr preferRelativeResize="0"/>
      </xdr:nvPicPr>
      <xdr:blipFill>
        <a:blip cstate="print" r:embed="rId188"/>
        <a:stretch>
          <a:fillRect/>
        </a:stretch>
      </xdr:blipFill>
      <xdr:spPr>
        <a:prstGeom prst="rect">
          <a:avLst/>
        </a:prstGeom>
        <a:noFill/>
      </xdr:spPr>
    </xdr:pic>
    <xdr:clientData fLocksWithSheet="0"/>
  </xdr:oneCellAnchor>
  <xdr:oneCellAnchor>
    <xdr:from>
      <xdr:col>0</xdr:col>
      <xdr:colOff>0</xdr:colOff>
      <xdr:row>260</xdr:row>
      <xdr:rowOff>0</xdr:rowOff>
    </xdr:from>
    <xdr:ext cx="333375" cy="333375"/>
    <xdr:pic>
      <xdr:nvPicPr>
        <xdr:cNvPr id="0" name="image276.jpg"/>
        <xdr:cNvPicPr preferRelativeResize="0"/>
      </xdr:nvPicPr>
      <xdr:blipFill>
        <a:blip cstate="print" r:embed="rId189"/>
        <a:stretch>
          <a:fillRect/>
        </a:stretch>
      </xdr:blipFill>
      <xdr:spPr>
        <a:prstGeom prst="rect">
          <a:avLst/>
        </a:prstGeom>
        <a:noFill/>
      </xdr:spPr>
    </xdr:pic>
    <xdr:clientData fLocksWithSheet="0"/>
  </xdr:oneCellAnchor>
  <xdr:oneCellAnchor>
    <xdr:from>
      <xdr:col>0</xdr:col>
      <xdr:colOff>0</xdr:colOff>
      <xdr:row>261</xdr:row>
      <xdr:rowOff>0</xdr:rowOff>
    </xdr:from>
    <xdr:ext cx="333375" cy="333375"/>
    <xdr:pic>
      <xdr:nvPicPr>
        <xdr:cNvPr id="0" name="image278.jpg"/>
        <xdr:cNvPicPr preferRelativeResize="0"/>
      </xdr:nvPicPr>
      <xdr:blipFill>
        <a:blip cstate="print" r:embed="rId190"/>
        <a:stretch>
          <a:fillRect/>
        </a:stretch>
      </xdr:blipFill>
      <xdr:spPr>
        <a:prstGeom prst="rect">
          <a:avLst/>
        </a:prstGeom>
        <a:noFill/>
      </xdr:spPr>
    </xdr:pic>
    <xdr:clientData fLocksWithSheet="0"/>
  </xdr:oneCellAnchor>
  <xdr:oneCellAnchor>
    <xdr:from>
      <xdr:col>0</xdr:col>
      <xdr:colOff>0</xdr:colOff>
      <xdr:row>262</xdr:row>
      <xdr:rowOff>0</xdr:rowOff>
    </xdr:from>
    <xdr:ext cx="333375" cy="333375"/>
    <xdr:pic>
      <xdr:nvPicPr>
        <xdr:cNvPr id="0" name="image278.jpg"/>
        <xdr:cNvPicPr preferRelativeResize="0"/>
      </xdr:nvPicPr>
      <xdr:blipFill>
        <a:blip cstate="print" r:embed="rId190"/>
        <a:stretch>
          <a:fillRect/>
        </a:stretch>
      </xdr:blipFill>
      <xdr:spPr>
        <a:prstGeom prst="rect">
          <a:avLst/>
        </a:prstGeom>
        <a:noFill/>
      </xdr:spPr>
    </xdr:pic>
    <xdr:clientData fLocksWithSheet="0"/>
  </xdr:oneCellAnchor>
  <xdr:oneCellAnchor>
    <xdr:from>
      <xdr:col>0</xdr:col>
      <xdr:colOff>0</xdr:colOff>
      <xdr:row>263</xdr:row>
      <xdr:rowOff>0</xdr:rowOff>
    </xdr:from>
    <xdr:ext cx="333375" cy="333375"/>
    <xdr:pic>
      <xdr:nvPicPr>
        <xdr:cNvPr id="0" name="image289.jpg"/>
        <xdr:cNvPicPr preferRelativeResize="0"/>
      </xdr:nvPicPr>
      <xdr:blipFill>
        <a:blip cstate="print" r:embed="rId191"/>
        <a:stretch>
          <a:fillRect/>
        </a:stretch>
      </xdr:blipFill>
      <xdr:spPr>
        <a:prstGeom prst="rect">
          <a:avLst/>
        </a:prstGeom>
        <a:noFill/>
      </xdr:spPr>
    </xdr:pic>
    <xdr:clientData fLocksWithSheet="0"/>
  </xdr:oneCellAnchor>
  <xdr:oneCellAnchor>
    <xdr:from>
      <xdr:col>0</xdr:col>
      <xdr:colOff>0</xdr:colOff>
      <xdr:row>264</xdr:row>
      <xdr:rowOff>0</xdr:rowOff>
    </xdr:from>
    <xdr:ext cx="333375" cy="333375"/>
    <xdr:pic>
      <xdr:nvPicPr>
        <xdr:cNvPr id="0" name="image326.jpg"/>
        <xdr:cNvPicPr preferRelativeResize="0"/>
      </xdr:nvPicPr>
      <xdr:blipFill>
        <a:blip cstate="print" r:embed="rId191"/>
        <a:stretch>
          <a:fillRect/>
        </a:stretch>
      </xdr:blipFill>
      <xdr:spPr>
        <a:prstGeom prst="rect">
          <a:avLst/>
        </a:prstGeom>
        <a:noFill/>
      </xdr:spPr>
    </xdr:pic>
    <xdr:clientData fLocksWithSheet="0"/>
  </xdr:oneCellAnchor>
  <xdr:oneCellAnchor>
    <xdr:from>
      <xdr:col>0</xdr:col>
      <xdr:colOff>0</xdr:colOff>
      <xdr:row>265</xdr:row>
      <xdr:rowOff>0</xdr:rowOff>
    </xdr:from>
    <xdr:ext cx="333375" cy="333375"/>
    <xdr:pic>
      <xdr:nvPicPr>
        <xdr:cNvPr id="0" name="image310.jpg"/>
        <xdr:cNvPicPr preferRelativeResize="0"/>
      </xdr:nvPicPr>
      <xdr:blipFill>
        <a:blip cstate="print" r:embed="rId192"/>
        <a:stretch>
          <a:fillRect/>
        </a:stretch>
      </xdr:blipFill>
      <xdr:spPr>
        <a:prstGeom prst="rect">
          <a:avLst/>
        </a:prstGeom>
        <a:noFill/>
      </xdr:spPr>
    </xdr:pic>
    <xdr:clientData fLocksWithSheet="0"/>
  </xdr:oneCellAnchor>
  <xdr:oneCellAnchor>
    <xdr:from>
      <xdr:col>0</xdr:col>
      <xdr:colOff>0</xdr:colOff>
      <xdr:row>266</xdr:row>
      <xdr:rowOff>0</xdr:rowOff>
    </xdr:from>
    <xdr:ext cx="333375" cy="333375"/>
    <xdr:pic>
      <xdr:nvPicPr>
        <xdr:cNvPr id="0" name="image310.jpg"/>
        <xdr:cNvPicPr preferRelativeResize="0"/>
      </xdr:nvPicPr>
      <xdr:blipFill>
        <a:blip cstate="print" r:embed="rId192"/>
        <a:stretch>
          <a:fillRect/>
        </a:stretch>
      </xdr:blipFill>
      <xdr:spPr>
        <a:prstGeom prst="rect">
          <a:avLst/>
        </a:prstGeom>
        <a:noFill/>
      </xdr:spPr>
    </xdr:pic>
    <xdr:clientData fLocksWithSheet="0"/>
  </xdr:oneCellAnchor>
  <xdr:oneCellAnchor>
    <xdr:from>
      <xdr:col>0</xdr:col>
      <xdr:colOff>0</xdr:colOff>
      <xdr:row>267</xdr:row>
      <xdr:rowOff>0</xdr:rowOff>
    </xdr:from>
    <xdr:ext cx="333375" cy="333375"/>
    <xdr:pic>
      <xdr:nvPicPr>
        <xdr:cNvPr id="0" name="image280.jpg"/>
        <xdr:cNvPicPr preferRelativeResize="0"/>
      </xdr:nvPicPr>
      <xdr:blipFill>
        <a:blip cstate="print" r:embed="rId193"/>
        <a:stretch>
          <a:fillRect/>
        </a:stretch>
      </xdr:blipFill>
      <xdr:spPr>
        <a:prstGeom prst="rect">
          <a:avLst/>
        </a:prstGeom>
        <a:noFill/>
      </xdr:spPr>
    </xdr:pic>
    <xdr:clientData fLocksWithSheet="0"/>
  </xdr:oneCellAnchor>
  <xdr:oneCellAnchor>
    <xdr:from>
      <xdr:col>0</xdr:col>
      <xdr:colOff>0</xdr:colOff>
      <xdr:row>268</xdr:row>
      <xdr:rowOff>0</xdr:rowOff>
    </xdr:from>
    <xdr:ext cx="333375" cy="333375"/>
    <xdr:pic>
      <xdr:nvPicPr>
        <xdr:cNvPr id="0" name="image280.jpg"/>
        <xdr:cNvPicPr preferRelativeResize="0"/>
      </xdr:nvPicPr>
      <xdr:blipFill>
        <a:blip cstate="print" r:embed="rId193"/>
        <a:stretch>
          <a:fillRect/>
        </a:stretch>
      </xdr:blipFill>
      <xdr:spPr>
        <a:prstGeom prst="rect">
          <a:avLst/>
        </a:prstGeom>
        <a:noFill/>
      </xdr:spPr>
    </xdr:pic>
    <xdr:clientData fLocksWithSheet="0"/>
  </xdr:oneCellAnchor>
  <xdr:oneCellAnchor>
    <xdr:from>
      <xdr:col>0</xdr:col>
      <xdr:colOff>0</xdr:colOff>
      <xdr:row>269</xdr:row>
      <xdr:rowOff>0</xdr:rowOff>
    </xdr:from>
    <xdr:ext cx="333375" cy="333375"/>
    <xdr:pic>
      <xdr:nvPicPr>
        <xdr:cNvPr id="0" name="image292.jpg"/>
        <xdr:cNvPicPr preferRelativeResize="0"/>
      </xdr:nvPicPr>
      <xdr:blipFill>
        <a:blip cstate="print" r:embed="rId194"/>
        <a:stretch>
          <a:fillRect/>
        </a:stretch>
      </xdr:blipFill>
      <xdr:spPr>
        <a:prstGeom prst="rect">
          <a:avLst/>
        </a:prstGeom>
        <a:noFill/>
      </xdr:spPr>
    </xdr:pic>
    <xdr:clientData fLocksWithSheet="0"/>
  </xdr:oneCellAnchor>
  <xdr:oneCellAnchor>
    <xdr:from>
      <xdr:col>0</xdr:col>
      <xdr:colOff>0</xdr:colOff>
      <xdr:row>270</xdr:row>
      <xdr:rowOff>0</xdr:rowOff>
    </xdr:from>
    <xdr:ext cx="333375" cy="333375"/>
    <xdr:pic>
      <xdr:nvPicPr>
        <xdr:cNvPr id="0" name="image292.jpg"/>
        <xdr:cNvPicPr preferRelativeResize="0"/>
      </xdr:nvPicPr>
      <xdr:blipFill>
        <a:blip cstate="print" r:embed="rId194"/>
        <a:stretch>
          <a:fillRect/>
        </a:stretch>
      </xdr:blipFill>
      <xdr:spPr>
        <a:prstGeom prst="rect">
          <a:avLst/>
        </a:prstGeom>
        <a:noFill/>
      </xdr:spPr>
    </xdr:pic>
    <xdr:clientData fLocksWithSheet="0"/>
  </xdr:oneCellAnchor>
  <xdr:oneCellAnchor>
    <xdr:from>
      <xdr:col>0</xdr:col>
      <xdr:colOff>0</xdr:colOff>
      <xdr:row>271</xdr:row>
      <xdr:rowOff>0</xdr:rowOff>
    </xdr:from>
    <xdr:ext cx="333375" cy="333375"/>
    <xdr:pic>
      <xdr:nvPicPr>
        <xdr:cNvPr id="0" name="image292.jpg"/>
        <xdr:cNvPicPr preferRelativeResize="0"/>
      </xdr:nvPicPr>
      <xdr:blipFill>
        <a:blip cstate="print" r:embed="rId194"/>
        <a:stretch>
          <a:fillRect/>
        </a:stretch>
      </xdr:blipFill>
      <xdr:spPr>
        <a:prstGeom prst="rect">
          <a:avLst/>
        </a:prstGeom>
        <a:noFill/>
      </xdr:spPr>
    </xdr:pic>
    <xdr:clientData fLocksWithSheet="0"/>
  </xdr:oneCellAnchor>
  <xdr:oneCellAnchor>
    <xdr:from>
      <xdr:col>0</xdr:col>
      <xdr:colOff>0</xdr:colOff>
      <xdr:row>272</xdr:row>
      <xdr:rowOff>0</xdr:rowOff>
    </xdr:from>
    <xdr:ext cx="333375" cy="333375"/>
    <xdr:pic>
      <xdr:nvPicPr>
        <xdr:cNvPr id="0" name="image303.jpg"/>
        <xdr:cNvPicPr preferRelativeResize="0"/>
      </xdr:nvPicPr>
      <xdr:blipFill>
        <a:blip cstate="print" r:embed="rId195"/>
        <a:stretch>
          <a:fillRect/>
        </a:stretch>
      </xdr:blipFill>
      <xdr:spPr>
        <a:prstGeom prst="rect">
          <a:avLst/>
        </a:prstGeom>
        <a:noFill/>
      </xdr:spPr>
    </xdr:pic>
    <xdr:clientData fLocksWithSheet="0"/>
  </xdr:oneCellAnchor>
  <xdr:oneCellAnchor>
    <xdr:from>
      <xdr:col>0</xdr:col>
      <xdr:colOff>0</xdr:colOff>
      <xdr:row>273</xdr:row>
      <xdr:rowOff>0</xdr:rowOff>
    </xdr:from>
    <xdr:ext cx="333375" cy="333375"/>
    <xdr:pic>
      <xdr:nvPicPr>
        <xdr:cNvPr id="0" name="image303.jpg"/>
        <xdr:cNvPicPr preferRelativeResize="0"/>
      </xdr:nvPicPr>
      <xdr:blipFill>
        <a:blip cstate="print" r:embed="rId195"/>
        <a:stretch>
          <a:fillRect/>
        </a:stretch>
      </xdr:blipFill>
      <xdr:spPr>
        <a:prstGeom prst="rect">
          <a:avLst/>
        </a:prstGeom>
        <a:noFill/>
      </xdr:spPr>
    </xdr:pic>
    <xdr:clientData fLocksWithSheet="0"/>
  </xdr:oneCellAnchor>
  <xdr:oneCellAnchor>
    <xdr:from>
      <xdr:col>0</xdr:col>
      <xdr:colOff>0</xdr:colOff>
      <xdr:row>274</xdr:row>
      <xdr:rowOff>0</xdr:rowOff>
    </xdr:from>
    <xdr:ext cx="333375" cy="333375"/>
    <xdr:pic>
      <xdr:nvPicPr>
        <xdr:cNvPr id="0" name="image303.jpg"/>
        <xdr:cNvPicPr preferRelativeResize="0"/>
      </xdr:nvPicPr>
      <xdr:blipFill>
        <a:blip cstate="print" r:embed="rId195"/>
        <a:stretch>
          <a:fillRect/>
        </a:stretch>
      </xdr:blipFill>
      <xdr:spPr>
        <a:prstGeom prst="rect">
          <a:avLst/>
        </a:prstGeom>
        <a:noFill/>
      </xdr:spPr>
    </xdr:pic>
    <xdr:clientData fLocksWithSheet="0"/>
  </xdr:oneCellAnchor>
  <xdr:oneCellAnchor>
    <xdr:from>
      <xdr:col>0</xdr:col>
      <xdr:colOff>0</xdr:colOff>
      <xdr:row>275</xdr:row>
      <xdr:rowOff>0</xdr:rowOff>
    </xdr:from>
    <xdr:ext cx="333375" cy="333375"/>
    <xdr:pic>
      <xdr:nvPicPr>
        <xdr:cNvPr id="0" name="image284.jpg"/>
        <xdr:cNvPicPr preferRelativeResize="0"/>
      </xdr:nvPicPr>
      <xdr:blipFill>
        <a:blip cstate="print" r:embed="rId196"/>
        <a:stretch>
          <a:fillRect/>
        </a:stretch>
      </xdr:blipFill>
      <xdr:spPr>
        <a:prstGeom prst="rect">
          <a:avLst/>
        </a:prstGeom>
        <a:noFill/>
      </xdr:spPr>
    </xdr:pic>
    <xdr:clientData fLocksWithSheet="0"/>
  </xdr:oneCellAnchor>
  <xdr:oneCellAnchor>
    <xdr:from>
      <xdr:col>0</xdr:col>
      <xdr:colOff>0</xdr:colOff>
      <xdr:row>276</xdr:row>
      <xdr:rowOff>0</xdr:rowOff>
    </xdr:from>
    <xdr:ext cx="333375" cy="333375"/>
    <xdr:pic>
      <xdr:nvPicPr>
        <xdr:cNvPr id="0" name="image284.jpg"/>
        <xdr:cNvPicPr preferRelativeResize="0"/>
      </xdr:nvPicPr>
      <xdr:blipFill>
        <a:blip cstate="print" r:embed="rId196"/>
        <a:stretch>
          <a:fillRect/>
        </a:stretch>
      </xdr:blipFill>
      <xdr:spPr>
        <a:prstGeom prst="rect">
          <a:avLst/>
        </a:prstGeom>
        <a:noFill/>
      </xdr:spPr>
    </xdr:pic>
    <xdr:clientData fLocksWithSheet="0"/>
  </xdr:oneCellAnchor>
  <xdr:oneCellAnchor>
    <xdr:from>
      <xdr:col>0</xdr:col>
      <xdr:colOff>0</xdr:colOff>
      <xdr:row>277</xdr:row>
      <xdr:rowOff>0</xdr:rowOff>
    </xdr:from>
    <xdr:ext cx="333375" cy="333375"/>
    <xdr:pic>
      <xdr:nvPicPr>
        <xdr:cNvPr id="0" name="image287.jpg"/>
        <xdr:cNvPicPr preferRelativeResize="0"/>
      </xdr:nvPicPr>
      <xdr:blipFill>
        <a:blip cstate="print" r:embed="rId197"/>
        <a:stretch>
          <a:fillRect/>
        </a:stretch>
      </xdr:blipFill>
      <xdr:spPr>
        <a:prstGeom prst="rect">
          <a:avLst/>
        </a:prstGeom>
        <a:noFill/>
      </xdr:spPr>
    </xdr:pic>
    <xdr:clientData fLocksWithSheet="0"/>
  </xdr:oneCellAnchor>
  <xdr:oneCellAnchor>
    <xdr:from>
      <xdr:col>0</xdr:col>
      <xdr:colOff>0</xdr:colOff>
      <xdr:row>278</xdr:row>
      <xdr:rowOff>0</xdr:rowOff>
    </xdr:from>
    <xdr:ext cx="333375" cy="333375"/>
    <xdr:pic>
      <xdr:nvPicPr>
        <xdr:cNvPr id="0" name="image287.jpg"/>
        <xdr:cNvPicPr preferRelativeResize="0"/>
      </xdr:nvPicPr>
      <xdr:blipFill>
        <a:blip cstate="print" r:embed="rId197"/>
        <a:stretch>
          <a:fillRect/>
        </a:stretch>
      </xdr:blipFill>
      <xdr:spPr>
        <a:prstGeom prst="rect">
          <a:avLst/>
        </a:prstGeom>
        <a:noFill/>
      </xdr:spPr>
    </xdr:pic>
    <xdr:clientData fLocksWithSheet="0"/>
  </xdr:oneCellAnchor>
  <xdr:oneCellAnchor>
    <xdr:from>
      <xdr:col>0</xdr:col>
      <xdr:colOff>0</xdr:colOff>
      <xdr:row>279</xdr:row>
      <xdr:rowOff>0</xdr:rowOff>
    </xdr:from>
    <xdr:ext cx="333375" cy="333375"/>
    <xdr:pic>
      <xdr:nvPicPr>
        <xdr:cNvPr id="0" name="image287.jpg"/>
        <xdr:cNvPicPr preferRelativeResize="0"/>
      </xdr:nvPicPr>
      <xdr:blipFill>
        <a:blip cstate="print" r:embed="rId197"/>
        <a:stretch>
          <a:fillRect/>
        </a:stretch>
      </xdr:blipFill>
      <xdr:spPr>
        <a:prstGeom prst="rect">
          <a:avLst/>
        </a:prstGeom>
        <a:noFill/>
      </xdr:spPr>
    </xdr:pic>
    <xdr:clientData fLocksWithSheet="0"/>
  </xdr:oneCellAnchor>
  <xdr:oneCellAnchor>
    <xdr:from>
      <xdr:col>0</xdr:col>
      <xdr:colOff>0</xdr:colOff>
      <xdr:row>280</xdr:row>
      <xdr:rowOff>0</xdr:rowOff>
    </xdr:from>
    <xdr:ext cx="333375" cy="333375"/>
    <xdr:pic>
      <xdr:nvPicPr>
        <xdr:cNvPr id="0" name="image329.jpg"/>
        <xdr:cNvPicPr preferRelativeResize="0"/>
      </xdr:nvPicPr>
      <xdr:blipFill>
        <a:blip cstate="print" r:embed="rId198"/>
        <a:stretch>
          <a:fillRect/>
        </a:stretch>
      </xdr:blipFill>
      <xdr:spPr>
        <a:prstGeom prst="rect">
          <a:avLst/>
        </a:prstGeom>
        <a:noFill/>
      </xdr:spPr>
    </xdr:pic>
    <xdr:clientData fLocksWithSheet="0"/>
  </xdr:oneCellAnchor>
  <xdr:oneCellAnchor>
    <xdr:from>
      <xdr:col>0</xdr:col>
      <xdr:colOff>0</xdr:colOff>
      <xdr:row>281</xdr:row>
      <xdr:rowOff>0</xdr:rowOff>
    </xdr:from>
    <xdr:ext cx="333375" cy="333375"/>
    <xdr:pic>
      <xdr:nvPicPr>
        <xdr:cNvPr id="0" name="image314.jpg"/>
        <xdr:cNvPicPr preferRelativeResize="0"/>
      </xdr:nvPicPr>
      <xdr:blipFill>
        <a:blip cstate="print" r:embed="rId199"/>
        <a:stretch>
          <a:fillRect/>
        </a:stretch>
      </xdr:blipFill>
      <xdr:spPr>
        <a:prstGeom prst="rect">
          <a:avLst/>
        </a:prstGeom>
        <a:noFill/>
      </xdr:spPr>
    </xdr:pic>
    <xdr:clientData fLocksWithSheet="0"/>
  </xdr:oneCellAnchor>
  <xdr:oneCellAnchor>
    <xdr:from>
      <xdr:col>0</xdr:col>
      <xdr:colOff>0</xdr:colOff>
      <xdr:row>282</xdr:row>
      <xdr:rowOff>0</xdr:rowOff>
    </xdr:from>
    <xdr:ext cx="333375" cy="333375"/>
    <xdr:pic>
      <xdr:nvPicPr>
        <xdr:cNvPr id="0" name="image294.jpg"/>
        <xdr:cNvPicPr preferRelativeResize="0"/>
      </xdr:nvPicPr>
      <xdr:blipFill>
        <a:blip cstate="print" r:embed="rId200"/>
        <a:stretch>
          <a:fillRect/>
        </a:stretch>
      </xdr:blipFill>
      <xdr:spPr>
        <a:prstGeom prst="rect">
          <a:avLst/>
        </a:prstGeom>
        <a:noFill/>
      </xdr:spPr>
    </xdr:pic>
    <xdr:clientData fLocksWithSheet="0"/>
  </xdr:oneCellAnchor>
  <xdr:oneCellAnchor>
    <xdr:from>
      <xdr:col>0</xdr:col>
      <xdr:colOff>0</xdr:colOff>
      <xdr:row>283</xdr:row>
      <xdr:rowOff>0</xdr:rowOff>
    </xdr:from>
    <xdr:ext cx="333375" cy="333375"/>
    <xdr:pic>
      <xdr:nvPicPr>
        <xdr:cNvPr id="0" name="image285.jpg"/>
        <xdr:cNvPicPr preferRelativeResize="0"/>
      </xdr:nvPicPr>
      <xdr:blipFill>
        <a:blip cstate="print" r:embed="rId201"/>
        <a:stretch>
          <a:fillRect/>
        </a:stretch>
      </xdr:blipFill>
      <xdr:spPr>
        <a:prstGeom prst="rect">
          <a:avLst/>
        </a:prstGeom>
        <a:noFill/>
      </xdr:spPr>
    </xdr:pic>
    <xdr:clientData fLocksWithSheet="0"/>
  </xdr:oneCellAnchor>
  <xdr:oneCellAnchor>
    <xdr:from>
      <xdr:col>0</xdr:col>
      <xdr:colOff>0</xdr:colOff>
      <xdr:row>284</xdr:row>
      <xdr:rowOff>0</xdr:rowOff>
    </xdr:from>
    <xdr:ext cx="333375" cy="333375"/>
    <xdr:pic>
      <xdr:nvPicPr>
        <xdr:cNvPr id="0" name="image331.jpg"/>
        <xdr:cNvPicPr preferRelativeResize="0"/>
      </xdr:nvPicPr>
      <xdr:blipFill>
        <a:blip cstate="print" r:embed="rId202"/>
        <a:stretch>
          <a:fillRect/>
        </a:stretch>
      </xdr:blipFill>
      <xdr:spPr>
        <a:prstGeom prst="rect">
          <a:avLst/>
        </a:prstGeom>
        <a:noFill/>
      </xdr:spPr>
    </xdr:pic>
    <xdr:clientData fLocksWithSheet="0"/>
  </xdr:oneCellAnchor>
  <xdr:oneCellAnchor>
    <xdr:from>
      <xdr:col>0</xdr:col>
      <xdr:colOff>0</xdr:colOff>
      <xdr:row>285</xdr:row>
      <xdr:rowOff>0</xdr:rowOff>
    </xdr:from>
    <xdr:ext cx="333375" cy="333375"/>
    <xdr:pic>
      <xdr:nvPicPr>
        <xdr:cNvPr id="0" name="image331.jpg"/>
        <xdr:cNvPicPr preferRelativeResize="0"/>
      </xdr:nvPicPr>
      <xdr:blipFill>
        <a:blip cstate="print" r:embed="rId202"/>
        <a:stretch>
          <a:fillRect/>
        </a:stretch>
      </xdr:blipFill>
      <xdr:spPr>
        <a:prstGeom prst="rect">
          <a:avLst/>
        </a:prstGeom>
        <a:noFill/>
      </xdr:spPr>
    </xdr:pic>
    <xdr:clientData fLocksWithSheet="0"/>
  </xdr:oneCellAnchor>
  <xdr:oneCellAnchor>
    <xdr:from>
      <xdr:col>0</xdr:col>
      <xdr:colOff>0</xdr:colOff>
      <xdr:row>286</xdr:row>
      <xdr:rowOff>0</xdr:rowOff>
    </xdr:from>
    <xdr:ext cx="333375" cy="333375"/>
    <xdr:pic>
      <xdr:nvPicPr>
        <xdr:cNvPr id="0" name="image301.jpg"/>
        <xdr:cNvPicPr preferRelativeResize="0"/>
      </xdr:nvPicPr>
      <xdr:blipFill>
        <a:blip cstate="print" r:embed="rId203"/>
        <a:stretch>
          <a:fillRect/>
        </a:stretch>
      </xdr:blipFill>
      <xdr:spPr>
        <a:prstGeom prst="rect">
          <a:avLst/>
        </a:prstGeom>
        <a:noFill/>
      </xdr:spPr>
    </xdr:pic>
    <xdr:clientData fLocksWithSheet="0"/>
  </xdr:oneCellAnchor>
  <xdr:oneCellAnchor>
    <xdr:from>
      <xdr:col>0</xdr:col>
      <xdr:colOff>0</xdr:colOff>
      <xdr:row>287</xdr:row>
      <xdr:rowOff>0</xdr:rowOff>
    </xdr:from>
    <xdr:ext cx="333375" cy="333375"/>
    <xdr:pic>
      <xdr:nvPicPr>
        <xdr:cNvPr id="0" name="image288.jpg"/>
        <xdr:cNvPicPr preferRelativeResize="0"/>
      </xdr:nvPicPr>
      <xdr:blipFill>
        <a:blip cstate="print" r:embed="rId204"/>
        <a:stretch>
          <a:fillRect/>
        </a:stretch>
      </xdr:blipFill>
      <xdr:spPr>
        <a:prstGeom prst="rect">
          <a:avLst/>
        </a:prstGeom>
        <a:noFill/>
      </xdr:spPr>
    </xdr:pic>
    <xdr:clientData fLocksWithSheet="0"/>
  </xdr:oneCellAnchor>
  <xdr:oneCellAnchor>
    <xdr:from>
      <xdr:col>0</xdr:col>
      <xdr:colOff>0</xdr:colOff>
      <xdr:row>288</xdr:row>
      <xdr:rowOff>0</xdr:rowOff>
    </xdr:from>
    <xdr:ext cx="333375" cy="333375"/>
    <xdr:pic>
      <xdr:nvPicPr>
        <xdr:cNvPr id="0" name="image293.jpg"/>
        <xdr:cNvPicPr preferRelativeResize="0"/>
      </xdr:nvPicPr>
      <xdr:blipFill>
        <a:blip cstate="print" r:embed="rId205"/>
        <a:stretch>
          <a:fillRect/>
        </a:stretch>
      </xdr:blipFill>
      <xdr:spPr>
        <a:prstGeom prst="rect">
          <a:avLst/>
        </a:prstGeom>
        <a:noFill/>
      </xdr:spPr>
    </xdr:pic>
    <xdr:clientData fLocksWithSheet="0"/>
  </xdr:oneCellAnchor>
  <xdr:oneCellAnchor>
    <xdr:from>
      <xdr:col>0</xdr:col>
      <xdr:colOff>0</xdr:colOff>
      <xdr:row>289</xdr:row>
      <xdr:rowOff>0</xdr:rowOff>
    </xdr:from>
    <xdr:ext cx="333375" cy="333375"/>
    <xdr:pic>
      <xdr:nvPicPr>
        <xdr:cNvPr id="0" name="image293.jpg"/>
        <xdr:cNvPicPr preferRelativeResize="0"/>
      </xdr:nvPicPr>
      <xdr:blipFill>
        <a:blip cstate="print" r:embed="rId205"/>
        <a:stretch>
          <a:fillRect/>
        </a:stretch>
      </xdr:blipFill>
      <xdr:spPr>
        <a:prstGeom prst="rect">
          <a:avLst/>
        </a:prstGeom>
        <a:noFill/>
      </xdr:spPr>
    </xdr:pic>
    <xdr:clientData fLocksWithSheet="0"/>
  </xdr:oneCellAnchor>
  <xdr:oneCellAnchor>
    <xdr:from>
      <xdr:col>0</xdr:col>
      <xdr:colOff>0</xdr:colOff>
      <xdr:row>290</xdr:row>
      <xdr:rowOff>0</xdr:rowOff>
    </xdr:from>
    <xdr:ext cx="333375" cy="333375"/>
    <xdr:pic>
      <xdr:nvPicPr>
        <xdr:cNvPr id="0" name="image229.jpg"/>
        <xdr:cNvPicPr preferRelativeResize="0"/>
      </xdr:nvPicPr>
      <xdr:blipFill>
        <a:blip cstate="print" r:embed="rId206"/>
        <a:stretch>
          <a:fillRect/>
        </a:stretch>
      </xdr:blipFill>
      <xdr:spPr>
        <a:prstGeom prst="rect">
          <a:avLst/>
        </a:prstGeom>
        <a:noFill/>
      </xdr:spPr>
    </xdr:pic>
    <xdr:clientData fLocksWithSheet="0"/>
  </xdr:oneCellAnchor>
  <xdr:oneCellAnchor>
    <xdr:from>
      <xdr:col>0</xdr:col>
      <xdr:colOff>0</xdr:colOff>
      <xdr:row>291</xdr:row>
      <xdr:rowOff>0</xdr:rowOff>
    </xdr:from>
    <xdr:ext cx="333375" cy="333375"/>
    <xdr:pic>
      <xdr:nvPicPr>
        <xdr:cNvPr id="0" name="image229.jpg"/>
        <xdr:cNvPicPr preferRelativeResize="0"/>
      </xdr:nvPicPr>
      <xdr:blipFill>
        <a:blip cstate="print" r:embed="rId206"/>
        <a:stretch>
          <a:fillRect/>
        </a:stretch>
      </xdr:blipFill>
      <xdr:spPr>
        <a:prstGeom prst="rect">
          <a:avLst/>
        </a:prstGeom>
        <a:noFill/>
      </xdr:spPr>
    </xdr:pic>
    <xdr:clientData fLocksWithSheet="0"/>
  </xdr:oneCellAnchor>
  <xdr:oneCellAnchor>
    <xdr:from>
      <xdr:col>0</xdr:col>
      <xdr:colOff>0</xdr:colOff>
      <xdr:row>292</xdr:row>
      <xdr:rowOff>0</xdr:rowOff>
    </xdr:from>
    <xdr:ext cx="333375" cy="333375"/>
    <xdr:pic>
      <xdr:nvPicPr>
        <xdr:cNvPr id="0" name="image298.jpg"/>
        <xdr:cNvPicPr preferRelativeResize="0"/>
      </xdr:nvPicPr>
      <xdr:blipFill>
        <a:blip cstate="print" r:embed="rId207"/>
        <a:stretch>
          <a:fillRect/>
        </a:stretch>
      </xdr:blipFill>
      <xdr:spPr>
        <a:prstGeom prst="rect">
          <a:avLst/>
        </a:prstGeom>
        <a:noFill/>
      </xdr:spPr>
    </xdr:pic>
    <xdr:clientData fLocksWithSheet="0"/>
  </xdr:oneCellAnchor>
  <xdr:oneCellAnchor>
    <xdr:from>
      <xdr:col>0</xdr:col>
      <xdr:colOff>0</xdr:colOff>
      <xdr:row>293</xdr:row>
      <xdr:rowOff>0</xdr:rowOff>
    </xdr:from>
    <xdr:ext cx="333375" cy="333375"/>
    <xdr:pic>
      <xdr:nvPicPr>
        <xdr:cNvPr id="0" name="image298.jpg"/>
        <xdr:cNvPicPr preferRelativeResize="0"/>
      </xdr:nvPicPr>
      <xdr:blipFill>
        <a:blip cstate="print" r:embed="rId207"/>
        <a:stretch>
          <a:fillRect/>
        </a:stretch>
      </xdr:blipFill>
      <xdr:spPr>
        <a:prstGeom prst="rect">
          <a:avLst/>
        </a:prstGeom>
        <a:noFill/>
      </xdr:spPr>
    </xdr:pic>
    <xdr:clientData fLocksWithSheet="0"/>
  </xdr:oneCellAnchor>
  <xdr:oneCellAnchor>
    <xdr:from>
      <xdr:col>0</xdr:col>
      <xdr:colOff>0</xdr:colOff>
      <xdr:row>294</xdr:row>
      <xdr:rowOff>0</xdr:rowOff>
    </xdr:from>
    <xdr:ext cx="333375" cy="333375"/>
    <xdr:pic>
      <xdr:nvPicPr>
        <xdr:cNvPr id="0" name="image286.jpg"/>
        <xdr:cNvPicPr preferRelativeResize="0"/>
      </xdr:nvPicPr>
      <xdr:blipFill>
        <a:blip cstate="print" r:embed="rId208"/>
        <a:stretch>
          <a:fillRect/>
        </a:stretch>
      </xdr:blipFill>
      <xdr:spPr>
        <a:prstGeom prst="rect">
          <a:avLst/>
        </a:prstGeom>
        <a:noFill/>
      </xdr:spPr>
    </xdr:pic>
    <xdr:clientData fLocksWithSheet="0"/>
  </xdr:oneCellAnchor>
  <xdr:oneCellAnchor>
    <xdr:from>
      <xdr:col>0</xdr:col>
      <xdr:colOff>0</xdr:colOff>
      <xdr:row>295</xdr:row>
      <xdr:rowOff>0</xdr:rowOff>
    </xdr:from>
    <xdr:ext cx="333375" cy="333375"/>
    <xdr:pic>
      <xdr:nvPicPr>
        <xdr:cNvPr id="0" name="image290.jpg"/>
        <xdr:cNvPicPr preferRelativeResize="0"/>
      </xdr:nvPicPr>
      <xdr:blipFill>
        <a:blip cstate="print" r:embed="rId209"/>
        <a:stretch>
          <a:fillRect/>
        </a:stretch>
      </xdr:blipFill>
      <xdr:spPr>
        <a:prstGeom prst="rect">
          <a:avLst/>
        </a:prstGeom>
        <a:noFill/>
      </xdr:spPr>
    </xdr:pic>
    <xdr:clientData fLocksWithSheet="0"/>
  </xdr:oneCellAnchor>
  <xdr:oneCellAnchor>
    <xdr:from>
      <xdr:col>0</xdr:col>
      <xdr:colOff>0</xdr:colOff>
      <xdr:row>296</xdr:row>
      <xdr:rowOff>0</xdr:rowOff>
    </xdr:from>
    <xdr:ext cx="333375" cy="333375"/>
    <xdr:pic>
      <xdr:nvPicPr>
        <xdr:cNvPr id="0" name="image290.jpg"/>
        <xdr:cNvPicPr preferRelativeResize="0"/>
      </xdr:nvPicPr>
      <xdr:blipFill>
        <a:blip cstate="print" r:embed="rId209"/>
        <a:stretch>
          <a:fillRect/>
        </a:stretch>
      </xdr:blipFill>
      <xdr:spPr>
        <a:prstGeom prst="rect">
          <a:avLst/>
        </a:prstGeom>
        <a:noFill/>
      </xdr:spPr>
    </xdr:pic>
    <xdr:clientData fLocksWithSheet="0"/>
  </xdr:oneCellAnchor>
  <xdr:oneCellAnchor>
    <xdr:from>
      <xdr:col>0</xdr:col>
      <xdr:colOff>0</xdr:colOff>
      <xdr:row>297</xdr:row>
      <xdr:rowOff>0</xdr:rowOff>
    </xdr:from>
    <xdr:ext cx="333375" cy="333375"/>
    <xdr:pic>
      <xdr:nvPicPr>
        <xdr:cNvPr id="0" name="image290.jpg"/>
        <xdr:cNvPicPr preferRelativeResize="0"/>
      </xdr:nvPicPr>
      <xdr:blipFill>
        <a:blip cstate="print" r:embed="rId209"/>
        <a:stretch>
          <a:fillRect/>
        </a:stretch>
      </xdr:blipFill>
      <xdr:spPr>
        <a:prstGeom prst="rect">
          <a:avLst/>
        </a:prstGeom>
        <a:noFill/>
      </xdr:spPr>
    </xdr:pic>
    <xdr:clientData fLocksWithSheet="0"/>
  </xdr:oneCellAnchor>
  <xdr:oneCellAnchor>
    <xdr:from>
      <xdr:col>0</xdr:col>
      <xdr:colOff>0</xdr:colOff>
      <xdr:row>298</xdr:row>
      <xdr:rowOff>0</xdr:rowOff>
    </xdr:from>
    <xdr:ext cx="333375" cy="333375"/>
    <xdr:pic>
      <xdr:nvPicPr>
        <xdr:cNvPr id="0" name="image291.jpg"/>
        <xdr:cNvPicPr preferRelativeResize="0"/>
      </xdr:nvPicPr>
      <xdr:blipFill>
        <a:blip cstate="print" r:embed="rId210"/>
        <a:stretch>
          <a:fillRect/>
        </a:stretch>
      </xdr:blipFill>
      <xdr:spPr>
        <a:prstGeom prst="rect">
          <a:avLst/>
        </a:prstGeom>
        <a:noFill/>
      </xdr:spPr>
    </xdr:pic>
    <xdr:clientData fLocksWithSheet="0"/>
  </xdr:oneCellAnchor>
  <xdr:oneCellAnchor>
    <xdr:from>
      <xdr:col>0</xdr:col>
      <xdr:colOff>0</xdr:colOff>
      <xdr:row>299</xdr:row>
      <xdr:rowOff>0</xdr:rowOff>
    </xdr:from>
    <xdr:ext cx="333375" cy="333375"/>
    <xdr:pic>
      <xdr:nvPicPr>
        <xdr:cNvPr id="0" name="image299.jpg"/>
        <xdr:cNvPicPr preferRelativeResize="0"/>
      </xdr:nvPicPr>
      <xdr:blipFill>
        <a:blip cstate="print" r:embed="rId211"/>
        <a:stretch>
          <a:fillRect/>
        </a:stretch>
      </xdr:blipFill>
      <xdr:spPr>
        <a:prstGeom prst="rect">
          <a:avLst/>
        </a:prstGeom>
        <a:noFill/>
      </xdr:spPr>
    </xdr:pic>
    <xdr:clientData fLocksWithSheet="0"/>
  </xdr:oneCellAnchor>
  <xdr:oneCellAnchor>
    <xdr:from>
      <xdr:col>0</xdr:col>
      <xdr:colOff>0</xdr:colOff>
      <xdr:row>300</xdr:row>
      <xdr:rowOff>0</xdr:rowOff>
    </xdr:from>
    <xdr:ext cx="333375" cy="333375"/>
    <xdr:pic>
      <xdr:nvPicPr>
        <xdr:cNvPr id="0" name="image299.jpg"/>
        <xdr:cNvPicPr preferRelativeResize="0"/>
      </xdr:nvPicPr>
      <xdr:blipFill>
        <a:blip cstate="print" r:embed="rId211"/>
        <a:stretch>
          <a:fillRect/>
        </a:stretch>
      </xdr:blipFill>
      <xdr:spPr>
        <a:prstGeom prst="rect">
          <a:avLst/>
        </a:prstGeom>
        <a:noFill/>
      </xdr:spPr>
    </xdr:pic>
    <xdr:clientData fLocksWithSheet="0"/>
  </xdr:oneCellAnchor>
  <xdr:oneCellAnchor>
    <xdr:from>
      <xdr:col>0</xdr:col>
      <xdr:colOff>0</xdr:colOff>
      <xdr:row>301</xdr:row>
      <xdr:rowOff>0</xdr:rowOff>
    </xdr:from>
    <xdr:ext cx="333375" cy="333375"/>
    <xdr:pic>
      <xdr:nvPicPr>
        <xdr:cNvPr id="0" name="image322.jpg"/>
        <xdr:cNvPicPr preferRelativeResize="0"/>
      </xdr:nvPicPr>
      <xdr:blipFill>
        <a:blip cstate="print" r:embed="rId212"/>
        <a:stretch>
          <a:fillRect/>
        </a:stretch>
      </xdr:blipFill>
      <xdr:spPr>
        <a:prstGeom prst="rect">
          <a:avLst/>
        </a:prstGeom>
        <a:noFill/>
      </xdr:spPr>
    </xdr:pic>
    <xdr:clientData fLocksWithSheet="0"/>
  </xdr:oneCellAnchor>
  <xdr:oneCellAnchor>
    <xdr:from>
      <xdr:col>0</xdr:col>
      <xdr:colOff>0</xdr:colOff>
      <xdr:row>302</xdr:row>
      <xdr:rowOff>0</xdr:rowOff>
    </xdr:from>
    <xdr:ext cx="333375" cy="333375"/>
    <xdr:pic>
      <xdr:nvPicPr>
        <xdr:cNvPr id="0" name="image322.jpg"/>
        <xdr:cNvPicPr preferRelativeResize="0"/>
      </xdr:nvPicPr>
      <xdr:blipFill>
        <a:blip cstate="print" r:embed="rId212"/>
        <a:stretch>
          <a:fillRect/>
        </a:stretch>
      </xdr:blipFill>
      <xdr:spPr>
        <a:prstGeom prst="rect">
          <a:avLst/>
        </a:prstGeom>
        <a:noFill/>
      </xdr:spPr>
    </xdr:pic>
    <xdr:clientData fLocksWithSheet="0"/>
  </xdr:oneCellAnchor>
  <xdr:oneCellAnchor>
    <xdr:from>
      <xdr:col>0</xdr:col>
      <xdr:colOff>0</xdr:colOff>
      <xdr:row>303</xdr:row>
      <xdr:rowOff>0</xdr:rowOff>
    </xdr:from>
    <xdr:ext cx="333375" cy="333375"/>
    <xdr:pic>
      <xdr:nvPicPr>
        <xdr:cNvPr id="0" name="image297.jpg"/>
        <xdr:cNvPicPr preferRelativeResize="0"/>
      </xdr:nvPicPr>
      <xdr:blipFill>
        <a:blip cstate="print" r:embed="rId213"/>
        <a:stretch>
          <a:fillRect/>
        </a:stretch>
      </xdr:blipFill>
      <xdr:spPr>
        <a:prstGeom prst="rect">
          <a:avLst/>
        </a:prstGeom>
        <a:noFill/>
      </xdr:spPr>
    </xdr:pic>
    <xdr:clientData fLocksWithSheet="0"/>
  </xdr:oneCellAnchor>
  <xdr:oneCellAnchor>
    <xdr:from>
      <xdr:col>0</xdr:col>
      <xdr:colOff>0</xdr:colOff>
      <xdr:row>304</xdr:row>
      <xdr:rowOff>0</xdr:rowOff>
    </xdr:from>
    <xdr:ext cx="333375" cy="333375"/>
    <xdr:pic>
      <xdr:nvPicPr>
        <xdr:cNvPr id="0" name="image297.jpg"/>
        <xdr:cNvPicPr preferRelativeResize="0"/>
      </xdr:nvPicPr>
      <xdr:blipFill>
        <a:blip cstate="print" r:embed="rId213"/>
        <a:stretch>
          <a:fillRect/>
        </a:stretch>
      </xdr:blipFill>
      <xdr:spPr>
        <a:prstGeom prst="rect">
          <a:avLst/>
        </a:prstGeom>
        <a:noFill/>
      </xdr:spPr>
    </xdr:pic>
    <xdr:clientData fLocksWithSheet="0"/>
  </xdr:oneCellAnchor>
  <xdr:oneCellAnchor>
    <xdr:from>
      <xdr:col>0</xdr:col>
      <xdr:colOff>0</xdr:colOff>
      <xdr:row>305</xdr:row>
      <xdr:rowOff>0</xdr:rowOff>
    </xdr:from>
    <xdr:ext cx="333375" cy="333375"/>
    <xdr:pic>
      <xdr:nvPicPr>
        <xdr:cNvPr id="0" name="image305.jpg"/>
        <xdr:cNvPicPr preferRelativeResize="0"/>
      </xdr:nvPicPr>
      <xdr:blipFill>
        <a:blip cstate="print" r:embed="rId214"/>
        <a:stretch>
          <a:fillRect/>
        </a:stretch>
      </xdr:blipFill>
      <xdr:spPr>
        <a:prstGeom prst="rect">
          <a:avLst/>
        </a:prstGeom>
        <a:noFill/>
      </xdr:spPr>
    </xdr:pic>
    <xdr:clientData fLocksWithSheet="0"/>
  </xdr:oneCellAnchor>
  <xdr:oneCellAnchor>
    <xdr:from>
      <xdr:col>0</xdr:col>
      <xdr:colOff>0</xdr:colOff>
      <xdr:row>306</xdr:row>
      <xdr:rowOff>0</xdr:rowOff>
    </xdr:from>
    <xdr:ext cx="333375" cy="333375"/>
    <xdr:pic>
      <xdr:nvPicPr>
        <xdr:cNvPr id="0" name="image305.jpg"/>
        <xdr:cNvPicPr preferRelativeResize="0"/>
      </xdr:nvPicPr>
      <xdr:blipFill>
        <a:blip cstate="print" r:embed="rId214"/>
        <a:stretch>
          <a:fillRect/>
        </a:stretch>
      </xdr:blipFill>
      <xdr:spPr>
        <a:prstGeom prst="rect">
          <a:avLst/>
        </a:prstGeom>
        <a:noFill/>
      </xdr:spPr>
    </xdr:pic>
    <xdr:clientData fLocksWithSheet="0"/>
  </xdr:oneCellAnchor>
  <xdr:oneCellAnchor>
    <xdr:from>
      <xdr:col>0</xdr:col>
      <xdr:colOff>0</xdr:colOff>
      <xdr:row>307</xdr:row>
      <xdr:rowOff>0</xdr:rowOff>
    </xdr:from>
    <xdr:ext cx="333375" cy="333375"/>
    <xdr:pic>
      <xdr:nvPicPr>
        <xdr:cNvPr id="0" name="image300.jpg"/>
        <xdr:cNvPicPr preferRelativeResize="0"/>
      </xdr:nvPicPr>
      <xdr:blipFill>
        <a:blip cstate="print" r:embed="rId215"/>
        <a:stretch>
          <a:fillRect/>
        </a:stretch>
      </xdr:blipFill>
      <xdr:spPr>
        <a:prstGeom prst="rect">
          <a:avLst/>
        </a:prstGeom>
        <a:noFill/>
      </xdr:spPr>
    </xdr:pic>
    <xdr:clientData fLocksWithSheet="0"/>
  </xdr:oneCellAnchor>
  <xdr:oneCellAnchor>
    <xdr:from>
      <xdr:col>0</xdr:col>
      <xdr:colOff>0</xdr:colOff>
      <xdr:row>308</xdr:row>
      <xdr:rowOff>0</xdr:rowOff>
    </xdr:from>
    <xdr:ext cx="333375" cy="333375"/>
    <xdr:pic>
      <xdr:nvPicPr>
        <xdr:cNvPr id="0" name="image304.jpg"/>
        <xdr:cNvPicPr preferRelativeResize="0"/>
      </xdr:nvPicPr>
      <xdr:blipFill>
        <a:blip cstate="print" r:embed="rId216"/>
        <a:stretch>
          <a:fillRect/>
        </a:stretch>
      </xdr:blipFill>
      <xdr:spPr>
        <a:prstGeom prst="rect">
          <a:avLst/>
        </a:prstGeom>
        <a:noFill/>
      </xdr:spPr>
    </xdr:pic>
    <xdr:clientData fLocksWithSheet="0"/>
  </xdr:oneCellAnchor>
  <xdr:oneCellAnchor>
    <xdr:from>
      <xdr:col>0</xdr:col>
      <xdr:colOff>0</xdr:colOff>
      <xdr:row>309</xdr:row>
      <xdr:rowOff>0</xdr:rowOff>
    </xdr:from>
    <xdr:ext cx="333375" cy="333375"/>
    <xdr:pic>
      <xdr:nvPicPr>
        <xdr:cNvPr id="0" name="image311.jpg"/>
        <xdr:cNvPicPr preferRelativeResize="0"/>
      </xdr:nvPicPr>
      <xdr:blipFill>
        <a:blip cstate="print" r:embed="rId217"/>
        <a:stretch>
          <a:fillRect/>
        </a:stretch>
      </xdr:blipFill>
      <xdr:spPr>
        <a:prstGeom prst="rect">
          <a:avLst/>
        </a:prstGeom>
        <a:noFill/>
      </xdr:spPr>
    </xdr:pic>
    <xdr:clientData fLocksWithSheet="0"/>
  </xdr:oneCellAnchor>
  <xdr:oneCellAnchor>
    <xdr:from>
      <xdr:col>0</xdr:col>
      <xdr:colOff>0</xdr:colOff>
      <xdr:row>310</xdr:row>
      <xdr:rowOff>0</xdr:rowOff>
    </xdr:from>
    <xdr:ext cx="333375" cy="333375"/>
    <xdr:pic>
      <xdr:nvPicPr>
        <xdr:cNvPr id="0" name="image311.jpg"/>
        <xdr:cNvPicPr preferRelativeResize="0"/>
      </xdr:nvPicPr>
      <xdr:blipFill>
        <a:blip cstate="print" r:embed="rId217"/>
        <a:stretch>
          <a:fillRect/>
        </a:stretch>
      </xdr:blipFill>
      <xdr:spPr>
        <a:prstGeom prst="rect">
          <a:avLst/>
        </a:prstGeom>
        <a:noFill/>
      </xdr:spPr>
    </xdr:pic>
    <xdr:clientData fLocksWithSheet="0"/>
  </xdr:oneCellAnchor>
  <xdr:oneCellAnchor>
    <xdr:from>
      <xdr:col>0</xdr:col>
      <xdr:colOff>0</xdr:colOff>
      <xdr:row>311</xdr:row>
      <xdr:rowOff>0</xdr:rowOff>
    </xdr:from>
    <xdr:ext cx="333375" cy="333375"/>
    <xdr:pic>
      <xdr:nvPicPr>
        <xdr:cNvPr id="0" name="image341.jpg"/>
        <xdr:cNvPicPr preferRelativeResize="0"/>
      </xdr:nvPicPr>
      <xdr:blipFill>
        <a:blip cstate="print" r:embed="rId218"/>
        <a:stretch>
          <a:fillRect/>
        </a:stretch>
      </xdr:blipFill>
      <xdr:spPr>
        <a:prstGeom prst="rect">
          <a:avLst/>
        </a:prstGeom>
        <a:noFill/>
      </xdr:spPr>
    </xdr:pic>
    <xdr:clientData fLocksWithSheet="0"/>
  </xdr:oneCellAnchor>
  <xdr:oneCellAnchor>
    <xdr:from>
      <xdr:col>0</xdr:col>
      <xdr:colOff>0</xdr:colOff>
      <xdr:row>312</xdr:row>
      <xdr:rowOff>0</xdr:rowOff>
    </xdr:from>
    <xdr:ext cx="333375" cy="333375"/>
    <xdr:pic>
      <xdr:nvPicPr>
        <xdr:cNvPr id="0" name="image341.jpg"/>
        <xdr:cNvPicPr preferRelativeResize="0"/>
      </xdr:nvPicPr>
      <xdr:blipFill>
        <a:blip cstate="print" r:embed="rId218"/>
        <a:stretch>
          <a:fillRect/>
        </a:stretch>
      </xdr:blipFill>
      <xdr:spPr>
        <a:prstGeom prst="rect">
          <a:avLst/>
        </a:prstGeom>
        <a:noFill/>
      </xdr:spPr>
    </xdr:pic>
    <xdr:clientData fLocksWithSheet="0"/>
  </xdr:oneCellAnchor>
  <xdr:oneCellAnchor>
    <xdr:from>
      <xdr:col>0</xdr:col>
      <xdr:colOff>0</xdr:colOff>
      <xdr:row>313</xdr:row>
      <xdr:rowOff>0</xdr:rowOff>
    </xdr:from>
    <xdr:ext cx="333375" cy="333375"/>
    <xdr:pic>
      <xdr:nvPicPr>
        <xdr:cNvPr id="0" name="image341.jpg"/>
        <xdr:cNvPicPr preferRelativeResize="0"/>
      </xdr:nvPicPr>
      <xdr:blipFill>
        <a:blip cstate="print" r:embed="rId218"/>
        <a:stretch>
          <a:fillRect/>
        </a:stretch>
      </xdr:blipFill>
      <xdr:spPr>
        <a:prstGeom prst="rect">
          <a:avLst/>
        </a:prstGeom>
        <a:noFill/>
      </xdr:spPr>
    </xdr:pic>
    <xdr:clientData fLocksWithSheet="0"/>
  </xdr:oneCellAnchor>
  <xdr:oneCellAnchor>
    <xdr:from>
      <xdr:col>0</xdr:col>
      <xdr:colOff>0</xdr:colOff>
      <xdr:row>314</xdr:row>
      <xdr:rowOff>0</xdr:rowOff>
    </xdr:from>
    <xdr:ext cx="333375" cy="333375"/>
    <xdr:pic>
      <xdr:nvPicPr>
        <xdr:cNvPr id="0" name="image312.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315</xdr:row>
      <xdr:rowOff>0</xdr:rowOff>
    </xdr:from>
    <xdr:ext cx="333375" cy="333375"/>
    <xdr:pic>
      <xdr:nvPicPr>
        <xdr:cNvPr id="0" name="image312.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316</xdr:row>
      <xdr:rowOff>0</xdr:rowOff>
    </xdr:from>
    <xdr:ext cx="333375" cy="333375"/>
    <xdr:pic>
      <xdr:nvPicPr>
        <xdr:cNvPr id="0" name="image312.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317</xdr:row>
      <xdr:rowOff>0</xdr:rowOff>
    </xdr:from>
    <xdr:ext cx="333375" cy="333375"/>
    <xdr:pic>
      <xdr:nvPicPr>
        <xdr:cNvPr id="0" name="image312.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318</xdr:row>
      <xdr:rowOff>0</xdr:rowOff>
    </xdr:from>
    <xdr:ext cx="333375" cy="333375"/>
    <xdr:pic>
      <xdr:nvPicPr>
        <xdr:cNvPr id="0" name="image312.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319</xdr:row>
      <xdr:rowOff>0</xdr:rowOff>
    </xdr:from>
    <xdr:ext cx="333375" cy="333375"/>
    <xdr:pic>
      <xdr:nvPicPr>
        <xdr:cNvPr id="0" name="image312.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320</xdr:row>
      <xdr:rowOff>0</xdr:rowOff>
    </xdr:from>
    <xdr:ext cx="333375" cy="333375"/>
    <xdr:pic>
      <xdr:nvPicPr>
        <xdr:cNvPr id="0" name="image312.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321</xdr:row>
      <xdr:rowOff>0</xdr:rowOff>
    </xdr:from>
    <xdr:ext cx="333375" cy="333375"/>
    <xdr:pic>
      <xdr:nvPicPr>
        <xdr:cNvPr id="0" name="image323.jpg"/>
        <xdr:cNvPicPr preferRelativeResize="0"/>
      </xdr:nvPicPr>
      <xdr:blipFill>
        <a:blip cstate="print" r:embed="rId220"/>
        <a:stretch>
          <a:fillRect/>
        </a:stretch>
      </xdr:blipFill>
      <xdr:spPr>
        <a:prstGeom prst="rect">
          <a:avLst/>
        </a:prstGeom>
        <a:noFill/>
      </xdr:spPr>
    </xdr:pic>
    <xdr:clientData fLocksWithSheet="0"/>
  </xdr:oneCellAnchor>
  <xdr:oneCellAnchor>
    <xdr:from>
      <xdr:col>0</xdr:col>
      <xdr:colOff>0</xdr:colOff>
      <xdr:row>322</xdr:row>
      <xdr:rowOff>0</xdr:rowOff>
    </xdr:from>
    <xdr:ext cx="333375" cy="333375"/>
    <xdr:pic>
      <xdr:nvPicPr>
        <xdr:cNvPr id="0" name="image323.jpg"/>
        <xdr:cNvPicPr preferRelativeResize="0"/>
      </xdr:nvPicPr>
      <xdr:blipFill>
        <a:blip cstate="print" r:embed="rId220"/>
        <a:stretch>
          <a:fillRect/>
        </a:stretch>
      </xdr:blipFill>
      <xdr:spPr>
        <a:prstGeom prst="rect">
          <a:avLst/>
        </a:prstGeom>
        <a:noFill/>
      </xdr:spPr>
    </xdr:pic>
    <xdr:clientData fLocksWithSheet="0"/>
  </xdr:oneCellAnchor>
  <xdr:oneCellAnchor>
    <xdr:from>
      <xdr:col>0</xdr:col>
      <xdr:colOff>0</xdr:colOff>
      <xdr:row>323</xdr:row>
      <xdr:rowOff>0</xdr:rowOff>
    </xdr:from>
    <xdr:ext cx="333375" cy="333375"/>
    <xdr:pic>
      <xdr:nvPicPr>
        <xdr:cNvPr id="0" name="image323.jpg"/>
        <xdr:cNvPicPr preferRelativeResize="0"/>
      </xdr:nvPicPr>
      <xdr:blipFill>
        <a:blip cstate="print" r:embed="rId220"/>
        <a:stretch>
          <a:fillRect/>
        </a:stretch>
      </xdr:blipFill>
      <xdr:spPr>
        <a:prstGeom prst="rect">
          <a:avLst/>
        </a:prstGeom>
        <a:noFill/>
      </xdr:spPr>
    </xdr:pic>
    <xdr:clientData fLocksWithSheet="0"/>
  </xdr:oneCellAnchor>
  <xdr:oneCellAnchor>
    <xdr:from>
      <xdr:col>0</xdr:col>
      <xdr:colOff>0</xdr:colOff>
      <xdr:row>324</xdr:row>
      <xdr:rowOff>0</xdr:rowOff>
    </xdr:from>
    <xdr:ext cx="333375" cy="333375"/>
    <xdr:pic>
      <xdr:nvPicPr>
        <xdr:cNvPr id="0" name="image323.jpg"/>
        <xdr:cNvPicPr preferRelativeResize="0"/>
      </xdr:nvPicPr>
      <xdr:blipFill>
        <a:blip cstate="print" r:embed="rId220"/>
        <a:stretch>
          <a:fillRect/>
        </a:stretch>
      </xdr:blipFill>
      <xdr:spPr>
        <a:prstGeom prst="rect">
          <a:avLst/>
        </a:prstGeom>
        <a:noFill/>
      </xdr:spPr>
    </xdr:pic>
    <xdr:clientData fLocksWithSheet="0"/>
  </xdr:oneCellAnchor>
  <xdr:oneCellAnchor>
    <xdr:from>
      <xdr:col>0</xdr:col>
      <xdr:colOff>0</xdr:colOff>
      <xdr:row>325</xdr:row>
      <xdr:rowOff>0</xdr:rowOff>
    </xdr:from>
    <xdr:ext cx="333375" cy="333375"/>
    <xdr:pic>
      <xdr:nvPicPr>
        <xdr:cNvPr id="0" name="image323.jpg"/>
        <xdr:cNvPicPr preferRelativeResize="0"/>
      </xdr:nvPicPr>
      <xdr:blipFill>
        <a:blip cstate="print" r:embed="rId220"/>
        <a:stretch>
          <a:fillRect/>
        </a:stretch>
      </xdr:blipFill>
      <xdr:spPr>
        <a:prstGeom prst="rect">
          <a:avLst/>
        </a:prstGeom>
        <a:noFill/>
      </xdr:spPr>
    </xdr:pic>
    <xdr:clientData fLocksWithSheet="0"/>
  </xdr:oneCellAnchor>
  <xdr:oneCellAnchor>
    <xdr:from>
      <xdr:col>0</xdr:col>
      <xdr:colOff>0</xdr:colOff>
      <xdr:row>326</xdr:row>
      <xdr:rowOff>0</xdr:rowOff>
    </xdr:from>
    <xdr:ext cx="333375" cy="333375"/>
    <xdr:pic>
      <xdr:nvPicPr>
        <xdr:cNvPr id="0" name="image313.jpg"/>
        <xdr:cNvPicPr preferRelativeResize="0"/>
      </xdr:nvPicPr>
      <xdr:blipFill>
        <a:blip cstate="print" r:embed="rId221"/>
        <a:stretch>
          <a:fillRect/>
        </a:stretch>
      </xdr:blipFill>
      <xdr:spPr>
        <a:prstGeom prst="rect">
          <a:avLst/>
        </a:prstGeom>
        <a:noFill/>
      </xdr:spPr>
    </xdr:pic>
    <xdr:clientData fLocksWithSheet="0"/>
  </xdr:oneCellAnchor>
  <xdr:oneCellAnchor>
    <xdr:from>
      <xdr:col>0</xdr:col>
      <xdr:colOff>0</xdr:colOff>
      <xdr:row>327</xdr:row>
      <xdr:rowOff>0</xdr:rowOff>
    </xdr:from>
    <xdr:ext cx="333375" cy="333375"/>
    <xdr:pic>
      <xdr:nvPicPr>
        <xdr:cNvPr id="0" name="image307.png"/>
        <xdr:cNvPicPr preferRelativeResize="0"/>
      </xdr:nvPicPr>
      <xdr:blipFill>
        <a:blip cstate="print" r:embed="rId222"/>
        <a:stretch>
          <a:fillRect/>
        </a:stretch>
      </xdr:blipFill>
      <xdr:spPr>
        <a:prstGeom prst="rect">
          <a:avLst/>
        </a:prstGeom>
        <a:noFill/>
      </xdr:spPr>
    </xdr:pic>
    <xdr:clientData fLocksWithSheet="0"/>
  </xdr:oneCellAnchor>
  <xdr:oneCellAnchor>
    <xdr:from>
      <xdr:col>0</xdr:col>
      <xdr:colOff>0</xdr:colOff>
      <xdr:row>328</xdr:row>
      <xdr:rowOff>0</xdr:rowOff>
    </xdr:from>
    <xdr:ext cx="333375" cy="333375"/>
    <xdr:pic>
      <xdr:nvPicPr>
        <xdr:cNvPr id="0" name="image315.jpg"/>
        <xdr:cNvPicPr preferRelativeResize="0"/>
      </xdr:nvPicPr>
      <xdr:blipFill>
        <a:blip cstate="print" r:embed="rId223"/>
        <a:stretch>
          <a:fillRect/>
        </a:stretch>
      </xdr:blipFill>
      <xdr:spPr>
        <a:prstGeom prst="rect">
          <a:avLst/>
        </a:prstGeom>
        <a:noFill/>
      </xdr:spPr>
    </xdr:pic>
    <xdr:clientData fLocksWithSheet="0"/>
  </xdr:oneCellAnchor>
  <xdr:oneCellAnchor>
    <xdr:from>
      <xdr:col>0</xdr:col>
      <xdr:colOff>0</xdr:colOff>
      <xdr:row>329</xdr:row>
      <xdr:rowOff>0</xdr:rowOff>
    </xdr:from>
    <xdr:ext cx="333375" cy="333375"/>
    <xdr:pic>
      <xdr:nvPicPr>
        <xdr:cNvPr id="0" name="image315.jpg"/>
        <xdr:cNvPicPr preferRelativeResize="0"/>
      </xdr:nvPicPr>
      <xdr:blipFill>
        <a:blip cstate="print" r:embed="rId223"/>
        <a:stretch>
          <a:fillRect/>
        </a:stretch>
      </xdr:blipFill>
      <xdr:spPr>
        <a:prstGeom prst="rect">
          <a:avLst/>
        </a:prstGeom>
        <a:noFill/>
      </xdr:spPr>
    </xdr:pic>
    <xdr:clientData fLocksWithSheet="0"/>
  </xdr:oneCellAnchor>
  <xdr:oneCellAnchor>
    <xdr:from>
      <xdr:col>0</xdr:col>
      <xdr:colOff>0</xdr:colOff>
      <xdr:row>330</xdr:row>
      <xdr:rowOff>0</xdr:rowOff>
    </xdr:from>
    <xdr:ext cx="333375" cy="333375"/>
    <xdr:pic>
      <xdr:nvPicPr>
        <xdr:cNvPr id="0" name="image315.jpg"/>
        <xdr:cNvPicPr preferRelativeResize="0"/>
      </xdr:nvPicPr>
      <xdr:blipFill>
        <a:blip cstate="print" r:embed="rId223"/>
        <a:stretch>
          <a:fillRect/>
        </a:stretch>
      </xdr:blipFill>
      <xdr:spPr>
        <a:prstGeom prst="rect">
          <a:avLst/>
        </a:prstGeom>
        <a:noFill/>
      </xdr:spPr>
    </xdr:pic>
    <xdr:clientData fLocksWithSheet="0"/>
  </xdr:oneCellAnchor>
  <xdr:oneCellAnchor>
    <xdr:from>
      <xdr:col>0</xdr:col>
      <xdr:colOff>0</xdr:colOff>
      <xdr:row>331</xdr:row>
      <xdr:rowOff>0</xdr:rowOff>
    </xdr:from>
    <xdr:ext cx="333375" cy="333375"/>
    <xdr:pic>
      <xdr:nvPicPr>
        <xdr:cNvPr id="0" name="image315.jpg"/>
        <xdr:cNvPicPr preferRelativeResize="0"/>
      </xdr:nvPicPr>
      <xdr:blipFill>
        <a:blip cstate="print" r:embed="rId223"/>
        <a:stretch>
          <a:fillRect/>
        </a:stretch>
      </xdr:blipFill>
      <xdr:spPr>
        <a:prstGeom prst="rect">
          <a:avLst/>
        </a:prstGeom>
        <a:noFill/>
      </xdr:spPr>
    </xdr:pic>
    <xdr:clientData fLocksWithSheet="0"/>
  </xdr:oneCellAnchor>
  <xdr:oneCellAnchor>
    <xdr:from>
      <xdr:col>0</xdr:col>
      <xdr:colOff>0</xdr:colOff>
      <xdr:row>332</xdr:row>
      <xdr:rowOff>0</xdr:rowOff>
    </xdr:from>
    <xdr:ext cx="333375" cy="333375"/>
    <xdr:pic>
      <xdr:nvPicPr>
        <xdr:cNvPr id="0" name="image327.jpg"/>
        <xdr:cNvPicPr preferRelativeResize="0"/>
      </xdr:nvPicPr>
      <xdr:blipFill>
        <a:blip cstate="print" r:embed="rId224"/>
        <a:stretch>
          <a:fillRect/>
        </a:stretch>
      </xdr:blipFill>
      <xdr:spPr>
        <a:prstGeom prst="rect">
          <a:avLst/>
        </a:prstGeom>
        <a:noFill/>
      </xdr:spPr>
    </xdr:pic>
    <xdr:clientData fLocksWithSheet="0"/>
  </xdr:oneCellAnchor>
  <xdr:oneCellAnchor>
    <xdr:from>
      <xdr:col>0</xdr:col>
      <xdr:colOff>0</xdr:colOff>
      <xdr:row>333</xdr:row>
      <xdr:rowOff>0</xdr:rowOff>
    </xdr:from>
    <xdr:ext cx="333375" cy="333375"/>
    <xdr:pic>
      <xdr:nvPicPr>
        <xdr:cNvPr id="0" name="image327.jpg"/>
        <xdr:cNvPicPr preferRelativeResize="0"/>
      </xdr:nvPicPr>
      <xdr:blipFill>
        <a:blip cstate="print" r:embed="rId224"/>
        <a:stretch>
          <a:fillRect/>
        </a:stretch>
      </xdr:blipFill>
      <xdr:spPr>
        <a:prstGeom prst="rect">
          <a:avLst/>
        </a:prstGeom>
        <a:noFill/>
      </xdr:spPr>
    </xdr:pic>
    <xdr:clientData fLocksWithSheet="0"/>
  </xdr:oneCellAnchor>
  <xdr:oneCellAnchor>
    <xdr:from>
      <xdr:col>0</xdr:col>
      <xdr:colOff>0</xdr:colOff>
      <xdr:row>334</xdr:row>
      <xdr:rowOff>0</xdr:rowOff>
    </xdr:from>
    <xdr:ext cx="333375" cy="333375"/>
    <xdr:pic>
      <xdr:nvPicPr>
        <xdr:cNvPr id="0" name="image327.jpg"/>
        <xdr:cNvPicPr preferRelativeResize="0"/>
      </xdr:nvPicPr>
      <xdr:blipFill>
        <a:blip cstate="print" r:embed="rId224"/>
        <a:stretch>
          <a:fillRect/>
        </a:stretch>
      </xdr:blipFill>
      <xdr:spPr>
        <a:prstGeom prst="rect">
          <a:avLst/>
        </a:prstGeom>
        <a:noFill/>
      </xdr:spPr>
    </xdr:pic>
    <xdr:clientData fLocksWithSheet="0"/>
  </xdr:oneCellAnchor>
  <xdr:oneCellAnchor>
    <xdr:from>
      <xdr:col>0</xdr:col>
      <xdr:colOff>0</xdr:colOff>
      <xdr:row>335</xdr:row>
      <xdr:rowOff>0</xdr:rowOff>
    </xdr:from>
    <xdr:ext cx="333375" cy="333375"/>
    <xdr:pic>
      <xdr:nvPicPr>
        <xdr:cNvPr id="0" name="image402.jpg"/>
        <xdr:cNvPicPr preferRelativeResize="0"/>
      </xdr:nvPicPr>
      <xdr:blipFill>
        <a:blip cstate="print" r:embed="rId225"/>
        <a:stretch>
          <a:fillRect/>
        </a:stretch>
      </xdr:blipFill>
      <xdr:spPr>
        <a:prstGeom prst="rect">
          <a:avLst/>
        </a:prstGeom>
        <a:noFill/>
      </xdr:spPr>
    </xdr:pic>
    <xdr:clientData fLocksWithSheet="0"/>
  </xdr:oneCellAnchor>
  <xdr:oneCellAnchor>
    <xdr:from>
      <xdr:col>0</xdr:col>
      <xdr:colOff>0</xdr:colOff>
      <xdr:row>336</xdr:row>
      <xdr:rowOff>0</xdr:rowOff>
    </xdr:from>
    <xdr:ext cx="333375" cy="333375"/>
    <xdr:pic>
      <xdr:nvPicPr>
        <xdr:cNvPr id="0" name="image387.jpg"/>
        <xdr:cNvPicPr preferRelativeResize="0"/>
      </xdr:nvPicPr>
      <xdr:blipFill>
        <a:blip cstate="print" r:embed="rId226"/>
        <a:stretch>
          <a:fillRect/>
        </a:stretch>
      </xdr:blipFill>
      <xdr:spPr>
        <a:prstGeom prst="rect">
          <a:avLst/>
        </a:prstGeom>
        <a:noFill/>
      </xdr:spPr>
    </xdr:pic>
    <xdr:clientData fLocksWithSheet="0"/>
  </xdr:oneCellAnchor>
  <xdr:oneCellAnchor>
    <xdr:from>
      <xdr:col>0</xdr:col>
      <xdr:colOff>0</xdr:colOff>
      <xdr:row>337</xdr:row>
      <xdr:rowOff>0</xdr:rowOff>
    </xdr:from>
    <xdr:ext cx="333375" cy="333375"/>
    <xdr:pic>
      <xdr:nvPicPr>
        <xdr:cNvPr id="0" name="image387.jpg"/>
        <xdr:cNvPicPr preferRelativeResize="0"/>
      </xdr:nvPicPr>
      <xdr:blipFill>
        <a:blip cstate="print" r:embed="rId226"/>
        <a:stretch>
          <a:fillRect/>
        </a:stretch>
      </xdr:blipFill>
      <xdr:spPr>
        <a:prstGeom prst="rect">
          <a:avLst/>
        </a:prstGeom>
        <a:noFill/>
      </xdr:spPr>
    </xdr:pic>
    <xdr:clientData fLocksWithSheet="0"/>
  </xdr:oneCellAnchor>
  <xdr:oneCellAnchor>
    <xdr:from>
      <xdr:col>0</xdr:col>
      <xdr:colOff>0</xdr:colOff>
      <xdr:row>338</xdr:row>
      <xdr:rowOff>0</xdr:rowOff>
    </xdr:from>
    <xdr:ext cx="333375" cy="333375"/>
    <xdr:pic>
      <xdr:nvPicPr>
        <xdr:cNvPr id="0" name="image320.jpg"/>
        <xdr:cNvPicPr preferRelativeResize="0"/>
      </xdr:nvPicPr>
      <xdr:blipFill>
        <a:blip cstate="print" r:embed="rId227"/>
        <a:stretch>
          <a:fillRect/>
        </a:stretch>
      </xdr:blipFill>
      <xdr:spPr>
        <a:prstGeom prst="rect">
          <a:avLst/>
        </a:prstGeom>
        <a:noFill/>
      </xdr:spPr>
    </xdr:pic>
    <xdr:clientData fLocksWithSheet="0"/>
  </xdr:oneCellAnchor>
  <xdr:oneCellAnchor>
    <xdr:from>
      <xdr:col>0</xdr:col>
      <xdr:colOff>0</xdr:colOff>
      <xdr:row>339</xdr:row>
      <xdr:rowOff>0</xdr:rowOff>
    </xdr:from>
    <xdr:ext cx="333375" cy="333375"/>
    <xdr:pic>
      <xdr:nvPicPr>
        <xdr:cNvPr id="0" name="image408.jpg"/>
        <xdr:cNvPicPr preferRelativeResize="0"/>
      </xdr:nvPicPr>
      <xdr:blipFill>
        <a:blip cstate="print" r:embed="rId228"/>
        <a:stretch>
          <a:fillRect/>
        </a:stretch>
      </xdr:blipFill>
      <xdr:spPr>
        <a:prstGeom prst="rect">
          <a:avLst/>
        </a:prstGeom>
        <a:noFill/>
      </xdr:spPr>
    </xdr:pic>
    <xdr:clientData fLocksWithSheet="0"/>
  </xdr:oneCellAnchor>
  <xdr:oneCellAnchor>
    <xdr:from>
      <xdr:col>0</xdr:col>
      <xdr:colOff>0</xdr:colOff>
      <xdr:row>340</xdr:row>
      <xdr:rowOff>0</xdr:rowOff>
    </xdr:from>
    <xdr:ext cx="333375" cy="333375"/>
    <xdr:pic>
      <xdr:nvPicPr>
        <xdr:cNvPr id="0" name="image318.jpg"/>
        <xdr:cNvPicPr preferRelativeResize="0"/>
      </xdr:nvPicPr>
      <xdr:blipFill>
        <a:blip cstate="print" r:embed="rId229"/>
        <a:stretch>
          <a:fillRect/>
        </a:stretch>
      </xdr:blipFill>
      <xdr:spPr>
        <a:prstGeom prst="rect">
          <a:avLst/>
        </a:prstGeom>
        <a:noFill/>
      </xdr:spPr>
    </xdr:pic>
    <xdr:clientData fLocksWithSheet="0"/>
  </xdr:oneCellAnchor>
  <xdr:oneCellAnchor>
    <xdr:from>
      <xdr:col>0</xdr:col>
      <xdr:colOff>0</xdr:colOff>
      <xdr:row>341</xdr:row>
      <xdr:rowOff>0</xdr:rowOff>
    </xdr:from>
    <xdr:ext cx="333375" cy="333375"/>
    <xdr:pic>
      <xdr:nvPicPr>
        <xdr:cNvPr id="0" name="image318.jpg"/>
        <xdr:cNvPicPr preferRelativeResize="0"/>
      </xdr:nvPicPr>
      <xdr:blipFill>
        <a:blip cstate="print" r:embed="rId229"/>
        <a:stretch>
          <a:fillRect/>
        </a:stretch>
      </xdr:blipFill>
      <xdr:spPr>
        <a:prstGeom prst="rect">
          <a:avLst/>
        </a:prstGeom>
        <a:noFill/>
      </xdr:spPr>
    </xdr:pic>
    <xdr:clientData fLocksWithSheet="0"/>
  </xdr:oneCellAnchor>
  <xdr:oneCellAnchor>
    <xdr:from>
      <xdr:col>0</xdr:col>
      <xdr:colOff>0</xdr:colOff>
      <xdr:row>342</xdr:row>
      <xdr:rowOff>0</xdr:rowOff>
    </xdr:from>
    <xdr:ext cx="333375" cy="333375"/>
    <xdr:pic>
      <xdr:nvPicPr>
        <xdr:cNvPr id="0" name="image325.jpg"/>
        <xdr:cNvPicPr preferRelativeResize="0"/>
      </xdr:nvPicPr>
      <xdr:blipFill>
        <a:blip cstate="print" r:embed="rId230"/>
        <a:stretch>
          <a:fillRect/>
        </a:stretch>
      </xdr:blipFill>
      <xdr:spPr>
        <a:prstGeom prst="rect">
          <a:avLst/>
        </a:prstGeom>
        <a:noFill/>
      </xdr:spPr>
    </xdr:pic>
    <xdr:clientData fLocksWithSheet="0"/>
  </xdr:oneCellAnchor>
  <xdr:oneCellAnchor>
    <xdr:from>
      <xdr:col>0</xdr:col>
      <xdr:colOff>0</xdr:colOff>
      <xdr:row>343</xdr:row>
      <xdr:rowOff>0</xdr:rowOff>
    </xdr:from>
    <xdr:ext cx="333375" cy="333375"/>
    <xdr:pic>
      <xdr:nvPicPr>
        <xdr:cNvPr id="0" name="image317.jpg"/>
        <xdr:cNvPicPr preferRelativeResize="0"/>
      </xdr:nvPicPr>
      <xdr:blipFill>
        <a:blip cstate="print" r:embed="rId231"/>
        <a:stretch>
          <a:fillRect/>
        </a:stretch>
      </xdr:blipFill>
      <xdr:spPr>
        <a:prstGeom prst="rect">
          <a:avLst/>
        </a:prstGeom>
        <a:noFill/>
      </xdr:spPr>
    </xdr:pic>
    <xdr:clientData fLocksWithSheet="0"/>
  </xdr:oneCellAnchor>
  <xdr:oneCellAnchor>
    <xdr:from>
      <xdr:col>0</xdr:col>
      <xdr:colOff>0</xdr:colOff>
      <xdr:row>344</xdr:row>
      <xdr:rowOff>0</xdr:rowOff>
    </xdr:from>
    <xdr:ext cx="333375" cy="333375"/>
    <xdr:pic>
      <xdr:nvPicPr>
        <xdr:cNvPr id="0" name="image324.jpg"/>
        <xdr:cNvPicPr preferRelativeResize="0"/>
      </xdr:nvPicPr>
      <xdr:blipFill>
        <a:blip cstate="print" r:embed="rId232"/>
        <a:stretch>
          <a:fillRect/>
        </a:stretch>
      </xdr:blipFill>
      <xdr:spPr>
        <a:prstGeom prst="rect">
          <a:avLst/>
        </a:prstGeom>
        <a:noFill/>
      </xdr:spPr>
    </xdr:pic>
    <xdr:clientData fLocksWithSheet="0"/>
  </xdr:oneCellAnchor>
  <xdr:oneCellAnchor>
    <xdr:from>
      <xdr:col>0</xdr:col>
      <xdr:colOff>0</xdr:colOff>
      <xdr:row>345</xdr:row>
      <xdr:rowOff>0</xdr:rowOff>
    </xdr:from>
    <xdr:ext cx="333375" cy="333375"/>
    <xdr:pic>
      <xdr:nvPicPr>
        <xdr:cNvPr id="0" name="image324.jpg"/>
        <xdr:cNvPicPr preferRelativeResize="0"/>
      </xdr:nvPicPr>
      <xdr:blipFill>
        <a:blip cstate="print" r:embed="rId232"/>
        <a:stretch>
          <a:fillRect/>
        </a:stretch>
      </xdr:blipFill>
      <xdr:spPr>
        <a:prstGeom prst="rect">
          <a:avLst/>
        </a:prstGeom>
        <a:noFill/>
      </xdr:spPr>
    </xdr:pic>
    <xdr:clientData fLocksWithSheet="0"/>
  </xdr:oneCellAnchor>
  <xdr:oneCellAnchor>
    <xdr:from>
      <xdr:col>0</xdr:col>
      <xdr:colOff>0</xdr:colOff>
      <xdr:row>346</xdr:row>
      <xdr:rowOff>0</xdr:rowOff>
    </xdr:from>
    <xdr:ext cx="333375" cy="333375"/>
    <xdr:pic>
      <xdr:nvPicPr>
        <xdr:cNvPr id="0" name="image351.jpg"/>
        <xdr:cNvPicPr preferRelativeResize="0"/>
      </xdr:nvPicPr>
      <xdr:blipFill>
        <a:blip cstate="print" r:embed="rId233"/>
        <a:stretch>
          <a:fillRect/>
        </a:stretch>
      </xdr:blipFill>
      <xdr:spPr>
        <a:prstGeom prst="rect">
          <a:avLst/>
        </a:prstGeom>
        <a:noFill/>
      </xdr:spPr>
    </xdr:pic>
    <xdr:clientData fLocksWithSheet="0"/>
  </xdr:oneCellAnchor>
  <xdr:oneCellAnchor>
    <xdr:from>
      <xdr:col>0</xdr:col>
      <xdr:colOff>0</xdr:colOff>
      <xdr:row>347</xdr:row>
      <xdr:rowOff>0</xdr:rowOff>
    </xdr:from>
    <xdr:ext cx="333375" cy="333375"/>
    <xdr:pic>
      <xdr:nvPicPr>
        <xdr:cNvPr id="0" name="image321.jpg"/>
        <xdr:cNvPicPr preferRelativeResize="0"/>
      </xdr:nvPicPr>
      <xdr:blipFill>
        <a:blip cstate="print" r:embed="rId234"/>
        <a:stretch>
          <a:fillRect/>
        </a:stretch>
      </xdr:blipFill>
      <xdr:spPr>
        <a:prstGeom prst="rect">
          <a:avLst/>
        </a:prstGeom>
        <a:noFill/>
      </xdr:spPr>
    </xdr:pic>
    <xdr:clientData fLocksWithSheet="0"/>
  </xdr:oneCellAnchor>
  <xdr:oneCellAnchor>
    <xdr:from>
      <xdr:col>0</xdr:col>
      <xdr:colOff>0</xdr:colOff>
      <xdr:row>348</xdr:row>
      <xdr:rowOff>0</xdr:rowOff>
    </xdr:from>
    <xdr:ext cx="333375" cy="333375"/>
    <xdr:pic>
      <xdr:nvPicPr>
        <xdr:cNvPr id="0" name="image321.jpg"/>
        <xdr:cNvPicPr preferRelativeResize="0"/>
      </xdr:nvPicPr>
      <xdr:blipFill>
        <a:blip cstate="print" r:embed="rId23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333375" cy="333375"/>
    <xdr:pic>
      <xdr:nvPicPr>
        <xdr:cNvPr id="0" name="image83.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333375" cy="333375"/>
    <xdr:pic>
      <xdr:nvPicPr>
        <xdr:cNvPr id="0" name="image81.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333375" cy="333375"/>
    <xdr:pic>
      <xdr:nvPicPr>
        <xdr:cNvPr id="0" name="image94.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333375" cy="333375"/>
    <xdr:pic>
      <xdr:nvPicPr>
        <xdr:cNvPr id="0" name="image105.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333375" cy="333375"/>
    <xdr:pic>
      <xdr:nvPicPr>
        <xdr:cNvPr id="0" name="image156.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333375" cy="333375"/>
    <xdr:pic>
      <xdr:nvPicPr>
        <xdr:cNvPr id="0" name="image156.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8</xdr:row>
      <xdr:rowOff>0</xdr:rowOff>
    </xdr:from>
    <xdr:ext cx="333375" cy="333375"/>
    <xdr:pic>
      <xdr:nvPicPr>
        <xdr:cNvPr id="0" name="image156.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9</xdr:row>
      <xdr:rowOff>0</xdr:rowOff>
    </xdr:from>
    <xdr:ext cx="333375" cy="333375"/>
    <xdr:pic>
      <xdr:nvPicPr>
        <xdr:cNvPr id="0" name="image92.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10</xdr:row>
      <xdr:rowOff>0</xdr:rowOff>
    </xdr:from>
    <xdr:ext cx="333375" cy="333375"/>
    <xdr:pic>
      <xdr:nvPicPr>
        <xdr:cNvPr id="0" name="image100.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11</xdr:row>
      <xdr:rowOff>0</xdr:rowOff>
    </xdr:from>
    <xdr:ext cx="333375" cy="333375"/>
    <xdr:pic>
      <xdr:nvPicPr>
        <xdr:cNvPr id="0" name="image95.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12</xdr:row>
      <xdr:rowOff>0</xdr:rowOff>
    </xdr:from>
    <xdr:ext cx="333375" cy="333375"/>
    <xdr:pic>
      <xdr:nvPicPr>
        <xdr:cNvPr id="0" name="image137.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13</xdr:row>
      <xdr:rowOff>0</xdr:rowOff>
    </xdr:from>
    <xdr:ext cx="333375" cy="333375"/>
    <xdr:pic>
      <xdr:nvPicPr>
        <xdr:cNvPr id="0" name="image86.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14</xdr:row>
      <xdr:rowOff>0</xdr:rowOff>
    </xdr:from>
    <xdr:ext cx="333375" cy="333375"/>
    <xdr:pic>
      <xdr:nvPicPr>
        <xdr:cNvPr id="0" name="image97.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15</xdr:row>
      <xdr:rowOff>0</xdr:rowOff>
    </xdr:from>
    <xdr:ext cx="333375" cy="333375"/>
    <xdr:pic>
      <xdr:nvPicPr>
        <xdr:cNvPr id="0" name="image96.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16</xdr:row>
      <xdr:rowOff>0</xdr:rowOff>
    </xdr:from>
    <xdr:ext cx="333375" cy="333375"/>
    <xdr:pic>
      <xdr:nvPicPr>
        <xdr:cNvPr id="0" name="image96.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17</xdr:row>
      <xdr:rowOff>0</xdr:rowOff>
    </xdr:from>
    <xdr:ext cx="333375" cy="333375"/>
    <xdr:pic>
      <xdr:nvPicPr>
        <xdr:cNvPr id="0" name="image104.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18</xdr:row>
      <xdr:rowOff>0</xdr:rowOff>
    </xdr:from>
    <xdr:ext cx="333375" cy="333375"/>
    <xdr:pic>
      <xdr:nvPicPr>
        <xdr:cNvPr id="0" name="image115.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19</xdr:row>
      <xdr:rowOff>0</xdr:rowOff>
    </xdr:from>
    <xdr:ext cx="333375" cy="333375"/>
    <xdr:pic>
      <xdr:nvPicPr>
        <xdr:cNvPr id="0" name="image89.jp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20</xdr:row>
      <xdr:rowOff>0</xdr:rowOff>
    </xdr:from>
    <xdr:ext cx="333375" cy="333375"/>
    <xdr:pic>
      <xdr:nvPicPr>
        <xdr:cNvPr id="0" name="image89.jp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21</xdr:row>
      <xdr:rowOff>0</xdr:rowOff>
    </xdr:from>
    <xdr:ext cx="333375" cy="333375"/>
    <xdr:pic>
      <xdr:nvPicPr>
        <xdr:cNvPr id="0" name="image112.jp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22</xdr:row>
      <xdr:rowOff>0</xdr:rowOff>
    </xdr:from>
    <xdr:ext cx="333375" cy="333375"/>
    <xdr:pic>
      <xdr:nvPicPr>
        <xdr:cNvPr id="0" name="image93.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23</xdr:row>
      <xdr:rowOff>0</xdr:rowOff>
    </xdr:from>
    <xdr:ext cx="333375" cy="333375"/>
    <xdr:pic>
      <xdr:nvPicPr>
        <xdr:cNvPr id="0" name="image103.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24</xdr:row>
      <xdr:rowOff>0</xdr:rowOff>
    </xdr:from>
    <xdr:ext cx="333375" cy="333375"/>
    <xdr:pic>
      <xdr:nvPicPr>
        <xdr:cNvPr id="0" name="image103.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25</xdr:row>
      <xdr:rowOff>0</xdr:rowOff>
    </xdr:from>
    <xdr:ext cx="333375" cy="333375"/>
    <xdr:pic>
      <xdr:nvPicPr>
        <xdr:cNvPr id="0" name="image103.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26</xdr:row>
      <xdr:rowOff>0</xdr:rowOff>
    </xdr:from>
    <xdr:ext cx="333375" cy="333375"/>
    <xdr:pic>
      <xdr:nvPicPr>
        <xdr:cNvPr id="0" name="image103.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27</xdr:row>
      <xdr:rowOff>0</xdr:rowOff>
    </xdr:from>
    <xdr:ext cx="333375" cy="333375"/>
    <xdr:pic>
      <xdr:nvPicPr>
        <xdr:cNvPr id="0" name="image153.jp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28</xdr:row>
      <xdr:rowOff>0</xdr:rowOff>
    </xdr:from>
    <xdr:ext cx="333375" cy="333375"/>
    <xdr:pic>
      <xdr:nvPicPr>
        <xdr:cNvPr id="0" name="image124.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29</xdr:row>
      <xdr:rowOff>0</xdr:rowOff>
    </xdr:from>
    <xdr:ext cx="333375" cy="333375"/>
    <xdr:pic>
      <xdr:nvPicPr>
        <xdr:cNvPr id="0" name="image124.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30</xdr:row>
      <xdr:rowOff>0</xdr:rowOff>
    </xdr:from>
    <xdr:ext cx="333375" cy="333375"/>
    <xdr:pic>
      <xdr:nvPicPr>
        <xdr:cNvPr id="0" name="image124.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31</xdr:row>
      <xdr:rowOff>0</xdr:rowOff>
    </xdr:from>
    <xdr:ext cx="333375" cy="333375"/>
    <xdr:pic>
      <xdr:nvPicPr>
        <xdr:cNvPr id="0" name="image124.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32</xdr:row>
      <xdr:rowOff>0</xdr:rowOff>
    </xdr:from>
    <xdr:ext cx="333375" cy="333375"/>
    <xdr:pic>
      <xdr:nvPicPr>
        <xdr:cNvPr id="0" name="image124.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33</xdr:row>
      <xdr:rowOff>0</xdr:rowOff>
    </xdr:from>
    <xdr:ext cx="333375" cy="333375"/>
    <xdr:pic>
      <xdr:nvPicPr>
        <xdr:cNvPr id="0" name="image143.jp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34</xdr:row>
      <xdr:rowOff>0</xdr:rowOff>
    </xdr:from>
    <xdr:ext cx="333375" cy="333375"/>
    <xdr:pic>
      <xdr:nvPicPr>
        <xdr:cNvPr id="0" name="image136.jp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35</xdr:row>
      <xdr:rowOff>0</xdr:rowOff>
    </xdr:from>
    <xdr:ext cx="333375" cy="333375"/>
    <xdr:pic>
      <xdr:nvPicPr>
        <xdr:cNvPr id="0" name="image108.jp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36</xdr:row>
      <xdr:rowOff>0</xdr:rowOff>
    </xdr:from>
    <xdr:ext cx="333375" cy="333375"/>
    <xdr:pic>
      <xdr:nvPicPr>
        <xdr:cNvPr id="0" name="image212.jp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37</xdr:row>
      <xdr:rowOff>0</xdr:rowOff>
    </xdr:from>
    <xdr:ext cx="333375" cy="333375"/>
    <xdr:pic>
      <xdr:nvPicPr>
        <xdr:cNvPr id="0" name="image128.jp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38</xdr:row>
      <xdr:rowOff>0</xdr:rowOff>
    </xdr:from>
    <xdr:ext cx="333375" cy="333375"/>
    <xdr:pic>
      <xdr:nvPicPr>
        <xdr:cNvPr id="0" name="image110.jp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39</xdr:row>
      <xdr:rowOff>0</xdr:rowOff>
    </xdr:from>
    <xdr:ext cx="333375" cy="333375"/>
    <xdr:pic>
      <xdr:nvPicPr>
        <xdr:cNvPr id="0" name="image110.jp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40</xdr:row>
      <xdr:rowOff>0</xdr:rowOff>
    </xdr:from>
    <xdr:ext cx="333375" cy="333375"/>
    <xdr:pic>
      <xdr:nvPicPr>
        <xdr:cNvPr id="0" name="image111.jp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41</xdr:row>
      <xdr:rowOff>0</xdr:rowOff>
    </xdr:from>
    <xdr:ext cx="333375" cy="333375"/>
    <xdr:pic>
      <xdr:nvPicPr>
        <xdr:cNvPr id="0" name="image121.jp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42</xdr:row>
      <xdr:rowOff>0</xdr:rowOff>
    </xdr:from>
    <xdr:ext cx="333375" cy="333375"/>
    <xdr:pic>
      <xdr:nvPicPr>
        <xdr:cNvPr id="0" name="image109.jp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43</xdr:row>
      <xdr:rowOff>0</xdr:rowOff>
    </xdr:from>
    <xdr:ext cx="333375" cy="333375"/>
    <xdr:pic>
      <xdr:nvPicPr>
        <xdr:cNvPr id="0" name="image113.jp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44</xdr:row>
      <xdr:rowOff>0</xdr:rowOff>
    </xdr:from>
    <xdr:ext cx="333375" cy="333375"/>
    <xdr:pic>
      <xdr:nvPicPr>
        <xdr:cNvPr id="0" name="image144.jp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45</xdr:row>
      <xdr:rowOff>0</xdr:rowOff>
    </xdr:from>
    <xdr:ext cx="333375" cy="333375"/>
    <xdr:pic>
      <xdr:nvPicPr>
        <xdr:cNvPr id="0" name="image119.jp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46</xdr:row>
      <xdr:rowOff>0</xdr:rowOff>
    </xdr:from>
    <xdr:ext cx="333375" cy="333375"/>
    <xdr:pic>
      <xdr:nvPicPr>
        <xdr:cNvPr id="0" name="image158.jp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47</xdr:row>
      <xdr:rowOff>0</xdr:rowOff>
    </xdr:from>
    <xdr:ext cx="333375" cy="333375"/>
    <xdr:pic>
      <xdr:nvPicPr>
        <xdr:cNvPr id="0" name="image201.jp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48</xdr:row>
      <xdr:rowOff>0</xdr:rowOff>
    </xdr:from>
    <xdr:ext cx="333375" cy="333375"/>
    <xdr:pic>
      <xdr:nvPicPr>
        <xdr:cNvPr id="0" name="image201.jp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49</xdr:row>
      <xdr:rowOff>0</xdr:rowOff>
    </xdr:from>
    <xdr:ext cx="333375" cy="333375"/>
    <xdr:pic>
      <xdr:nvPicPr>
        <xdr:cNvPr id="0" name="image140.jp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50</xdr:row>
      <xdr:rowOff>0</xdr:rowOff>
    </xdr:from>
    <xdr:ext cx="333375" cy="333375"/>
    <xdr:pic>
      <xdr:nvPicPr>
        <xdr:cNvPr id="0" name="image125.jp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51</xdr:row>
      <xdr:rowOff>0</xdr:rowOff>
    </xdr:from>
    <xdr:ext cx="333375" cy="333375"/>
    <xdr:pic>
      <xdr:nvPicPr>
        <xdr:cNvPr id="0" name="image41.jp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52</xdr:row>
      <xdr:rowOff>0</xdr:rowOff>
    </xdr:from>
    <xdr:ext cx="333375" cy="333375"/>
    <xdr:pic>
      <xdr:nvPicPr>
        <xdr:cNvPr id="0" name="image41.jp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53</xdr:row>
      <xdr:rowOff>0</xdr:rowOff>
    </xdr:from>
    <xdr:ext cx="333375" cy="333375"/>
    <xdr:pic>
      <xdr:nvPicPr>
        <xdr:cNvPr id="0" name="image126.jp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54</xdr:row>
      <xdr:rowOff>0</xdr:rowOff>
    </xdr:from>
    <xdr:ext cx="333375" cy="333375"/>
    <xdr:pic>
      <xdr:nvPicPr>
        <xdr:cNvPr id="0" name="image126.jp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55</xdr:row>
      <xdr:rowOff>0</xdr:rowOff>
    </xdr:from>
    <xdr:ext cx="333375" cy="333375"/>
    <xdr:pic>
      <xdr:nvPicPr>
        <xdr:cNvPr id="0" name="image118.jp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56</xdr:row>
      <xdr:rowOff>0</xdr:rowOff>
    </xdr:from>
    <xdr:ext cx="333375" cy="333375"/>
    <xdr:pic>
      <xdr:nvPicPr>
        <xdr:cNvPr id="0" name="image122.jp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57</xdr:row>
      <xdr:rowOff>0</xdr:rowOff>
    </xdr:from>
    <xdr:ext cx="333375" cy="333375"/>
    <xdr:pic>
      <xdr:nvPicPr>
        <xdr:cNvPr id="0" name="image132.jp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58</xdr:row>
      <xdr:rowOff>0</xdr:rowOff>
    </xdr:from>
    <xdr:ext cx="333375" cy="333375"/>
    <xdr:pic>
      <xdr:nvPicPr>
        <xdr:cNvPr id="0" name="image249.jp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59</xdr:row>
      <xdr:rowOff>0</xdr:rowOff>
    </xdr:from>
    <xdr:ext cx="333375" cy="333375"/>
    <xdr:pic>
      <xdr:nvPicPr>
        <xdr:cNvPr id="0" name="image249.jp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60</xdr:row>
      <xdr:rowOff>0</xdr:rowOff>
    </xdr:from>
    <xdr:ext cx="333375" cy="333375"/>
    <xdr:pic>
      <xdr:nvPicPr>
        <xdr:cNvPr id="0" name="image249.jp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61</xdr:row>
      <xdr:rowOff>0</xdr:rowOff>
    </xdr:from>
    <xdr:ext cx="333375" cy="333375"/>
    <xdr:pic>
      <xdr:nvPicPr>
        <xdr:cNvPr id="0" name="image123.jp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62</xdr:row>
      <xdr:rowOff>0</xdr:rowOff>
    </xdr:from>
    <xdr:ext cx="333375" cy="333375"/>
    <xdr:pic>
      <xdr:nvPicPr>
        <xdr:cNvPr id="0" name="image123.jp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63</xdr:row>
      <xdr:rowOff>0</xdr:rowOff>
    </xdr:from>
    <xdr:ext cx="333375" cy="333375"/>
    <xdr:pic>
      <xdr:nvPicPr>
        <xdr:cNvPr id="0" name="image133.jpg"/>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64</xdr:row>
      <xdr:rowOff>0</xdr:rowOff>
    </xdr:from>
    <xdr:ext cx="333375" cy="333375"/>
    <xdr:pic>
      <xdr:nvPicPr>
        <xdr:cNvPr id="0" name="image207.jpg"/>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0</xdr:colOff>
      <xdr:row>65</xdr:row>
      <xdr:rowOff>0</xdr:rowOff>
    </xdr:from>
    <xdr:ext cx="333375" cy="333375"/>
    <xdr:pic>
      <xdr:nvPicPr>
        <xdr:cNvPr id="0" name="image200.jpg"/>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0</xdr:colOff>
      <xdr:row>66</xdr:row>
      <xdr:rowOff>0</xdr:rowOff>
    </xdr:from>
    <xdr:ext cx="333375" cy="333375"/>
    <xdr:pic>
      <xdr:nvPicPr>
        <xdr:cNvPr id="0" name="image184.jp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67</xdr:row>
      <xdr:rowOff>0</xdr:rowOff>
    </xdr:from>
    <xdr:ext cx="333375" cy="333375"/>
    <xdr:pic>
      <xdr:nvPicPr>
        <xdr:cNvPr id="0" name="image184.jp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68</xdr:row>
      <xdr:rowOff>0</xdr:rowOff>
    </xdr:from>
    <xdr:ext cx="333375" cy="333375"/>
    <xdr:pic>
      <xdr:nvPicPr>
        <xdr:cNvPr id="0" name="image159.jpg"/>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69</xdr:row>
      <xdr:rowOff>0</xdr:rowOff>
    </xdr:from>
    <xdr:ext cx="333375" cy="333375"/>
    <xdr:pic>
      <xdr:nvPicPr>
        <xdr:cNvPr id="0" name="image131.jpg"/>
        <xdr:cNvPicPr preferRelativeResize="0"/>
      </xdr:nvPicPr>
      <xdr:blipFill>
        <a:blip cstate="print" r:embed="rId49"/>
        <a:stretch>
          <a:fillRect/>
        </a:stretch>
      </xdr:blipFill>
      <xdr:spPr>
        <a:prstGeom prst="rect">
          <a:avLst/>
        </a:prstGeom>
        <a:noFill/>
      </xdr:spPr>
    </xdr:pic>
    <xdr:clientData fLocksWithSheet="0"/>
  </xdr:oneCellAnchor>
  <xdr:oneCellAnchor>
    <xdr:from>
      <xdr:col>0</xdr:col>
      <xdr:colOff>0</xdr:colOff>
      <xdr:row>70</xdr:row>
      <xdr:rowOff>0</xdr:rowOff>
    </xdr:from>
    <xdr:ext cx="333375" cy="333375"/>
    <xdr:pic>
      <xdr:nvPicPr>
        <xdr:cNvPr id="0" name="image130.jpg"/>
        <xdr:cNvPicPr preferRelativeResize="0"/>
      </xdr:nvPicPr>
      <xdr:blipFill>
        <a:blip cstate="print" r:embed="rId50"/>
        <a:stretch>
          <a:fillRect/>
        </a:stretch>
      </xdr:blipFill>
      <xdr:spPr>
        <a:prstGeom prst="rect">
          <a:avLst/>
        </a:prstGeom>
        <a:noFill/>
      </xdr:spPr>
    </xdr:pic>
    <xdr:clientData fLocksWithSheet="0"/>
  </xdr:oneCellAnchor>
  <xdr:oneCellAnchor>
    <xdr:from>
      <xdr:col>0</xdr:col>
      <xdr:colOff>0</xdr:colOff>
      <xdr:row>71</xdr:row>
      <xdr:rowOff>0</xdr:rowOff>
    </xdr:from>
    <xdr:ext cx="333375" cy="333375"/>
    <xdr:pic>
      <xdr:nvPicPr>
        <xdr:cNvPr id="0" name="image138.jpg"/>
        <xdr:cNvPicPr preferRelativeResize="0"/>
      </xdr:nvPicPr>
      <xdr:blipFill>
        <a:blip cstate="print" r:embed="rId51"/>
        <a:stretch>
          <a:fillRect/>
        </a:stretch>
      </xdr:blipFill>
      <xdr:spPr>
        <a:prstGeom prst="rect">
          <a:avLst/>
        </a:prstGeom>
        <a:noFill/>
      </xdr:spPr>
    </xdr:pic>
    <xdr:clientData fLocksWithSheet="0"/>
  </xdr:oneCellAnchor>
  <xdr:oneCellAnchor>
    <xdr:from>
      <xdr:col>0</xdr:col>
      <xdr:colOff>0</xdr:colOff>
      <xdr:row>72</xdr:row>
      <xdr:rowOff>0</xdr:rowOff>
    </xdr:from>
    <xdr:ext cx="333375" cy="333375"/>
    <xdr:pic>
      <xdr:nvPicPr>
        <xdr:cNvPr id="0" name="image155.jpg"/>
        <xdr:cNvPicPr preferRelativeResize="0"/>
      </xdr:nvPicPr>
      <xdr:blipFill>
        <a:blip cstate="print" r:embed="rId52"/>
        <a:stretch>
          <a:fillRect/>
        </a:stretch>
      </xdr:blipFill>
      <xdr:spPr>
        <a:prstGeom prst="rect">
          <a:avLst/>
        </a:prstGeom>
        <a:noFill/>
      </xdr:spPr>
    </xdr:pic>
    <xdr:clientData fLocksWithSheet="0"/>
  </xdr:oneCellAnchor>
  <xdr:oneCellAnchor>
    <xdr:from>
      <xdr:col>0</xdr:col>
      <xdr:colOff>0</xdr:colOff>
      <xdr:row>73</xdr:row>
      <xdr:rowOff>0</xdr:rowOff>
    </xdr:from>
    <xdr:ext cx="333375" cy="333375"/>
    <xdr:pic>
      <xdr:nvPicPr>
        <xdr:cNvPr id="0" name="image139.jpg"/>
        <xdr:cNvPicPr preferRelativeResize="0"/>
      </xdr:nvPicPr>
      <xdr:blipFill>
        <a:blip cstate="print" r:embed="rId53"/>
        <a:stretch>
          <a:fillRect/>
        </a:stretch>
      </xdr:blipFill>
      <xdr:spPr>
        <a:prstGeom prst="rect">
          <a:avLst/>
        </a:prstGeom>
        <a:noFill/>
      </xdr:spPr>
    </xdr:pic>
    <xdr:clientData fLocksWithSheet="0"/>
  </xdr:oneCellAnchor>
  <xdr:oneCellAnchor>
    <xdr:from>
      <xdr:col>0</xdr:col>
      <xdr:colOff>0</xdr:colOff>
      <xdr:row>74</xdr:row>
      <xdr:rowOff>0</xdr:rowOff>
    </xdr:from>
    <xdr:ext cx="333375" cy="333375"/>
    <xdr:pic>
      <xdr:nvPicPr>
        <xdr:cNvPr id="0" name="image155.jpg"/>
        <xdr:cNvPicPr preferRelativeResize="0"/>
      </xdr:nvPicPr>
      <xdr:blipFill>
        <a:blip cstate="print" r:embed="rId52"/>
        <a:stretch>
          <a:fillRect/>
        </a:stretch>
      </xdr:blipFill>
      <xdr:spPr>
        <a:prstGeom prst="rect">
          <a:avLst/>
        </a:prstGeom>
        <a:noFill/>
      </xdr:spPr>
    </xdr:pic>
    <xdr:clientData fLocksWithSheet="0"/>
  </xdr:oneCellAnchor>
  <xdr:oneCellAnchor>
    <xdr:from>
      <xdr:col>0</xdr:col>
      <xdr:colOff>0</xdr:colOff>
      <xdr:row>75</xdr:row>
      <xdr:rowOff>0</xdr:rowOff>
    </xdr:from>
    <xdr:ext cx="333375" cy="333375"/>
    <xdr:pic>
      <xdr:nvPicPr>
        <xdr:cNvPr id="0" name="image139.jpg"/>
        <xdr:cNvPicPr preferRelativeResize="0"/>
      </xdr:nvPicPr>
      <xdr:blipFill>
        <a:blip cstate="print" r:embed="rId53"/>
        <a:stretch>
          <a:fillRect/>
        </a:stretch>
      </xdr:blipFill>
      <xdr:spPr>
        <a:prstGeom prst="rect">
          <a:avLst/>
        </a:prstGeom>
        <a:noFill/>
      </xdr:spPr>
    </xdr:pic>
    <xdr:clientData fLocksWithSheet="0"/>
  </xdr:oneCellAnchor>
  <xdr:oneCellAnchor>
    <xdr:from>
      <xdr:col>0</xdr:col>
      <xdr:colOff>0</xdr:colOff>
      <xdr:row>76</xdr:row>
      <xdr:rowOff>0</xdr:rowOff>
    </xdr:from>
    <xdr:ext cx="333375" cy="333375"/>
    <xdr:pic>
      <xdr:nvPicPr>
        <xdr:cNvPr id="0" name="image155.jpg"/>
        <xdr:cNvPicPr preferRelativeResize="0"/>
      </xdr:nvPicPr>
      <xdr:blipFill>
        <a:blip cstate="print" r:embed="rId52"/>
        <a:stretch>
          <a:fillRect/>
        </a:stretch>
      </xdr:blipFill>
      <xdr:spPr>
        <a:prstGeom prst="rect">
          <a:avLst/>
        </a:prstGeom>
        <a:noFill/>
      </xdr:spPr>
    </xdr:pic>
    <xdr:clientData fLocksWithSheet="0"/>
  </xdr:oneCellAnchor>
  <xdr:oneCellAnchor>
    <xdr:from>
      <xdr:col>0</xdr:col>
      <xdr:colOff>0</xdr:colOff>
      <xdr:row>77</xdr:row>
      <xdr:rowOff>0</xdr:rowOff>
    </xdr:from>
    <xdr:ext cx="333375" cy="333375"/>
    <xdr:pic>
      <xdr:nvPicPr>
        <xdr:cNvPr id="0" name="image150.jpg"/>
        <xdr:cNvPicPr preferRelativeResize="0"/>
      </xdr:nvPicPr>
      <xdr:blipFill>
        <a:blip cstate="print" r:embed="rId54"/>
        <a:stretch>
          <a:fillRect/>
        </a:stretch>
      </xdr:blipFill>
      <xdr:spPr>
        <a:prstGeom prst="rect">
          <a:avLst/>
        </a:prstGeom>
        <a:noFill/>
      </xdr:spPr>
    </xdr:pic>
    <xdr:clientData fLocksWithSheet="0"/>
  </xdr:oneCellAnchor>
  <xdr:oneCellAnchor>
    <xdr:from>
      <xdr:col>0</xdr:col>
      <xdr:colOff>0</xdr:colOff>
      <xdr:row>78</xdr:row>
      <xdr:rowOff>0</xdr:rowOff>
    </xdr:from>
    <xdr:ext cx="333375" cy="333375"/>
    <xdr:pic>
      <xdr:nvPicPr>
        <xdr:cNvPr id="0" name="image141.jpg"/>
        <xdr:cNvPicPr preferRelativeResize="0"/>
      </xdr:nvPicPr>
      <xdr:blipFill>
        <a:blip cstate="print" r:embed="rId55"/>
        <a:stretch>
          <a:fillRect/>
        </a:stretch>
      </xdr:blipFill>
      <xdr:spPr>
        <a:prstGeom prst="rect">
          <a:avLst/>
        </a:prstGeom>
        <a:noFill/>
      </xdr:spPr>
    </xdr:pic>
    <xdr:clientData fLocksWithSheet="0"/>
  </xdr:oneCellAnchor>
  <xdr:oneCellAnchor>
    <xdr:from>
      <xdr:col>0</xdr:col>
      <xdr:colOff>0</xdr:colOff>
      <xdr:row>79</xdr:row>
      <xdr:rowOff>0</xdr:rowOff>
    </xdr:from>
    <xdr:ext cx="333375" cy="333375"/>
    <xdr:pic>
      <xdr:nvPicPr>
        <xdr:cNvPr id="0" name="image146.jpg"/>
        <xdr:cNvPicPr preferRelativeResize="0"/>
      </xdr:nvPicPr>
      <xdr:blipFill>
        <a:blip cstate="print" r:embed="rId56"/>
        <a:stretch>
          <a:fillRect/>
        </a:stretch>
      </xdr:blipFill>
      <xdr:spPr>
        <a:prstGeom prst="rect">
          <a:avLst/>
        </a:prstGeom>
        <a:noFill/>
      </xdr:spPr>
    </xdr:pic>
    <xdr:clientData fLocksWithSheet="0"/>
  </xdr:oneCellAnchor>
  <xdr:oneCellAnchor>
    <xdr:from>
      <xdr:col>0</xdr:col>
      <xdr:colOff>0</xdr:colOff>
      <xdr:row>80</xdr:row>
      <xdr:rowOff>0</xdr:rowOff>
    </xdr:from>
    <xdr:ext cx="333375" cy="333375"/>
    <xdr:pic>
      <xdr:nvPicPr>
        <xdr:cNvPr id="0" name="image149.jpg"/>
        <xdr:cNvPicPr preferRelativeResize="0"/>
      </xdr:nvPicPr>
      <xdr:blipFill>
        <a:blip cstate="print" r:embed="rId57"/>
        <a:stretch>
          <a:fillRect/>
        </a:stretch>
      </xdr:blipFill>
      <xdr:spPr>
        <a:prstGeom prst="rect">
          <a:avLst/>
        </a:prstGeom>
        <a:noFill/>
      </xdr:spPr>
    </xdr:pic>
    <xdr:clientData fLocksWithSheet="0"/>
  </xdr:oneCellAnchor>
  <xdr:oneCellAnchor>
    <xdr:from>
      <xdr:col>0</xdr:col>
      <xdr:colOff>0</xdr:colOff>
      <xdr:row>81</xdr:row>
      <xdr:rowOff>0</xdr:rowOff>
    </xdr:from>
    <xdr:ext cx="333375" cy="333375"/>
    <xdr:pic>
      <xdr:nvPicPr>
        <xdr:cNvPr id="0" name="image148.jpg"/>
        <xdr:cNvPicPr preferRelativeResize="0"/>
      </xdr:nvPicPr>
      <xdr:blipFill>
        <a:blip cstate="print" r:embed="rId58"/>
        <a:stretch>
          <a:fillRect/>
        </a:stretch>
      </xdr:blipFill>
      <xdr:spPr>
        <a:prstGeom prst="rect">
          <a:avLst/>
        </a:prstGeom>
        <a:noFill/>
      </xdr:spPr>
    </xdr:pic>
    <xdr:clientData fLocksWithSheet="0"/>
  </xdr:oneCellAnchor>
  <xdr:oneCellAnchor>
    <xdr:from>
      <xdr:col>0</xdr:col>
      <xdr:colOff>0</xdr:colOff>
      <xdr:row>82</xdr:row>
      <xdr:rowOff>0</xdr:rowOff>
    </xdr:from>
    <xdr:ext cx="333375" cy="333375"/>
    <xdr:pic>
      <xdr:nvPicPr>
        <xdr:cNvPr id="0" name="image224.jpg"/>
        <xdr:cNvPicPr preferRelativeResize="0"/>
      </xdr:nvPicPr>
      <xdr:blipFill>
        <a:blip cstate="print" r:embed="rId59"/>
        <a:stretch>
          <a:fillRect/>
        </a:stretch>
      </xdr:blipFill>
      <xdr:spPr>
        <a:prstGeom prst="rect">
          <a:avLst/>
        </a:prstGeom>
        <a:noFill/>
      </xdr:spPr>
    </xdr:pic>
    <xdr:clientData fLocksWithSheet="0"/>
  </xdr:oneCellAnchor>
  <xdr:oneCellAnchor>
    <xdr:from>
      <xdr:col>0</xdr:col>
      <xdr:colOff>0</xdr:colOff>
      <xdr:row>83</xdr:row>
      <xdr:rowOff>0</xdr:rowOff>
    </xdr:from>
    <xdr:ext cx="333375" cy="333375"/>
    <xdr:pic>
      <xdr:nvPicPr>
        <xdr:cNvPr id="0" name="image224.jpg"/>
        <xdr:cNvPicPr preferRelativeResize="0"/>
      </xdr:nvPicPr>
      <xdr:blipFill>
        <a:blip cstate="print" r:embed="rId59"/>
        <a:stretch>
          <a:fillRect/>
        </a:stretch>
      </xdr:blipFill>
      <xdr:spPr>
        <a:prstGeom prst="rect">
          <a:avLst/>
        </a:prstGeom>
        <a:noFill/>
      </xdr:spPr>
    </xdr:pic>
    <xdr:clientData fLocksWithSheet="0"/>
  </xdr:oneCellAnchor>
  <xdr:oneCellAnchor>
    <xdr:from>
      <xdr:col>0</xdr:col>
      <xdr:colOff>0</xdr:colOff>
      <xdr:row>84</xdr:row>
      <xdr:rowOff>0</xdr:rowOff>
    </xdr:from>
    <xdr:ext cx="333375" cy="333375"/>
    <xdr:pic>
      <xdr:nvPicPr>
        <xdr:cNvPr id="0" name="image154.jpg"/>
        <xdr:cNvPicPr preferRelativeResize="0"/>
      </xdr:nvPicPr>
      <xdr:blipFill>
        <a:blip cstate="print" r:embed="rId60"/>
        <a:stretch>
          <a:fillRect/>
        </a:stretch>
      </xdr:blipFill>
      <xdr:spPr>
        <a:prstGeom prst="rect">
          <a:avLst/>
        </a:prstGeom>
        <a:noFill/>
      </xdr:spPr>
    </xdr:pic>
    <xdr:clientData fLocksWithSheet="0"/>
  </xdr:oneCellAnchor>
  <xdr:oneCellAnchor>
    <xdr:from>
      <xdr:col>0</xdr:col>
      <xdr:colOff>0</xdr:colOff>
      <xdr:row>85</xdr:row>
      <xdr:rowOff>0</xdr:rowOff>
    </xdr:from>
    <xdr:ext cx="333375" cy="333375"/>
    <xdr:pic>
      <xdr:nvPicPr>
        <xdr:cNvPr id="0" name="image191.jpg"/>
        <xdr:cNvPicPr preferRelativeResize="0"/>
      </xdr:nvPicPr>
      <xdr:blipFill>
        <a:blip cstate="print" r:embed="rId61"/>
        <a:stretch>
          <a:fillRect/>
        </a:stretch>
      </xdr:blipFill>
      <xdr:spPr>
        <a:prstGeom prst="rect">
          <a:avLst/>
        </a:prstGeom>
        <a:noFill/>
      </xdr:spPr>
    </xdr:pic>
    <xdr:clientData fLocksWithSheet="0"/>
  </xdr:oneCellAnchor>
  <xdr:oneCellAnchor>
    <xdr:from>
      <xdr:col>0</xdr:col>
      <xdr:colOff>0</xdr:colOff>
      <xdr:row>86</xdr:row>
      <xdr:rowOff>0</xdr:rowOff>
    </xdr:from>
    <xdr:ext cx="333375" cy="333375"/>
    <xdr:pic>
      <xdr:nvPicPr>
        <xdr:cNvPr id="0" name="image247.jpg"/>
        <xdr:cNvPicPr preferRelativeResize="0"/>
      </xdr:nvPicPr>
      <xdr:blipFill>
        <a:blip cstate="print" r:embed="rId62"/>
        <a:stretch>
          <a:fillRect/>
        </a:stretch>
      </xdr:blipFill>
      <xdr:spPr>
        <a:prstGeom prst="rect">
          <a:avLst/>
        </a:prstGeom>
        <a:noFill/>
      </xdr:spPr>
    </xdr:pic>
    <xdr:clientData fLocksWithSheet="0"/>
  </xdr:oneCellAnchor>
  <xdr:oneCellAnchor>
    <xdr:from>
      <xdr:col>0</xdr:col>
      <xdr:colOff>0</xdr:colOff>
      <xdr:row>87</xdr:row>
      <xdr:rowOff>0</xdr:rowOff>
    </xdr:from>
    <xdr:ext cx="333375" cy="333375"/>
    <xdr:pic>
      <xdr:nvPicPr>
        <xdr:cNvPr id="0" name="image247.jpg"/>
        <xdr:cNvPicPr preferRelativeResize="0"/>
      </xdr:nvPicPr>
      <xdr:blipFill>
        <a:blip cstate="print" r:embed="rId62"/>
        <a:stretch>
          <a:fillRect/>
        </a:stretch>
      </xdr:blipFill>
      <xdr:spPr>
        <a:prstGeom prst="rect">
          <a:avLst/>
        </a:prstGeom>
        <a:noFill/>
      </xdr:spPr>
    </xdr:pic>
    <xdr:clientData fLocksWithSheet="0"/>
  </xdr:oneCellAnchor>
  <xdr:oneCellAnchor>
    <xdr:from>
      <xdr:col>0</xdr:col>
      <xdr:colOff>0</xdr:colOff>
      <xdr:row>88</xdr:row>
      <xdr:rowOff>0</xdr:rowOff>
    </xdr:from>
    <xdr:ext cx="333375" cy="333375"/>
    <xdr:pic>
      <xdr:nvPicPr>
        <xdr:cNvPr id="0" name="image170.jpg"/>
        <xdr:cNvPicPr preferRelativeResize="0"/>
      </xdr:nvPicPr>
      <xdr:blipFill>
        <a:blip cstate="print" r:embed="rId63"/>
        <a:stretch>
          <a:fillRect/>
        </a:stretch>
      </xdr:blipFill>
      <xdr:spPr>
        <a:prstGeom prst="rect">
          <a:avLst/>
        </a:prstGeom>
        <a:noFill/>
      </xdr:spPr>
    </xdr:pic>
    <xdr:clientData fLocksWithSheet="0"/>
  </xdr:oneCellAnchor>
  <xdr:oneCellAnchor>
    <xdr:from>
      <xdr:col>0</xdr:col>
      <xdr:colOff>0</xdr:colOff>
      <xdr:row>89</xdr:row>
      <xdr:rowOff>0</xdr:rowOff>
    </xdr:from>
    <xdr:ext cx="333375" cy="333375"/>
    <xdr:pic>
      <xdr:nvPicPr>
        <xdr:cNvPr id="0" name="image170.jpg"/>
        <xdr:cNvPicPr preferRelativeResize="0"/>
      </xdr:nvPicPr>
      <xdr:blipFill>
        <a:blip cstate="print" r:embed="rId63"/>
        <a:stretch>
          <a:fillRect/>
        </a:stretch>
      </xdr:blipFill>
      <xdr:spPr>
        <a:prstGeom prst="rect">
          <a:avLst/>
        </a:prstGeom>
        <a:noFill/>
      </xdr:spPr>
    </xdr:pic>
    <xdr:clientData fLocksWithSheet="0"/>
  </xdr:oneCellAnchor>
  <xdr:oneCellAnchor>
    <xdr:from>
      <xdr:col>0</xdr:col>
      <xdr:colOff>0</xdr:colOff>
      <xdr:row>90</xdr:row>
      <xdr:rowOff>0</xdr:rowOff>
    </xdr:from>
    <xdr:ext cx="333375" cy="333375"/>
    <xdr:pic>
      <xdr:nvPicPr>
        <xdr:cNvPr id="0" name="image28.jpg"/>
        <xdr:cNvPicPr preferRelativeResize="0"/>
      </xdr:nvPicPr>
      <xdr:blipFill>
        <a:blip cstate="print" r:embed="rId64"/>
        <a:stretch>
          <a:fillRect/>
        </a:stretch>
      </xdr:blipFill>
      <xdr:spPr>
        <a:prstGeom prst="rect">
          <a:avLst/>
        </a:prstGeom>
        <a:noFill/>
      </xdr:spPr>
    </xdr:pic>
    <xdr:clientData fLocksWithSheet="0"/>
  </xdr:oneCellAnchor>
  <xdr:oneCellAnchor>
    <xdr:from>
      <xdr:col>0</xdr:col>
      <xdr:colOff>0</xdr:colOff>
      <xdr:row>91</xdr:row>
      <xdr:rowOff>0</xdr:rowOff>
    </xdr:from>
    <xdr:ext cx="333375" cy="333375"/>
    <xdr:pic>
      <xdr:nvPicPr>
        <xdr:cNvPr id="0" name="image151.jpg"/>
        <xdr:cNvPicPr preferRelativeResize="0"/>
      </xdr:nvPicPr>
      <xdr:blipFill>
        <a:blip cstate="print" r:embed="rId65"/>
        <a:stretch>
          <a:fillRect/>
        </a:stretch>
      </xdr:blipFill>
      <xdr:spPr>
        <a:prstGeom prst="rect">
          <a:avLst/>
        </a:prstGeom>
        <a:noFill/>
      </xdr:spPr>
    </xdr:pic>
    <xdr:clientData fLocksWithSheet="0"/>
  </xdr:oneCellAnchor>
  <xdr:oneCellAnchor>
    <xdr:from>
      <xdr:col>0</xdr:col>
      <xdr:colOff>0</xdr:colOff>
      <xdr:row>92</xdr:row>
      <xdr:rowOff>0</xdr:rowOff>
    </xdr:from>
    <xdr:ext cx="333375" cy="333375"/>
    <xdr:pic>
      <xdr:nvPicPr>
        <xdr:cNvPr id="0" name="image151.jpg"/>
        <xdr:cNvPicPr preferRelativeResize="0"/>
      </xdr:nvPicPr>
      <xdr:blipFill>
        <a:blip cstate="print" r:embed="rId65"/>
        <a:stretch>
          <a:fillRect/>
        </a:stretch>
      </xdr:blipFill>
      <xdr:spPr>
        <a:prstGeom prst="rect">
          <a:avLst/>
        </a:prstGeom>
        <a:noFill/>
      </xdr:spPr>
    </xdr:pic>
    <xdr:clientData fLocksWithSheet="0"/>
  </xdr:oneCellAnchor>
  <xdr:oneCellAnchor>
    <xdr:from>
      <xdr:col>0</xdr:col>
      <xdr:colOff>0</xdr:colOff>
      <xdr:row>93</xdr:row>
      <xdr:rowOff>0</xdr:rowOff>
    </xdr:from>
    <xdr:ext cx="333375" cy="333375"/>
    <xdr:pic>
      <xdr:nvPicPr>
        <xdr:cNvPr id="0" name="image167.jpg"/>
        <xdr:cNvPicPr preferRelativeResize="0"/>
      </xdr:nvPicPr>
      <xdr:blipFill>
        <a:blip cstate="print" r:embed="rId66"/>
        <a:stretch>
          <a:fillRect/>
        </a:stretch>
      </xdr:blipFill>
      <xdr:spPr>
        <a:prstGeom prst="rect">
          <a:avLst/>
        </a:prstGeom>
        <a:noFill/>
      </xdr:spPr>
    </xdr:pic>
    <xdr:clientData fLocksWithSheet="0"/>
  </xdr:oneCellAnchor>
  <xdr:oneCellAnchor>
    <xdr:from>
      <xdr:col>0</xdr:col>
      <xdr:colOff>0</xdr:colOff>
      <xdr:row>94</xdr:row>
      <xdr:rowOff>0</xdr:rowOff>
    </xdr:from>
    <xdr:ext cx="333375" cy="333375"/>
    <xdr:pic>
      <xdr:nvPicPr>
        <xdr:cNvPr id="0" name="image167.jpg"/>
        <xdr:cNvPicPr preferRelativeResize="0"/>
      </xdr:nvPicPr>
      <xdr:blipFill>
        <a:blip cstate="print" r:embed="rId66"/>
        <a:stretch>
          <a:fillRect/>
        </a:stretch>
      </xdr:blipFill>
      <xdr:spPr>
        <a:prstGeom prst="rect">
          <a:avLst/>
        </a:prstGeom>
        <a:noFill/>
      </xdr:spPr>
    </xdr:pic>
    <xdr:clientData fLocksWithSheet="0"/>
  </xdr:oneCellAnchor>
  <xdr:oneCellAnchor>
    <xdr:from>
      <xdr:col>0</xdr:col>
      <xdr:colOff>0</xdr:colOff>
      <xdr:row>95</xdr:row>
      <xdr:rowOff>0</xdr:rowOff>
    </xdr:from>
    <xdr:ext cx="333375" cy="333375"/>
    <xdr:pic>
      <xdr:nvPicPr>
        <xdr:cNvPr id="0" name="image152.jpg"/>
        <xdr:cNvPicPr preferRelativeResize="0"/>
      </xdr:nvPicPr>
      <xdr:blipFill>
        <a:blip cstate="print" r:embed="rId67"/>
        <a:stretch>
          <a:fillRect/>
        </a:stretch>
      </xdr:blipFill>
      <xdr:spPr>
        <a:prstGeom prst="rect">
          <a:avLst/>
        </a:prstGeom>
        <a:noFill/>
      </xdr:spPr>
    </xdr:pic>
    <xdr:clientData fLocksWithSheet="0"/>
  </xdr:oneCellAnchor>
  <xdr:oneCellAnchor>
    <xdr:from>
      <xdr:col>0</xdr:col>
      <xdr:colOff>0</xdr:colOff>
      <xdr:row>96</xdr:row>
      <xdr:rowOff>0</xdr:rowOff>
    </xdr:from>
    <xdr:ext cx="333375" cy="333375"/>
    <xdr:pic>
      <xdr:nvPicPr>
        <xdr:cNvPr id="0" name="image160.jpg"/>
        <xdr:cNvPicPr preferRelativeResize="0"/>
      </xdr:nvPicPr>
      <xdr:blipFill>
        <a:blip cstate="print" r:embed="rId68"/>
        <a:stretch>
          <a:fillRect/>
        </a:stretch>
      </xdr:blipFill>
      <xdr:spPr>
        <a:prstGeom prst="rect">
          <a:avLst/>
        </a:prstGeom>
        <a:noFill/>
      </xdr:spPr>
    </xdr:pic>
    <xdr:clientData fLocksWithSheet="0"/>
  </xdr:oneCellAnchor>
  <xdr:oneCellAnchor>
    <xdr:from>
      <xdr:col>0</xdr:col>
      <xdr:colOff>0</xdr:colOff>
      <xdr:row>97</xdr:row>
      <xdr:rowOff>0</xdr:rowOff>
    </xdr:from>
    <xdr:ext cx="333375" cy="333375"/>
    <xdr:pic>
      <xdr:nvPicPr>
        <xdr:cNvPr id="0" name="image161.jpg"/>
        <xdr:cNvPicPr preferRelativeResize="0"/>
      </xdr:nvPicPr>
      <xdr:blipFill>
        <a:blip cstate="print" r:embed="rId69"/>
        <a:stretch>
          <a:fillRect/>
        </a:stretch>
      </xdr:blipFill>
      <xdr:spPr>
        <a:prstGeom prst="rect">
          <a:avLst/>
        </a:prstGeom>
        <a:noFill/>
      </xdr:spPr>
    </xdr:pic>
    <xdr:clientData fLocksWithSheet="0"/>
  </xdr:oneCellAnchor>
  <xdr:oneCellAnchor>
    <xdr:from>
      <xdr:col>0</xdr:col>
      <xdr:colOff>0</xdr:colOff>
      <xdr:row>98</xdr:row>
      <xdr:rowOff>0</xdr:rowOff>
    </xdr:from>
    <xdr:ext cx="333375" cy="333375"/>
    <xdr:pic>
      <xdr:nvPicPr>
        <xdr:cNvPr id="0" name="image157.jpg"/>
        <xdr:cNvPicPr preferRelativeResize="0"/>
      </xdr:nvPicPr>
      <xdr:blipFill>
        <a:blip cstate="print" r:embed="rId70"/>
        <a:stretch>
          <a:fillRect/>
        </a:stretch>
      </xdr:blipFill>
      <xdr:spPr>
        <a:prstGeom prst="rect">
          <a:avLst/>
        </a:prstGeom>
        <a:noFill/>
      </xdr:spPr>
    </xdr:pic>
    <xdr:clientData fLocksWithSheet="0"/>
  </xdr:oneCellAnchor>
  <xdr:oneCellAnchor>
    <xdr:from>
      <xdr:col>0</xdr:col>
      <xdr:colOff>0</xdr:colOff>
      <xdr:row>99</xdr:row>
      <xdr:rowOff>0</xdr:rowOff>
    </xdr:from>
    <xdr:ext cx="333375" cy="333375"/>
    <xdr:pic>
      <xdr:nvPicPr>
        <xdr:cNvPr id="0" name="image157.jpg"/>
        <xdr:cNvPicPr preferRelativeResize="0"/>
      </xdr:nvPicPr>
      <xdr:blipFill>
        <a:blip cstate="print" r:embed="rId70"/>
        <a:stretch>
          <a:fillRect/>
        </a:stretch>
      </xdr:blipFill>
      <xdr:spPr>
        <a:prstGeom prst="rect">
          <a:avLst/>
        </a:prstGeom>
        <a:noFill/>
      </xdr:spPr>
    </xdr:pic>
    <xdr:clientData fLocksWithSheet="0"/>
  </xdr:oneCellAnchor>
  <xdr:oneCellAnchor>
    <xdr:from>
      <xdr:col>0</xdr:col>
      <xdr:colOff>0</xdr:colOff>
      <xdr:row>100</xdr:row>
      <xdr:rowOff>0</xdr:rowOff>
    </xdr:from>
    <xdr:ext cx="333375" cy="333375"/>
    <xdr:pic>
      <xdr:nvPicPr>
        <xdr:cNvPr id="0" name="image190.jpg"/>
        <xdr:cNvPicPr preferRelativeResize="0"/>
      </xdr:nvPicPr>
      <xdr:blipFill>
        <a:blip cstate="print" r:embed="rId71"/>
        <a:stretch>
          <a:fillRect/>
        </a:stretch>
      </xdr:blipFill>
      <xdr:spPr>
        <a:prstGeom prst="rect">
          <a:avLst/>
        </a:prstGeom>
        <a:noFill/>
      </xdr:spPr>
    </xdr:pic>
    <xdr:clientData fLocksWithSheet="0"/>
  </xdr:oneCellAnchor>
  <xdr:oneCellAnchor>
    <xdr:from>
      <xdr:col>0</xdr:col>
      <xdr:colOff>0</xdr:colOff>
      <xdr:row>101</xdr:row>
      <xdr:rowOff>0</xdr:rowOff>
    </xdr:from>
    <xdr:ext cx="333375" cy="333375"/>
    <xdr:pic>
      <xdr:nvPicPr>
        <xdr:cNvPr id="0" name="image173.jpg"/>
        <xdr:cNvPicPr preferRelativeResize="0"/>
      </xdr:nvPicPr>
      <xdr:blipFill>
        <a:blip cstate="print" r:embed="rId72"/>
        <a:stretch>
          <a:fillRect/>
        </a:stretch>
      </xdr:blipFill>
      <xdr:spPr>
        <a:prstGeom prst="rect">
          <a:avLst/>
        </a:prstGeom>
        <a:noFill/>
      </xdr:spPr>
    </xdr:pic>
    <xdr:clientData fLocksWithSheet="0"/>
  </xdr:oneCellAnchor>
  <xdr:oneCellAnchor>
    <xdr:from>
      <xdr:col>0</xdr:col>
      <xdr:colOff>0</xdr:colOff>
      <xdr:row>102</xdr:row>
      <xdr:rowOff>0</xdr:rowOff>
    </xdr:from>
    <xdr:ext cx="333375" cy="333375"/>
    <xdr:pic>
      <xdr:nvPicPr>
        <xdr:cNvPr id="0" name="image209.jpg"/>
        <xdr:cNvPicPr preferRelativeResize="0"/>
      </xdr:nvPicPr>
      <xdr:blipFill>
        <a:blip cstate="print" r:embed="rId73"/>
        <a:stretch>
          <a:fillRect/>
        </a:stretch>
      </xdr:blipFill>
      <xdr:spPr>
        <a:prstGeom prst="rect">
          <a:avLst/>
        </a:prstGeom>
        <a:noFill/>
      </xdr:spPr>
    </xdr:pic>
    <xdr:clientData fLocksWithSheet="0"/>
  </xdr:oneCellAnchor>
  <xdr:oneCellAnchor>
    <xdr:from>
      <xdr:col>0</xdr:col>
      <xdr:colOff>0</xdr:colOff>
      <xdr:row>103</xdr:row>
      <xdr:rowOff>0</xdr:rowOff>
    </xdr:from>
    <xdr:ext cx="333375" cy="333375"/>
    <xdr:pic>
      <xdr:nvPicPr>
        <xdr:cNvPr id="0" name="image166.jpg"/>
        <xdr:cNvPicPr preferRelativeResize="0"/>
      </xdr:nvPicPr>
      <xdr:blipFill>
        <a:blip cstate="print" r:embed="rId74"/>
        <a:stretch>
          <a:fillRect/>
        </a:stretch>
      </xdr:blipFill>
      <xdr:spPr>
        <a:prstGeom prst="rect">
          <a:avLst/>
        </a:prstGeom>
        <a:noFill/>
      </xdr:spPr>
    </xdr:pic>
    <xdr:clientData fLocksWithSheet="0"/>
  </xdr:oneCellAnchor>
  <xdr:oneCellAnchor>
    <xdr:from>
      <xdr:col>0</xdr:col>
      <xdr:colOff>0</xdr:colOff>
      <xdr:row>104</xdr:row>
      <xdr:rowOff>0</xdr:rowOff>
    </xdr:from>
    <xdr:ext cx="333375" cy="333375"/>
    <xdr:pic>
      <xdr:nvPicPr>
        <xdr:cNvPr id="0" name="image166.jpg"/>
        <xdr:cNvPicPr preferRelativeResize="0"/>
      </xdr:nvPicPr>
      <xdr:blipFill>
        <a:blip cstate="print" r:embed="rId74"/>
        <a:stretch>
          <a:fillRect/>
        </a:stretch>
      </xdr:blipFill>
      <xdr:spPr>
        <a:prstGeom prst="rect">
          <a:avLst/>
        </a:prstGeom>
        <a:noFill/>
      </xdr:spPr>
    </xdr:pic>
    <xdr:clientData fLocksWithSheet="0"/>
  </xdr:oneCellAnchor>
  <xdr:oneCellAnchor>
    <xdr:from>
      <xdr:col>0</xdr:col>
      <xdr:colOff>0</xdr:colOff>
      <xdr:row>105</xdr:row>
      <xdr:rowOff>0</xdr:rowOff>
    </xdr:from>
    <xdr:ext cx="333375" cy="333375"/>
    <xdr:pic>
      <xdr:nvPicPr>
        <xdr:cNvPr id="0" name="image166.jpg"/>
        <xdr:cNvPicPr preferRelativeResize="0"/>
      </xdr:nvPicPr>
      <xdr:blipFill>
        <a:blip cstate="print" r:embed="rId74"/>
        <a:stretch>
          <a:fillRect/>
        </a:stretch>
      </xdr:blipFill>
      <xdr:spPr>
        <a:prstGeom prst="rect">
          <a:avLst/>
        </a:prstGeom>
        <a:noFill/>
      </xdr:spPr>
    </xdr:pic>
    <xdr:clientData fLocksWithSheet="0"/>
  </xdr:oneCellAnchor>
  <xdr:oneCellAnchor>
    <xdr:from>
      <xdr:col>0</xdr:col>
      <xdr:colOff>0</xdr:colOff>
      <xdr:row>106</xdr:row>
      <xdr:rowOff>0</xdr:rowOff>
    </xdr:from>
    <xdr:ext cx="333375" cy="333375"/>
    <xdr:pic>
      <xdr:nvPicPr>
        <xdr:cNvPr id="0" name="image165.jpg"/>
        <xdr:cNvPicPr preferRelativeResize="0"/>
      </xdr:nvPicPr>
      <xdr:blipFill>
        <a:blip cstate="print" r:embed="rId75"/>
        <a:stretch>
          <a:fillRect/>
        </a:stretch>
      </xdr:blipFill>
      <xdr:spPr>
        <a:prstGeom prst="rect">
          <a:avLst/>
        </a:prstGeom>
        <a:noFill/>
      </xdr:spPr>
    </xdr:pic>
    <xdr:clientData fLocksWithSheet="0"/>
  </xdr:oneCellAnchor>
  <xdr:oneCellAnchor>
    <xdr:from>
      <xdr:col>0</xdr:col>
      <xdr:colOff>0</xdr:colOff>
      <xdr:row>107</xdr:row>
      <xdr:rowOff>0</xdr:rowOff>
    </xdr:from>
    <xdr:ext cx="333375" cy="333375"/>
    <xdr:pic>
      <xdr:nvPicPr>
        <xdr:cNvPr id="0" name="image162.jpg"/>
        <xdr:cNvPicPr preferRelativeResize="0"/>
      </xdr:nvPicPr>
      <xdr:blipFill>
        <a:blip cstate="print" r:embed="rId76"/>
        <a:stretch>
          <a:fillRect/>
        </a:stretch>
      </xdr:blipFill>
      <xdr:spPr>
        <a:prstGeom prst="rect">
          <a:avLst/>
        </a:prstGeom>
        <a:noFill/>
      </xdr:spPr>
    </xdr:pic>
    <xdr:clientData fLocksWithSheet="0"/>
  </xdr:oneCellAnchor>
  <xdr:oneCellAnchor>
    <xdr:from>
      <xdr:col>0</xdr:col>
      <xdr:colOff>0</xdr:colOff>
      <xdr:row>108</xdr:row>
      <xdr:rowOff>0</xdr:rowOff>
    </xdr:from>
    <xdr:ext cx="333375" cy="333375"/>
    <xdr:pic>
      <xdr:nvPicPr>
        <xdr:cNvPr id="0" name="image164.jpg"/>
        <xdr:cNvPicPr preferRelativeResize="0"/>
      </xdr:nvPicPr>
      <xdr:blipFill>
        <a:blip cstate="print" r:embed="rId77"/>
        <a:stretch>
          <a:fillRect/>
        </a:stretch>
      </xdr:blipFill>
      <xdr:spPr>
        <a:prstGeom prst="rect">
          <a:avLst/>
        </a:prstGeom>
        <a:noFill/>
      </xdr:spPr>
    </xdr:pic>
    <xdr:clientData fLocksWithSheet="0"/>
  </xdr:oneCellAnchor>
  <xdr:oneCellAnchor>
    <xdr:from>
      <xdr:col>0</xdr:col>
      <xdr:colOff>0</xdr:colOff>
      <xdr:row>109</xdr:row>
      <xdr:rowOff>0</xdr:rowOff>
    </xdr:from>
    <xdr:ext cx="333375" cy="333375"/>
    <xdr:pic>
      <xdr:nvPicPr>
        <xdr:cNvPr id="0" name="image164.jpg"/>
        <xdr:cNvPicPr preferRelativeResize="0"/>
      </xdr:nvPicPr>
      <xdr:blipFill>
        <a:blip cstate="print" r:embed="rId77"/>
        <a:stretch>
          <a:fillRect/>
        </a:stretch>
      </xdr:blipFill>
      <xdr:spPr>
        <a:prstGeom prst="rect">
          <a:avLst/>
        </a:prstGeom>
        <a:noFill/>
      </xdr:spPr>
    </xdr:pic>
    <xdr:clientData fLocksWithSheet="0"/>
  </xdr:oneCellAnchor>
  <xdr:oneCellAnchor>
    <xdr:from>
      <xdr:col>0</xdr:col>
      <xdr:colOff>0</xdr:colOff>
      <xdr:row>110</xdr:row>
      <xdr:rowOff>0</xdr:rowOff>
    </xdr:from>
    <xdr:ext cx="333375" cy="333375"/>
    <xdr:pic>
      <xdr:nvPicPr>
        <xdr:cNvPr id="0" name="image164.jpg"/>
        <xdr:cNvPicPr preferRelativeResize="0"/>
      </xdr:nvPicPr>
      <xdr:blipFill>
        <a:blip cstate="print" r:embed="rId77"/>
        <a:stretch>
          <a:fillRect/>
        </a:stretch>
      </xdr:blipFill>
      <xdr:spPr>
        <a:prstGeom prst="rect">
          <a:avLst/>
        </a:prstGeom>
        <a:noFill/>
      </xdr:spPr>
    </xdr:pic>
    <xdr:clientData fLocksWithSheet="0"/>
  </xdr:oneCellAnchor>
  <xdr:oneCellAnchor>
    <xdr:from>
      <xdr:col>0</xdr:col>
      <xdr:colOff>0</xdr:colOff>
      <xdr:row>111</xdr:row>
      <xdr:rowOff>0</xdr:rowOff>
    </xdr:from>
    <xdr:ext cx="333375" cy="333375"/>
    <xdr:pic>
      <xdr:nvPicPr>
        <xdr:cNvPr id="0" name="image172.jpg"/>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112</xdr:row>
      <xdr:rowOff>0</xdr:rowOff>
    </xdr:from>
    <xdr:ext cx="333375" cy="333375"/>
    <xdr:pic>
      <xdr:nvPicPr>
        <xdr:cNvPr id="0" name="image172.jpg"/>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113</xdr:row>
      <xdr:rowOff>0</xdr:rowOff>
    </xdr:from>
    <xdr:ext cx="333375" cy="333375"/>
    <xdr:pic>
      <xdr:nvPicPr>
        <xdr:cNvPr id="0" name="image172.jpg"/>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114</xdr:row>
      <xdr:rowOff>0</xdr:rowOff>
    </xdr:from>
    <xdr:ext cx="333375" cy="333375"/>
    <xdr:pic>
      <xdr:nvPicPr>
        <xdr:cNvPr id="0" name="image163.jpg"/>
        <xdr:cNvPicPr preferRelativeResize="0"/>
      </xdr:nvPicPr>
      <xdr:blipFill>
        <a:blip cstate="print" r:embed="rId79"/>
        <a:stretch>
          <a:fillRect/>
        </a:stretch>
      </xdr:blipFill>
      <xdr:spPr>
        <a:prstGeom prst="rect">
          <a:avLst/>
        </a:prstGeom>
        <a:noFill/>
      </xdr:spPr>
    </xdr:pic>
    <xdr:clientData fLocksWithSheet="0"/>
  </xdr:oneCellAnchor>
  <xdr:oneCellAnchor>
    <xdr:from>
      <xdr:col>0</xdr:col>
      <xdr:colOff>0</xdr:colOff>
      <xdr:row>115</xdr:row>
      <xdr:rowOff>0</xdr:rowOff>
    </xdr:from>
    <xdr:ext cx="333375" cy="333375"/>
    <xdr:pic>
      <xdr:nvPicPr>
        <xdr:cNvPr id="0" name="image163.jpg"/>
        <xdr:cNvPicPr preferRelativeResize="0"/>
      </xdr:nvPicPr>
      <xdr:blipFill>
        <a:blip cstate="print" r:embed="rId79"/>
        <a:stretch>
          <a:fillRect/>
        </a:stretch>
      </xdr:blipFill>
      <xdr:spPr>
        <a:prstGeom prst="rect">
          <a:avLst/>
        </a:prstGeom>
        <a:noFill/>
      </xdr:spPr>
    </xdr:pic>
    <xdr:clientData fLocksWithSheet="0"/>
  </xdr:oneCellAnchor>
  <xdr:oneCellAnchor>
    <xdr:from>
      <xdr:col>0</xdr:col>
      <xdr:colOff>0</xdr:colOff>
      <xdr:row>116</xdr:row>
      <xdr:rowOff>0</xdr:rowOff>
    </xdr:from>
    <xdr:ext cx="333375" cy="333375"/>
    <xdr:pic>
      <xdr:nvPicPr>
        <xdr:cNvPr id="0" name="image163.jpg"/>
        <xdr:cNvPicPr preferRelativeResize="0"/>
      </xdr:nvPicPr>
      <xdr:blipFill>
        <a:blip cstate="print" r:embed="rId79"/>
        <a:stretch>
          <a:fillRect/>
        </a:stretch>
      </xdr:blipFill>
      <xdr:spPr>
        <a:prstGeom prst="rect">
          <a:avLst/>
        </a:prstGeom>
        <a:noFill/>
      </xdr:spPr>
    </xdr:pic>
    <xdr:clientData fLocksWithSheet="0"/>
  </xdr:oneCellAnchor>
  <xdr:oneCellAnchor>
    <xdr:from>
      <xdr:col>0</xdr:col>
      <xdr:colOff>0</xdr:colOff>
      <xdr:row>117</xdr:row>
      <xdr:rowOff>0</xdr:rowOff>
    </xdr:from>
    <xdr:ext cx="333375" cy="333375"/>
    <xdr:pic>
      <xdr:nvPicPr>
        <xdr:cNvPr id="0" name="image171.jpg"/>
        <xdr:cNvPicPr preferRelativeResize="0"/>
      </xdr:nvPicPr>
      <xdr:blipFill>
        <a:blip cstate="print" r:embed="rId80"/>
        <a:stretch>
          <a:fillRect/>
        </a:stretch>
      </xdr:blipFill>
      <xdr:spPr>
        <a:prstGeom prst="rect">
          <a:avLst/>
        </a:prstGeom>
        <a:noFill/>
      </xdr:spPr>
    </xdr:pic>
    <xdr:clientData fLocksWithSheet="0"/>
  </xdr:oneCellAnchor>
  <xdr:oneCellAnchor>
    <xdr:from>
      <xdr:col>0</xdr:col>
      <xdr:colOff>0</xdr:colOff>
      <xdr:row>118</xdr:row>
      <xdr:rowOff>0</xdr:rowOff>
    </xdr:from>
    <xdr:ext cx="333375" cy="333375"/>
    <xdr:pic>
      <xdr:nvPicPr>
        <xdr:cNvPr id="0" name="image295.jpg"/>
        <xdr:cNvPicPr preferRelativeResize="0"/>
      </xdr:nvPicPr>
      <xdr:blipFill>
        <a:blip cstate="print" r:embed="rId81"/>
        <a:stretch>
          <a:fillRect/>
        </a:stretch>
      </xdr:blipFill>
      <xdr:spPr>
        <a:prstGeom prst="rect">
          <a:avLst/>
        </a:prstGeom>
        <a:noFill/>
      </xdr:spPr>
    </xdr:pic>
    <xdr:clientData fLocksWithSheet="0"/>
  </xdr:oneCellAnchor>
  <xdr:oneCellAnchor>
    <xdr:from>
      <xdr:col>0</xdr:col>
      <xdr:colOff>0</xdr:colOff>
      <xdr:row>119</xdr:row>
      <xdr:rowOff>0</xdr:rowOff>
    </xdr:from>
    <xdr:ext cx="333375" cy="333375"/>
    <xdr:pic>
      <xdr:nvPicPr>
        <xdr:cNvPr id="0" name="image169.jpg"/>
        <xdr:cNvPicPr preferRelativeResize="0"/>
      </xdr:nvPicPr>
      <xdr:blipFill>
        <a:blip cstate="print" r:embed="rId82"/>
        <a:stretch>
          <a:fillRect/>
        </a:stretch>
      </xdr:blipFill>
      <xdr:spPr>
        <a:prstGeom prst="rect">
          <a:avLst/>
        </a:prstGeom>
        <a:noFill/>
      </xdr:spPr>
    </xdr:pic>
    <xdr:clientData fLocksWithSheet="0"/>
  </xdr:oneCellAnchor>
  <xdr:oneCellAnchor>
    <xdr:from>
      <xdr:col>0</xdr:col>
      <xdr:colOff>0</xdr:colOff>
      <xdr:row>120</xdr:row>
      <xdr:rowOff>0</xdr:rowOff>
    </xdr:from>
    <xdr:ext cx="333375" cy="333375"/>
    <xdr:pic>
      <xdr:nvPicPr>
        <xdr:cNvPr id="0" name="image217.jp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121</xdr:row>
      <xdr:rowOff>0</xdr:rowOff>
    </xdr:from>
    <xdr:ext cx="333375" cy="333375"/>
    <xdr:pic>
      <xdr:nvPicPr>
        <xdr:cNvPr id="0" name="image168.jpg"/>
        <xdr:cNvPicPr preferRelativeResize="0"/>
      </xdr:nvPicPr>
      <xdr:blipFill>
        <a:blip cstate="print" r:embed="rId84"/>
        <a:stretch>
          <a:fillRect/>
        </a:stretch>
      </xdr:blipFill>
      <xdr:spPr>
        <a:prstGeom prst="rect">
          <a:avLst/>
        </a:prstGeom>
        <a:noFill/>
      </xdr:spPr>
    </xdr:pic>
    <xdr:clientData fLocksWithSheet="0"/>
  </xdr:oneCellAnchor>
  <xdr:oneCellAnchor>
    <xdr:from>
      <xdr:col>0</xdr:col>
      <xdr:colOff>0</xdr:colOff>
      <xdr:row>122</xdr:row>
      <xdr:rowOff>0</xdr:rowOff>
    </xdr:from>
    <xdr:ext cx="333375" cy="333375"/>
    <xdr:pic>
      <xdr:nvPicPr>
        <xdr:cNvPr id="0" name="image168.jpg"/>
        <xdr:cNvPicPr preferRelativeResize="0"/>
      </xdr:nvPicPr>
      <xdr:blipFill>
        <a:blip cstate="print" r:embed="rId84"/>
        <a:stretch>
          <a:fillRect/>
        </a:stretch>
      </xdr:blipFill>
      <xdr:spPr>
        <a:prstGeom prst="rect">
          <a:avLst/>
        </a:prstGeom>
        <a:noFill/>
      </xdr:spPr>
    </xdr:pic>
    <xdr:clientData fLocksWithSheet="0"/>
  </xdr:oneCellAnchor>
  <xdr:oneCellAnchor>
    <xdr:from>
      <xdr:col>0</xdr:col>
      <xdr:colOff>0</xdr:colOff>
      <xdr:row>123</xdr:row>
      <xdr:rowOff>0</xdr:rowOff>
    </xdr:from>
    <xdr:ext cx="333375" cy="333375"/>
    <xdr:pic>
      <xdr:nvPicPr>
        <xdr:cNvPr id="0" name="image168.jpg"/>
        <xdr:cNvPicPr preferRelativeResize="0"/>
      </xdr:nvPicPr>
      <xdr:blipFill>
        <a:blip cstate="print" r:embed="rId84"/>
        <a:stretch>
          <a:fillRect/>
        </a:stretch>
      </xdr:blipFill>
      <xdr:spPr>
        <a:prstGeom prst="rect">
          <a:avLst/>
        </a:prstGeom>
        <a:noFill/>
      </xdr:spPr>
    </xdr:pic>
    <xdr:clientData fLocksWithSheet="0"/>
  </xdr:oneCellAnchor>
  <xdr:oneCellAnchor>
    <xdr:from>
      <xdr:col>0</xdr:col>
      <xdr:colOff>0</xdr:colOff>
      <xdr:row>124</xdr:row>
      <xdr:rowOff>0</xdr:rowOff>
    </xdr:from>
    <xdr:ext cx="333375" cy="333375"/>
    <xdr:pic>
      <xdr:nvPicPr>
        <xdr:cNvPr id="0" name="image179.jpg"/>
        <xdr:cNvPicPr preferRelativeResize="0"/>
      </xdr:nvPicPr>
      <xdr:blipFill>
        <a:blip cstate="print" r:embed="rId85"/>
        <a:stretch>
          <a:fillRect/>
        </a:stretch>
      </xdr:blipFill>
      <xdr:spPr>
        <a:prstGeom prst="rect">
          <a:avLst/>
        </a:prstGeom>
        <a:noFill/>
      </xdr:spPr>
    </xdr:pic>
    <xdr:clientData fLocksWithSheet="0"/>
  </xdr:oneCellAnchor>
  <xdr:oneCellAnchor>
    <xdr:from>
      <xdr:col>0</xdr:col>
      <xdr:colOff>0</xdr:colOff>
      <xdr:row>125</xdr:row>
      <xdr:rowOff>0</xdr:rowOff>
    </xdr:from>
    <xdr:ext cx="333375" cy="333375"/>
    <xdr:pic>
      <xdr:nvPicPr>
        <xdr:cNvPr id="0" name="image179.jpg"/>
        <xdr:cNvPicPr preferRelativeResize="0"/>
      </xdr:nvPicPr>
      <xdr:blipFill>
        <a:blip cstate="print" r:embed="rId85"/>
        <a:stretch>
          <a:fillRect/>
        </a:stretch>
      </xdr:blipFill>
      <xdr:spPr>
        <a:prstGeom prst="rect">
          <a:avLst/>
        </a:prstGeom>
        <a:noFill/>
      </xdr:spPr>
    </xdr:pic>
    <xdr:clientData fLocksWithSheet="0"/>
  </xdr:oneCellAnchor>
  <xdr:oneCellAnchor>
    <xdr:from>
      <xdr:col>0</xdr:col>
      <xdr:colOff>0</xdr:colOff>
      <xdr:row>126</xdr:row>
      <xdr:rowOff>0</xdr:rowOff>
    </xdr:from>
    <xdr:ext cx="333375" cy="333375"/>
    <xdr:pic>
      <xdr:nvPicPr>
        <xdr:cNvPr id="0" name="image179.jpg"/>
        <xdr:cNvPicPr preferRelativeResize="0"/>
      </xdr:nvPicPr>
      <xdr:blipFill>
        <a:blip cstate="print" r:embed="rId85"/>
        <a:stretch>
          <a:fillRect/>
        </a:stretch>
      </xdr:blipFill>
      <xdr:spPr>
        <a:prstGeom prst="rect">
          <a:avLst/>
        </a:prstGeom>
        <a:noFill/>
      </xdr:spPr>
    </xdr:pic>
    <xdr:clientData fLocksWithSheet="0"/>
  </xdr:oneCellAnchor>
  <xdr:oneCellAnchor>
    <xdr:from>
      <xdr:col>0</xdr:col>
      <xdr:colOff>0</xdr:colOff>
      <xdr:row>127</xdr:row>
      <xdr:rowOff>0</xdr:rowOff>
    </xdr:from>
    <xdr:ext cx="333375" cy="333375"/>
    <xdr:pic>
      <xdr:nvPicPr>
        <xdr:cNvPr id="0" name="image330.jp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128</xdr:row>
      <xdr:rowOff>0</xdr:rowOff>
    </xdr:from>
    <xdr:ext cx="333375" cy="333375"/>
    <xdr:pic>
      <xdr:nvPicPr>
        <xdr:cNvPr id="0" name="image330.jp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129</xdr:row>
      <xdr:rowOff>0</xdr:rowOff>
    </xdr:from>
    <xdr:ext cx="333375" cy="333375"/>
    <xdr:pic>
      <xdr:nvPicPr>
        <xdr:cNvPr id="0" name="image330.jp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130</xdr:row>
      <xdr:rowOff>0</xdr:rowOff>
    </xdr:from>
    <xdr:ext cx="333375" cy="333375"/>
    <xdr:pic>
      <xdr:nvPicPr>
        <xdr:cNvPr id="0" name="image174.jpg"/>
        <xdr:cNvPicPr preferRelativeResize="0"/>
      </xdr:nvPicPr>
      <xdr:blipFill>
        <a:blip cstate="print" r:embed="rId87"/>
        <a:stretch>
          <a:fillRect/>
        </a:stretch>
      </xdr:blipFill>
      <xdr:spPr>
        <a:prstGeom prst="rect">
          <a:avLst/>
        </a:prstGeom>
        <a:noFill/>
      </xdr:spPr>
    </xdr:pic>
    <xdr:clientData fLocksWithSheet="0"/>
  </xdr:oneCellAnchor>
  <xdr:oneCellAnchor>
    <xdr:from>
      <xdr:col>0</xdr:col>
      <xdr:colOff>0</xdr:colOff>
      <xdr:row>131</xdr:row>
      <xdr:rowOff>0</xdr:rowOff>
    </xdr:from>
    <xdr:ext cx="333375" cy="333375"/>
    <xdr:pic>
      <xdr:nvPicPr>
        <xdr:cNvPr id="0" name="image180.jpg"/>
        <xdr:cNvPicPr preferRelativeResize="0"/>
      </xdr:nvPicPr>
      <xdr:blipFill>
        <a:blip cstate="print" r:embed="rId88"/>
        <a:stretch>
          <a:fillRect/>
        </a:stretch>
      </xdr:blipFill>
      <xdr:spPr>
        <a:prstGeom prst="rect">
          <a:avLst/>
        </a:prstGeom>
        <a:noFill/>
      </xdr:spPr>
    </xdr:pic>
    <xdr:clientData fLocksWithSheet="0"/>
  </xdr:oneCellAnchor>
  <xdr:oneCellAnchor>
    <xdr:from>
      <xdr:col>0</xdr:col>
      <xdr:colOff>0</xdr:colOff>
      <xdr:row>132</xdr:row>
      <xdr:rowOff>0</xdr:rowOff>
    </xdr:from>
    <xdr:ext cx="333375" cy="333375"/>
    <xdr:pic>
      <xdr:nvPicPr>
        <xdr:cNvPr id="0" name="image176.jpg"/>
        <xdr:cNvPicPr preferRelativeResize="0"/>
      </xdr:nvPicPr>
      <xdr:blipFill>
        <a:blip cstate="print" r:embed="rId89"/>
        <a:stretch>
          <a:fillRect/>
        </a:stretch>
      </xdr:blipFill>
      <xdr:spPr>
        <a:prstGeom prst="rect">
          <a:avLst/>
        </a:prstGeom>
        <a:noFill/>
      </xdr:spPr>
    </xdr:pic>
    <xdr:clientData fLocksWithSheet="0"/>
  </xdr:oneCellAnchor>
  <xdr:oneCellAnchor>
    <xdr:from>
      <xdr:col>0</xdr:col>
      <xdr:colOff>0</xdr:colOff>
      <xdr:row>133</xdr:row>
      <xdr:rowOff>0</xdr:rowOff>
    </xdr:from>
    <xdr:ext cx="333375" cy="333375"/>
    <xdr:pic>
      <xdr:nvPicPr>
        <xdr:cNvPr id="0" name="image176.jpg"/>
        <xdr:cNvPicPr preferRelativeResize="0"/>
      </xdr:nvPicPr>
      <xdr:blipFill>
        <a:blip cstate="print" r:embed="rId89"/>
        <a:stretch>
          <a:fillRect/>
        </a:stretch>
      </xdr:blipFill>
      <xdr:spPr>
        <a:prstGeom prst="rect">
          <a:avLst/>
        </a:prstGeom>
        <a:noFill/>
      </xdr:spPr>
    </xdr:pic>
    <xdr:clientData fLocksWithSheet="0"/>
  </xdr:oneCellAnchor>
  <xdr:oneCellAnchor>
    <xdr:from>
      <xdr:col>0</xdr:col>
      <xdr:colOff>0</xdr:colOff>
      <xdr:row>134</xdr:row>
      <xdr:rowOff>0</xdr:rowOff>
    </xdr:from>
    <xdr:ext cx="333375" cy="333375"/>
    <xdr:pic>
      <xdr:nvPicPr>
        <xdr:cNvPr id="0" name="image176.jpg"/>
        <xdr:cNvPicPr preferRelativeResize="0"/>
      </xdr:nvPicPr>
      <xdr:blipFill>
        <a:blip cstate="print" r:embed="rId89"/>
        <a:stretch>
          <a:fillRect/>
        </a:stretch>
      </xdr:blipFill>
      <xdr:spPr>
        <a:prstGeom prst="rect">
          <a:avLst/>
        </a:prstGeom>
        <a:noFill/>
      </xdr:spPr>
    </xdr:pic>
    <xdr:clientData fLocksWithSheet="0"/>
  </xdr:oneCellAnchor>
  <xdr:oneCellAnchor>
    <xdr:from>
      <xdr:col>0</xdr:col>
      <xdr:colOff>0</xdr:colOff>
      <xdr:row>135</xdr:row>
      <xdr:rowOff>0</xdr:rowOff>
    </xdr:from>
    <xdr:ext cx="333375" cy="333375"/>
    <xdr:pic>
      <xdr:nvPicPr>
        <xdr:cNvPr id="0" name="image236.jpg"/>
        <xdr:cNvPicPr preferRelativeResize="0"/>
      </xdr:nvPicPr>
      <xdr:blipFill>
        <a:blip cstate="print" r:embed="rId90"/>
        <a:stretch>
          <a:fillRect/>
        </a:stretch>
      </xdr:blipFill>
      <xdr:spPr>
        <a:prstGeom prst="rect">
          <a:avLst/>
        </a:prstGeom>
        <a:noFill/>
      </xdr:spPr>
    </xdr:pic>
    <xdr:clientData fLocksWithSheet="0"/>
  </xdr:oneCellAnchor>
  <xdr:oneCellAnchor>
    <xdr:from>
      <xdr:col>0</xdr:col>
      <xdr:colOff>0</xdr:colOff>
      <xdr:row>136</xdr:row>
      <xdr:rowOff>0</xdr:rowOff>
    </xdr:from>
    <xdr:ext cx="333375" cy="333375"/>
    <xdr:pic>
      <xdr:nvPicPr>
        <xdr:cNvPr id="0" name="image236.jpg"/>
        <xdr:cNvPicPr preferRelativeResize="0"/>
      </xdr:nvPicPr>
      <xdr:blipFill>
        <a:blip cstate="print" r:embed="rId90"/>
        <a:stretch>
          <a:fillRect/>
        </a:stretch>
      </xdr:blipFill>
      <xdr:spPr>
        <a:prstGeom prst="rect">
          <a:avLst/>
        </a:prstGeom>
        <a:noFill/>
      </xdr:spPr>
    </xdr:pic>
    <xdr:clientData fLocksWithSheet="0"/>
  </xdr:oneCellAnchor>
  <xdr:oneCellAnchor>
    <xdr:from>
      <xdr:col>0</xdr:col>
      <xdr:colOff>0</xdr:colOff>
      <xdr:row>137</xdr:row>
      <xdr:rowOff>0</xdr:rowOff>
    </xdr:from>
    <xdr:ext cx="333375" cy="333375"/>
    <xdr:pic>
      <xdr:nvPicPr>
        <xdr:cNvPr id="0" name="image175.jpg"/>
        <xdr:cNvPicPr preferRelativeResize="0"/>
      </xdr:nvPicPr>
      <xdr:blipFill>
        <a:blip cstate="print" r:embed="rId91"/>
        <a:stretch>
          <a:fillRect/>
        </a:stretch>
      </xdr:blipFill>
      <xdr:spPr>
        <a:prstGeom prst="rect">
          <a:avLst/>
        </a:prstGeom>
        <a:noFill/>
      </xdr:spPr>
    </xdr:pic>
    <xdr:clientData fLocksWithSheet="0"/>
  </xdr:oneCellAnchor>
  <xdr:oneCellAnchor>
    <xdr:from>
      <xdr:col>0</xdr:col>
      <xdr:colOff>0</xdr:colOff>
      <xdr:row>138</xdr:row>
      <xdr:rowOff>0</xdr:rowOff>
    </xdr:from>
    <xdr:ext cx="333375" cy="333375"/>
    <xdr:pic>
      <xdr:nvPicPr>
        <xdr:cNvPr id="0" name="image178.jpg"/>
        <xdr:cNvPicPr preferRelativeResize="0"/>
      </xdr:nvPicPr>
      <xdr:blipFill>
        <a:blip cstate="print" r:embed="rId92"/>
        <a:stretch>
          <a:fillRect/>
        </a:stretch>
      </xdr:blipFill>
      <xdr:spPr>
        <a:prstGeom prst="rect">
          <a:avLst/>
        </a:prstGeom>
        <a:noFill/>
      </xdr:spPr>
    </xdr:pic>
    <xdr:clientData fLocksWithSheet="0"/>
  </xdr:oneCellAnchor>
  <xdr:oneCellAnchor>
    <xdr:from>
      <xdr:col>0</xdr:col>
      <xdr:colOff>0</xdr:colOff>
      <xdr:row>139</xdr:row>
      <xdr:rowOff>0</xdr:rowOff>
    </xdr:from>
    <xdr:ext cx="333375" cy="333375"/>
    <xdr:pic>
      <xdr:nvPicPr>
        <xdr:cNvPr id="0" name="image177.png"/>
        <xdr:cNvPicPr preferRelativeResize="0"/>
      </xdr:nvPicPr>
      <xdr:blipFill>
        <a:blip cstate="print" r:embed="rId93"/>
        <a:stretch>
          <a:fillRect/>
        </a:stretch>
      </xdr:blipFill>
      <xdr:spPr>
        <a:prstGeom prst="rect">
          <a:avLst/>
        </a:prstGeom>
        <a:noFill/>
      </xdr:spPr>
    </xdr:pic>
    <xdr:clientData fLocksWithSheet="0"/>
  </xdr:oneCellAnchor>
  <xdr:oneCellAnchor>
    <xdr:from>
      <xdr:col>0</xdr:col>
      <xdr:colOff>0</xdr:colOff>
      <xdr:row>140</xdr:row>
      <xdr:rowOff>0</xdr:rowOff>
    </xdr:from>
    <xdr:ext cx="333375" cy="333375"/>
    <xdr:pic>
      <xdr:nvPicPr>
        <xdr:cNvPr id="0" name="image181.jpg"/>
        <xdr:cNvPicPr preferRelativeResize="0"/>
      </xdr:nvPicPr>
      <xdr:blipFill>
        <a:blip cstate="print" r:embed="rId94"/>
        <a:stretch>
          <a:fillRect/>
        </a:stretch>
      </xdr:blipFill>
      <xdr:spPr>
        <a:prstGeom prst="rect">
          <a:avLst/>
        </a:prstGeom>
        <a:noFill/>
      </xdr:spPr>
    </xdr:pic>
    <xdr:clientData fLocksWithSheet="0"/>
  </xdr:oneCellAnchor>
  <xdr:oneCellAnchor>
    <xdr:from>
      <xdr:col>0</xdr:col>
      <xdr:colOff>0</xdr:colOff>
      <xdr:row>141</xdr:row>
      <xdr:rowOff>0</xdr:rowOff>
    </xdr:from>
    <xdr:ext cx="333375" cy="333375"/>
    <xdr:pic>
      <xdr:nvPicPr>
        <xdr:cNvPr id="0" name="image218.jpg"/>
        <xdr:cNvPicPr preferRelativeResize="0"/>
      </xdr:nvPicPr>
      <xdr:blipFill>
        <a:blip cstate="print" r:embed="rId95"/>
        <a:stretch>
          <a:fillRect/>
        </a:stretch>
      </xdr:blipFill>
      <xdr:spPr>
        <a:prstGeom prst="rect">
          <a:avLst/>
        </a:prstGeom>
        <a:noFill/>
      </xdr:spPr>
    </xdr:pic>
    <xdr:clientData fLocksWithSheet="0"/>
  </xdr:oneCellAnchor>
  <xdr:oneCellAnchor>
    <xdr:from>
      <xdr:col>0</xdr:col>
      <xdr:colOff>0</xdr:colOff>
      <xdr:row>142</xdr:row>
      <xdr:rowOff>0</xdr:rowOff>
    </xdr:from>
    <xdr:ext cx="333375" cy="333375"/>
    <xdr:pic>
      <xdr:nvPicPr>
        <xdr:cNvPr id="0" name="image195.jpg"/>
        <xdr:cNvPicPr preferRelativeResize="0"/>
      </xdr:nvPicPr>
      <xdr:blipFill>
        <a:blip cstate="print" r:embed="rId96"/>
        <a:stretch>
          <a:fillRect/>
        </a:stretch>
      </xdr:blipFill>
      <xdr:spPr>
        <a:prstGeom prst="rect">
          <a:avLst/>
        </a:prstGeom>
        <a:noFill/>
      </xdr:spPr>
    </xdr:pic>
    <xdr:clientData fLocksWithSheet="0"/>
  </xdr:oneCellAnchor>
  <xdr:oneCellAnchor>
    <xdr:from>
      <xdr:col>0</xdr:col>
      <xdr:colOff>0</xdr:colOff>
      <xdr:row>143</xdr:row>
      <xdr:rowOff>0</xdr:rowOff>
    </xdr:from>
    <xdr:ext cx="333375" cy="333375"/>
    <xdr:pic>
      <xdr:nvPicPr>
        <xdr:cNvPr id="0" name="image258.jpg"/>
        <xdr:cNvPicPr preferRelativeResize="0"/>
      </xdr:nvPicPr>
      <xdr:blipFill>
        <a:blip cstate="print" r:embed="rId97"/>
        <a:stretch>
          <a:fillRect/>
        </a:stretch>
      </xdr:blipFill>
      <xdr:spPr>
        <a:prstGeom prst="rect">
          <a:avLst/>
        </a:prstGeom>
        <a:noFill/>
      </xdr:spPr>
    </xdr:pic>
    <xdr:clientData fLocksWithSheet="0"/>
  </xdr:oneCellAnchor>
  <xdr:oneCellAnchor>
    <xdr:from>
      <xdr:col>0</xdr:col>
      <xdr:colOff>0</xdr:colOff>
      <xdr:row>144</xdr:row>
      <xdr:rowOff>0</xdr:rowOff>
    </xdr:from>
    <xdr:ext cx="333375" cy="333375"/>
    <xdr:pic>
      <xdr:nvPicPr>
        <xdr:cNvPr id="0" name="image189.jpg"/>
        <xdr:cNvPicPr preferRelativeResize="0"/>
      </xdr:nvPicPr>
      <xdr:blipFill>
        <a:blip cstate="print" r:embed="rId98"/>
        <a:stretch>
          <a:fillRect/>
        </a:stretch>
      </xdr:blipFill>
      <xdr:spPr>
        <a:prstGeom prst="rect">
          <a:avLst/>
        </a:prstGeom>
        <a:noFill/>
      </xdr:spPr>
    </xdr:pic>
    <xdr:clientData fLocksWithSheet="0"/>
  </xdr:oneCellAnchor>
  <xdr:oneCellAnchor>
    <xdr:from>
      <xdr:col>0</xdr:col>
      <xdr:colOff>0</xdr:colOff>
      <xdr:row>145</xdr:row>
      <xdr:rowOff>0</xdr:rowOff>
    </xdr:from>
    <xdr:ext cx="333375" cy="333375"/>
    <xdr:pic>
      <xdr:nvPicPr>
        <xdr:cNvPr id="0" name="image189.jpg"/>
        <xdr:cNvPicPr preferRelativeResize="0"/>
      </xdr:nvPicPr>
      <xdr:blipFill>
        <a:blip cstate="print" r:embed="rId98"/>
        <a:stretch>
          <a:fillRect/>
        </a:stretch>
      </xdr:blipFill>
      <xdr:spPr>
        <a:prstGeom prst="rect">
          <a:avLst/>
        </a:prstGeom>
        <a:noFill/>
      </xdr:spPr>
    </xdr:pic>
    <xdr:clientData fLocksWithSheet="0"/>
  </xdr:oneCellAnchor>
  <xdr:oneCellAnchor>
    <xdr:from>
      <xdr:col>0</xdr:col>
      <xdr:colOff>0</xdr:colOff>
      <xdr:row>146</xdr:row>
      <xdr:rowOff>0</xdr:rowOff>
    </xdr:from>
    <xdr:ext cx="333375" cy="333375"/>
    <xdr:pic>
      <xdr:nvPicPr>
        <xdr:cNvPr id="0" name="image182.jpg"/>
        <xdr:cNvPicPr preferRelativeResize="0"/>
      </xdr:nvPicPr>
      <xdr:blipFill>
        <a:blip cstate="print" r:embed="rId99"/>
        <a:stretch>
          <a:fillRect/>
        </a:stretch>
      </xdr:blipFill>
      <xdr:spPr>
        <a:prstGeom prst="rect">
          <a:avLst/>
        </a:prstGeom>
        <a:noFill/>
      </xdr:spPr>
    </xdr:pic>
    <xdr:clientData fLocksWithSheet="0"/>
  </xdr:oneCellAnchor>
  <xdr:oneCellAnchor>
    <xdr:from>
      <xdr:col>0</xdr:col>
      <xdr:colOff>0</xdr:colOff>
      <xdr:row>147</xdr:row>
      <xdr:rowOff>0</xdr:rowOff>
    </xdr:from>
    <xdr:ext cx="333375" cy="333375"/>
    <xdr:pic>
      <xdr:nvPicPr>
        <xdr:cNvPr id="0" name="image250.jpg"/>
        <xdr:cNvPicPr preferRelativeResize="0"/>
      </xdr:nvPicPr>
      <xdr:blipFill>
        <a:blip cstate="print" r:embed="rId100"/>
        <a:stretch>
          <a:fillRect/>
        </a:stretch>
      </xdr:blipFill>
      <xdr:spPr>
        <a:prstGeom prst="rect">
          <a:avLst/>
        </a:prstGeom>
        <a:noFill/>
      </xdr:spPr>
    </xdr:pic>
    <xdr:clientData fLocksWithSheet="0"/>
  </xdr:oneCellAnchor>
  <xdr:oneCellAnchor>
    <xdr:from>
      <xdr:col>0</xdr:col>
      <xdr:colOff>0</xdr:colOff>
      <xdr:row>148</xdr:row>
      <xdr:rowOff>0</xdr:rowOff>
    </xdr:from>
    <xdr:ext cx="333375" cy="333375"/>
    <xdr:pic>
      <xdr:nvPicPr>
        <xdr:cNvPr id="0" name="image188.jpg"/>
        <xdr:cNvPicPr preferRelativeResize="0"/>
      </xdr:nvPicPr>
      <xdr:blipFill>
        <a:blip cstate="print" r:embed="rId101"/>
        <a:stretch>
          <a:fillRect/>
        </a:stretch>
      </xdr:blipFill>
      <xdr:spPr>
        <a:prstGeom prst="rect">
          <a:avLst/>
        </a:prstGeom>
        <a:noFill/>
      </xdr:spPr>
    </xdr:pic>
    <xdr:clientData fLocksWithSheet="0"/>
  </xdr:oneCellAnchor>
  <xdr:oneCellAnchor>
    <xdr:from>
      <xdr:col>0</xdr:col>
      <xdr:colOff>0</xdr:colOff>
      <xdr:row>149</xdr:row>
      <xdr:rowOff>0</xdr:rowOff>
    </xdr:from>
    <xdr:ext cx="333375" cy="333375"/>
    <xdr:pic>
      <xdr:nvPicPr>
        <xdr:cNvPr id="0" name="image194.jpg"/>
        <xdr:cNvPicPr preferRelativeResize="0"/>
      </xdr:nvPicPr>
      <xdr:blipFill>
        <a:blip cstate="print" r:embed="rId102"/>
        <a:stretch>
          <a:fillRect/>
        </a:stretch>
      </xdr:blipFill>
      <xdr:spPr>
        <a:prstGeom prst="rect">
          <a:avLst/>
        </a:prstGeom>
        <a:noFill/>
      </xdr:spPr>
    </xdr:pic>
    <xdr:clientData fLocksWithSheet="0"/>
  </xdr:oneCellAnchor>
  <xdr:oneCellAnchor>
    <xdr:from>
      <xdr:col>0</xdr:col>
      <xdr:colOff>0</xdr:colOff>
      <xdr:row>150</xdr:row>
      <xdr:rowOff>0</xdr:rowOff>
    </xdr:from>
    <xdr:ext cx="333375" cy="333375"/>
    <xdr:pic>
      <xdr:nvPicPr>
        <xdr:cNvPr id="0" name="image185.jpg"/>
        <xdr:cNvPicPr preferRelativeResize="0"/>
      </xdr:nvPicPr>
      <xdr:blipFill>
        <a:blip cstate="print" r:embed="rId103"/>
        <a:stretch>
          <a:fillRect/>
        </a:stretch>
      </xdr:blipFill>
      <xdr:spPr>
        <a:prstGeom prst="rect">
          <a:avLst/>
        </a:prstGeom>
        <a:noFill/>
      </xdr:spPr>
    </xdr:pic>
    <xdr:clientData fLocksWithSheet="0"/>
  </xdr:oneCellAnchor>
  <xdr:oneCellAnchor>
    <xdr:from>
      <xdr:col>0</xdr:col>
      <xdr:colOff>0</xdr:colOff>
      <xdr:row>151</xdr:row>
      <xdr:rowOff>0</xdr:rowOff>
    </xdr:from>
    <xdr:ext cx="333375" cy="333375"/>
    <xdr:pic>
      <xdr:nvPicPr>
        <xdr:cNvPr id="0" name="image185.jpg"/>
        <xdr:cNvPicPr preferRelativeResize="0"/>
      </xdr:nvPicPr>
      <xdr:blipFill>
        <a:blip cstate="print" r:embed="rId103"/>
        <a:stretch>
          <a:fillRect/>
        </a:stretch>
      </xdr:blipFill>
      <xdr:spPr>
        <a:prstGeom prst="rect">
          <a:avLst/>
        </a:prstGeom>
        <a:noFill/>
      </xdr:spPr>
    </xdr:pic>
    <xdr:clientData fLocksWithSheet="0"/>
  </xdr:oneCellAnchor>
  <xdr:oneCellAnchor>
    <xdr:from>
      <xdr:col>0</xdr:col>
      <xdr:colOff>0</xdr:colOff>
      <xdr:row>152</xdr:row>
      <xdr:rowOff>0</xdr:rowOff>
    </xdr:from>
    <xdr:ext cx="333375" cy="333375"/>
    <xdr:pic>
      <xdr:nvPicPr>
        <xdr:cNvPr id="0" name="image186.jpg"/>
        <xdr:cNvPicPr preferRelativeResize="0"/>
      </xdr:nvPicPr>
      <xdr:blipFill>
        <a:blip cstate="print" r:embed="rId104"/>
        <a:stretch>
          <a:fillRect/>
        </a:stretch>
      </xdr:blipFill>
      <xdr:spPr>
        <a:prstGeom prst="rect">
          <a:avLst/>
        </a:prstGeom>
        <a:noFill/>
      </xdr:spPr>
    </xdr:pic>
    <xdr:clientData fLocksWithSheet="0"/>
  </xdr:oneCellAnchor>
  <xdr:oneCellAnchor>
    <xdr:from>
      <xdr:col>0</xdr:col>
      <xdr:colOff>0</xdr:colOff>
      <xdr:row>153</xdr:row>
      <xdr:rowOff>0</xdr:rowOff>
    </xdr:from>
    <xdr:ext cx="333375" cy="333375"/>
    <xdr:pic>
      <xdr:nvPicPr>
        <xdr:cNvPr id="0" name="image245.jpg"/>
        <xdr:cNvPicPr preferRelativeResize="0"/>
      </xdr:nvPicPr>
      <xdr:blipFill>
        <a:blip cstate="print" r:embed="rId105"/>
        <a:stretch>
          <a:fillRect/>
        </a:stretch>
      </xdr:blipFill>
      <xdr:spPr>
        <a:prstGeom prst="rect">
          <a:avLst/>
        </a:prstGeom>
        <a:noFill/>
      </xdr:spPr>
    </xdr:pic>
    <xdr:clientData fLocksWithSheet="0"/>
  </xdr:oneCellAnchor>
  <xdr:oneCellAnchor>
    <xdr:from>
      <xdr:col>0</xdr:col>
      <xdr:colOff>0</xdr:colOff>
      <xdr:row>154</xdr:row>
      <xdr:rowOff>0</xdr:rowOff>
    </xdr:from>
    <xdr:ext cx="333375" cy="333375"/>
    <xdr:pic>
      <xdr:nvPicPr>
        <xdr:cNvPr id="0" name="image183.jpg"/>
        <xdr:cNvPicPr preferRelativeResize="0"/>
      </xdr:nvPicPr>
      <xdr:blipFill>
        <a:blip cstate="print" r:embed="rId106"/>
        <a:stretch>
          <a:fillRect/>
        </a:stretch>
      </xdr:blipFill>
      <xdr:spPr>
        <a:prstGeom prst="rect">
          <a:avLst/>
        </a:prstGeom>
        <a:noFill/>
      </xdr:spPr>
    </xdr:pic>
    <xdr:clientData fLocksWithSheet="0"/>
  </xdr:oneCellAnchor>
  <xdr:oneCellAnchor>
    <xdr:from>
      <xdr:col>0</xdr:col>
      <xdr:colOff>0</xdr:colOff>
      <xdr:row>155</xdr:row>
      <xdr:rowOff>0</xdr:rowOff>
    </xdr:from>
    <xdr:ext cx="333375" cy="333375"/>
    <xdr:pic>
      <xdr:nvPicPr>
        <xdr:cNvPr id="0" name="image268.jpg"/>
        <xdr:cNvPicPr preferRelativeResize="0"/>
      </xdr:nvPicPr>
      <xdr:blipFill>
        <a:blip cstate="print" r:embed="rId107"/>
        <a:stretch>
          <a:fillRect/>
        </a:stretch>
      </xdr:blipFill>
      <xdr:spPr>
        <a:prstGeom prst="rect">
          <a:avLst/>
        </a:prstGeom>
        <a:noFill/>
      </xdr:spPr>
    </xdr:pic>
    <xdr:clientData fLocksWithSheet="0"/>
  </xdr:oneCellAnchor>
  <xdr:oneCellAnchor>
    <xdr:from>
      <xdr:col>0</xdr:col>
      <xdr:colOff>0</xdr:colOff>
      <xdr:row>156</xdr:row>
      <xdr:rowOff>0</xdr:rowOff>
    </xdr:from>
    <xdr:ext cx="333375" cy="333375"/>
    <xdr:pic>
      <xdr:nvPicPr>
        <xdr:cNvPr id="0" name="image187.jpg"/>
        <xdr:cNvPicPr preferRelativeResize="0"/>
      </xdr:nvPicPr>
      <xdr:blipFill>
        <a:blip cstate="print" r:embed="rId108"/>
        <a:stretch>
          <a:fillRect/>
        </a:stretch>
      </xdr:blipFill>
      <xdr:spPr>
        <a:prstGeom prst="rect">
          <a:avLst/>
        </a:prstGeom>
        <a:noFill/>
      </xdr:spPr>
    </xdr:pic>
    <xdr:clientData fLocksWithSheet="0"/>
  </xdr:oneCellAnchor>
  <xdr:oneCellAnchor>
    <xdr:from>
      <xdr:col>0</xdr:col>
      <xdr:colOff>0</xdr:colOff>
      <xdr:row>157</xdr:row>
      <xdr:rowOff>0</xdr:rowOff>
    </xdr:from>
    <xdr:ext cx="333375" cy="333375"/>
    <xdr:pic>
      <xdr:nvPicPr>
        <xdr:cNvPr id="0" name="image227.jpg"/>
        <xdr:cNvPicPr preferRelativeResize="0"/>
      </xdr:nvPicPr>
      <xdr:blipFill>
        <a:blip cstate="print" r:embed="rId109"/>
        <a:stretch>
          <a:fillRect/>
        </a:stretch>
      </xdr:blipFill>
      <xdr:spPr>
        <a:prstGeom prst="rect">
          <a:avLst/>
        </a:prstGeom>
        <a:noFill/>
      </xdr:spPr>
    </xdr:pic>
    <xdr:clientData fLocksWithSheet="0"/>
  </xdr:oneCellAnchor>
  <xdr:oneCellAnchor>
    <xdr:from>
      <xdr:col>0</xdr:col>
      <xdr:colOff>0</xdr:colOff>
      <xdr:row>158</xdr:row>
      <xdr:rowOff>0</xdr:rowOff>
    </xdr:from>
    <xdr:ext cx="333375" cy="333375"/>
    <xdr:pic>
      <xdr:nvPicPr>
        <xdr:cNvPr id="0" name="image240.jpg"/>
        <xdr:cNvPicPr preferRelativeResize="0"/>
      </xdr:nvPicPr>
      <xdr:blipFill>
        <a:blip cstate="print" r:embed="rId110"/>
        <a:stretch>
          <a:fillRect/>
        </a:stretch>
      </xdr:blipFill>
      <xdr:spPr>
        <a:prstGeom prst="rect">
          <a:avLst/>
        </a:prstGeom>
        <a:noFill/>
      </xdr:spPr>
    </xdr:pic>
    <xdr:clientData fLocksWithSheet="0"/>
  </xdr:oneCellAnchor>
  <xdr:oneCellAnchor>
    <xdr:from>
      <xdr:col>0</xdr:col>
      <xdr:colOff>0</xdr:colOff>
      <xdr:row>159</xdr:row>
      <xdr:rowOff>0</xdr:rowOff>
    </xdr:from>
    <xdr:ext cx="333375" cy="333375"/>
    <xdr:pic>
      <xdr:nvPicPr>
        <xdr:cNvPr id="0" name="image193.jpg"/>
        <xdr:cNvPicPr preferRelativeResize="0"/>
      </xdr:nvPicPr>
      <xdr:blipFill>
        <a:blip cstate="print" r:embed="rId111"/>
        <a:stretch>
          <a:fillRect/>
        </a:stretch>
      </xdr:blipFill>
      <xdr:spPr>
        <a:prstGeom prst="rect">
          <a:avLst/>
        </a:prstGeom>
        <a:noFill/>
      </xdr:spPr>
    </xdr:pic>
    <xdr:clientData fLocksWithSheet="0"/>
  </xdr:oneCellAnchor>
  <xdr:oneCellAnchor>
    <xdr:from>
      <xdr:col>0</xdr:col>
      <xdr:colOff>0</xdr:colOff>
      <xdr:row>160</xdr:row>
      <xdr:rowOff>0</xdr:rowOff>
    </xdr:from>
    <xdr:ext cx="333375" cy="333375"/>
    <xdr:pic>
      <xdr:nvPicPr>
        <xdr:cNvPr id="0" name="image208.jpg"/>
        <xdr:cNvPicPr preferRelativeResize="0"/>
      </xdr:nvPicPr>
      <xdr:blipFill>
        <a:blip cstate="print" r:embed="rId112"/>
        <a:stretch>
          <a:fillRect/>
        </a:stretch>
      </xdr:blipFill>
      <xdr:spPr>
        <a:prstGeom prst="rect">
          <a:avLst/>
        </a:prstGeom>
        <a:noFill/>
      </xdr:spPr>
    </xdr:pic>
    <xdr:clientData fLocksWithSheet="0"/>
  </xdr:oneCellAnchor>
  <xdr:oneCellAnchor>
    <xdr:from>
      <xdr:col>0</xdr:col>
      <xdr:colOff>0</xdr:colOff>
      <xdr:row>161</xdr:row>
      <xdr:rowOff>0</xdr:rowOff>
    </xdr:from>
    <xdr:ext cx="333375" cy="333375"/>
    <xdr:pic>
      <xdr:nvPicPr>
        <xdr:cNvPr id="0" name="image196.jpg"/>
        <xdr:cNvPicPr preferRelativeResize="0"/>
      </xdr:nvPicPr>
      <xdr:blipFill>
        <a:blip cstate="print" r:embed="rId113"/>
        <a:stretch>
          <a:fillRect/>
        </a:stretch>
      </xdr:blipFill>
      <xdr:spPr>
        <a:prstGeom prst="rect">
          <a:avLst/>
        </a:prstGeom>
        <a:noFill/>
      </xdr:spPr>
    </xdr:pic>
    <xdr:clientData fLocksWithSheet="0"/>
  </xdr:oneCellAnchor>
  <xdr:oneCellAnchor>
    <xdr:from>
      <xdr:col>0</xdr:col>
      <xdr:colOff>0</xdr:colOff>
      <xdr:row>162</xdr:row>
      <xdr:rowOff>0</xdr:rowOff>
    </xdr:from>
    <xdr:ext cx="333375" cy="333375"/>
    <xdr:pic>
      <xdr:nvPicPr>
        <xdr:cNvPr id="0" name="image192.jpg"/>
        <xdr:cNvPicPr preferRelativeResize="0"/>
      </xdr:nvPicPr>
      <xdr:blipFill>
        <a:blip cstate="print" r:embed="rId114"/>
        <a:stretch>
          <a:fillRect/>
        </a:stretch>
      </xdr:blipFill>
      <xdr:spPr>
        <a:prstGeom prst="rect">
          <a:avLst/>
        </a:prstGeom>
        <a:noFill/>
      </xdr:spPr>
    </xdr:pic>
    <xdr:clientData fLocksWithSheet="0"/>
  </xdr:oneCellAnchor>
  <xdr:oneCellAnchor>
    <xdr:from>
      <xdr:col>0</xdr:col>
      <xdr:colOff>0</xdr:colOff>
      <xdr:row>163</xdr:row>
      <xdr:rowOff>0</xdr:rowOff>
    </xdr:from>
    <xdr:ext cx="333375" cy="333375"/>
    <xdr:pic>
      <xdr:nvPicPr>
        <xdr:cNvPr id="0" name="image316.jpg"/>
        <xdr:cNvPicPr preferRelativeResize="0"/>
      </xdr:nvPicPr>
      <xdr:blipFill>
        <a:blip cstate="print" r:embed="rId115"/>
        <a:stretch>
          <a:fillRect/>
        </a:stretch>
      </xdr:blipFill>
      <xdr:spPr>
        <a:prstGeom prst="rect">
          <a:avLst/>
        </a:prstGeom>
        <a:noFill/>
      </xdr:spPr>
    </xdr:pic>
    <xdr:clientData fLocksWithSheet="0"/>
  </xdr:oneCellAnchor>
  <xdr:oneCellAnchor>
    <xdr:from>
      <xdr:col>0</xdr:col>
      <xdr:colOff>0</xdr:colOff>
      <xdr:row>164</xdr:row>
      <xdr:rowOff>0</xdr:rowOff>
    </xdr:from>
    <xdr:ext cx="333375" cy="333375"/>
    <xdr:pic>
      <xdr:nvPicPr>
        <xdr:cNvPr id="0" name="image199.jpg"/>
        <xdr:cNvPicPr preferRelativeResize="0"/>
      </xdr:nvPicPr>
      <xdr:blipFill>
        <a:blip cstate="print" r:embed="rId116"/>
        <a:stretch>
          <a:fillRect/>
        </a:stretch>
      </xdr:blipFill>
      <xdr:spPr>
        <a:prstGeom prst="rect">
          <a:avLst/>
        </a:prstGeom>
        <a:noFill/>
      </xdr:spPr>
    </xdr:pic>
    <xdr:clientData fLocksWithSheet="0"/>
  </xdr:oneCellAnchor>
  <xdr:oneCellAnchor>
    <xdr:from>
      <xdr:col>0</xdr:col>
      <xdr:colOff>0</xdr:colOff>
      <xdr:row>165</xdr:row>
      <xdr:rowOff>0</xdr:rowOff>
    </xdr:from>
    <xdr:ext cx="333375" cy="333375"/>
    <xdr:pic>
      <xdr:nvPicPr>
        <xdr:cNvPr id="0" name="image198.jpg"/>
        <xdr:cNvPicPr preferRelativeResize="0"/>
      </xdr:nvPicPr>
      <xdr:blipFill>
        <a:blip cstate="print" r:embed="rId117"/>
        <a:stretch>
          <a:fillRect/>
        </a:stretch>
      </xdr:blipFill>
      <xdr:spPr>
        <a:prstGeom prst="rect">
          <a:avLst/>
        </a:prstGeom>
        <a:noFill/>
      </xdr:spPr>
    </xdr:pic>
    <xdr:clientData fLocksWithSheet="0"/>
  </xdr:oneCellAnchor>
  <xdr:oneCellAnchor>
    <xdr:from>
      <xdr:col>0</xdr:col>
      <xdr:colOff>0</xdr:colOff>
      <xdr:row>166</xdr:row>
      <xdr:rowOff>0</xdr:rowOff>
    </xdr:from>
    <xdr:ext cx="333375" cy="333375"/>
    <xdr:pic>
      <xdr:nvPicPr>
        <xdr:cNvPr id="0" name="image202.jpg"/>
        <xdr:cNvPicPr preferRelativeResize="0"/>
      </xdr:nvPicPr>
      <xdr:blipFill>
        <a:blip cstate="print" r:embed="rId118"/>
        <a:stretch>
          <a:fillRect/>
        </a:stretch>
      </xdr:blipFill>
      <xdr:spPr>
        <a:prstGeom prst="rect">
          <a:avLst/>
        </a:prstGeom>
        <a:noFill/>
      </xdr:spPr>
    </xdr:pic>
    <xdr:clientData fLocksWithSheet="0"/>
  </xdr:oneCellAnchor>
  <xdr:oneCellAnchor>
    <xdr:from>
      <xdr:col>0</xdr:col>
      <xdr:colOff>0</xdr:colOff>
      <xdr:row>167</xdr:row>
      <xdr:rowOff>0</xdr:rowOff>
    </xdr:from>
    <xdr:ext cx="333375" cy="333375"/>
    <xdr:pic>
      <xdr:nvPicPr>
        <xdr:cNvPr id="0" name="image308.jpg"/>
        <xdr:cNvPicPr preferRelativeResize="0"/>
      </xdr:nvPicPr>
      <xdr:blipFill>
        <a:blip cstate="print" r:embed="rId119"/>
        <a:stretch>
          <a:fillRect/>
        </a:stretch>
      </xdr:blipFill>
      <xdr:spPr>
        <a:prstGeom prst="rect">
          <a:avLst/>
        </a:prstGeom>
        <a:noFill/>
      </xdr:spPr>
    </xdr:pic>
    <xdr:clientData fLocksWithSheet="0"/>
  </xdr:oneCellAnchor>
  <xdr:oneCellAnchor>
    <xdr:from>
      <xdr:col>0</xdr:col>
      <xdr:colOff>0</xdr:colOff>
      <xdr:row>168</xdr:row>
      <xdr:rowOff>0</xdr:rowOff>
    </xdr:from>
    <xdr:ext cx="333375" cy="333375"/>
    <xdr:pic>
      <xdr:nvPicPr>
        <xdr:cNvPr id="0" name="image197.jpg"/>
        <xdr:cNvPicPr preferRelativeResize="0"/>
      </xdr:nvPicPr>
      <xdr:blipFill>
        <a:blip cstate="print" r:embed="rId120"/>
        <a:stretch>
          <a:fillRect/>
        </a:stretch>
      </xdr:blipFill>
      <xdr:spPr>
        <a:prstGeom prst="rect">
          <a:avLst/>
        </a:prstGeom>
        <a:noFill/>
      </xdr:spPr>
    </xdr:pic>
    <xdr:clientData fLocksWithSheet="0"/>
  </xdr:oneCellAnchor>
  <xdr:oneCellAnchor>
    <xdr:from>
      <xdr:col>0</xdr:col>
      <xdr:colOff>0</xdr:colOff>
      <xdr:row>169</xdr:row>
      <xdr:rowOff>0</xdr:rowOff>
    </xdr:from>
    <xdr:ext cx="333375" cy="333375"/>
    <xdr:pic>
      <xdr:nvPicPr>
        <xdr:cNvPr id="0" name="image296.jpg"/>
        <xdr:cNvPicPr preferRelativeResize="0"/>
      </xdr:nvPicPr>
      <xdr:blipFill>
        <a:blip cstate="print" r:embed="rId121"/>
        <a:stretch>
          <a:fillRect/>
        </a:stretch>
      </xdr:blipFill>
      <xdr:spPr>
        <a:prstGeom prst="rect">
          <a:avLst/>
        </a:prstGeom>
        <a:noFill/>
      </xdr:spPr>
    </xdr:pic>
    <xdr:clientData fLocksWithSheet="0"/>
  </xdr:oneCellAnchor>
  <xdr:oneCellAnchor>
    <xdr:from>
      <xdr:col>0</xdr:col>
      <xdr:colOff>0</xdr:colOff>
      <xdr:row>170</xdr:row>
      <xdr:rowOff>0</xdr:rowOff>
    </xdr:from>
    <xdr:ext cx="333375" cy="333375"/>
    <xdr:pic>
      <xdr:nvPicPr>
        <xdr:cNvPr id="0" name="image214.jpg"/>
        <xdr:cNvPicPr preferRelativeResize="0"/>
      </xdr:nvPicPr>
      <xdr:blipFill>
        <a:blip cstate="print" r:embed="rId122"/>
        <a:stretch>
          <a:fillRect/>
        </a:stretch>
      </xdr:blipFill>
      <xdr:spPr>
        <a:prstGeom prst="rect">
          <a:avLst/>
        </a:prstGeom>
        <a:noFill/>
      </xdr:spPr>
    </xdr:pic>
    <xdr:clientData fLocksWithSheet="0"/>
  </xdr:oneCellAnchor>
  <xdr:oneCellAnchor>
    <xdr:from>
      <xdr:col>0</xdr:col>
      <xdr:colOff>0</xdr:colOff>
      <xdr:row>171</xdr:row>
      <xdr:rowOff>0</xdr:rowOff>
    </xdr:from>
    <xdr:ext cx="333375" cy="333375"/>
    <xdr:pic>
      <xdr:nvPicPr>
        <xdr:cNvPr id="0" name="image206.jpg"/>
        <xdr:cNvPicPr preferRelativeResize="0"/>
      </xdr:nvPicPr>
      <xdr:blipFill>
        <a:blip cstate="print" r:embed="rId123"/>
        <a:stretch>
          <a:fillRect/>
        </a:stretch>
      </xdr:blipFill>
      <xdr:spPr>
        <a:prstGeom prst="rect">
          <a:avLst/>
        </a:prstGeom>
        <a:noFill/>
      </xdr:spPr>
    </xdr:pic>
    <xdr:clientData fLocksWithSheet="0"/>
  </xdr:oneCellAnchor>
  <xdr:oneCellAnchor>
    <xdr:from>
      <xdr:col>0</xdr:col>
      <xdr:colOff>0</xdr:colOff>
      <xdr:row>172</xdr:row>
      <xdr:rowOff>0</xdr:rowOff>
    </xdr:from>
    <xdr:ext cx="333375" cy="333375"/>
    <xdr:pic>
      <xdr:nvPicPr>
        <xdr:cNvPr id="0" name="image206.jpg"/>
        <xdr:cNvPicPr preferRelativeResize="0"/>
      </xdr:nvPicPr>
      <xdr:blipFill>
        <a:blip cstate="print" r:embed="rId123"/>
        <a:stretch>
          <a:fillRect/>
        </a:stretch>
      </xdr:blipFill>
      <xdr:spPr>
        <a:prstGeom prst="rect">
          <a:avLst/>
        </a:prstGeom>
        <a:noFill/>
      </xdr:spPr>
    </xdr:pic>
    <xdr:clientData fLocksWithSheet="0"/>
  </xdr:oneCellAnchor>
  <xdr:oneCellAnchor>
    <xdr:from>
      <xdr:col>0</xdr:col>
      <xdr:colOff>0</xdr:colOff>
      <xdr:row>173</xdr:row>
      <xdr:rowOff>0</xdr:rowOff>
    </xdr:from>
    <xdr:ext cx="333375" cy="333375"/>
    <xdr:pic>
      <xdr:nvPicPr>
        <xdr:cNvPr id="0" name="image213.jpg"/>
        <xdr:cNvPicPr preferRelativeResize="0"/>
      </xdr:nvPicPr>
      <xdr:blipFill>
        <a:blip cstate="print" r:embed="rId124"/>
        <a:stretch>
          <a:fillRect/>
        </a:stretch>
      </xdr:blipFill>
      <xdr:spPr>
        <a:prstGeom prst="rect">
          <a:avLst/>
        </a:prstGeom>
        <a:noFill/>
      </xdr:spPr>
    </xdr:pic>
    <xdr:clientData fLocksWithSheet="0"/>
  </xdr:oneCellAnchor>
  <xdr:oneCellAnchor>
    <xdr:from>
      <xdr:col>0</xdr:col>
      <xdr:colOff>0</xdr:colOff>
      <xdr:row>174</xdr:row>
      <xdr:rowOff>0</xdr:rowOff>
    </xdr:from>
    <xdr:ext cx="333375" cy="333375"/>
    <xdr:pic>
      <xdr:nvPicPr>
        <xdr:cNvPr id="0" name="image237.jpg"/>
        <xdr:cNvPicPr preferRelativeResize="0"/>
      </xdr:nvPicPr>
      <xdr:blipFill>
        <a:blip cstate="print" r:embed="rId125"/>
        <a:stretch>
          <a:fillRect/>
        </a:stretch>
      </xdr:blipFill>
      <xdr:spPr>
        <a:prstGeom prst="rect">
          <a:avLst/>
        </a:prstGeom>
        <a:noFill/>
      </xdr:spPr>
    </xdr:pic>
    <xdr:clientData fLocksWithSheet="0"/>
  </xdr:oneCellAnchor>
  <xdr:oneCellAnchor>
    <xdr:from>
      <xdr:col>0</xdr:col>
      <xdr:colOff>0</xdr:colOff>
      <xdr:row>175</xdr:row>
      <xdr:rowOff>0</xdr:rowOff>
    </xdr:from>
    <xdr:ext cx="333375" cy="333375"/>
    <xdr:pic>
      <xdr:nvPicPr>
        <xdr:cNvPr id="0" name="image205.jpg"/>
        <xdr:cNvPicPr preferRelativeResize="0"/>
      </xdr:nvPicPr>
      <xdr:blipFill>
        <a:blip cstate="print" r:embed="rId126"/>
        <a:stretch>
          <a:fillRect/>
        </a:stretch>
      </xdr:blipFill>
      <xdr:spPr>
        <a:prstGeom prst="rect">
          <a:avLst/>
        </a:prstGeom>
        <a:noFill/>
      </xdr:spPr>
    </xdr:pic>
    <xdr:clientData fLocksWithSheet="0"/>
  </xdr:oneCellAnchor>
  <xdr:oneCellAnchor>
    <xdr:from>
      <xdr:col>0</xdr:col>
      <xdr:colOff>0</xdr:colOff>
      <xdr:row>176</xdr:row>
      <xdr:rowOff>0</xdr:rowOff>
    </xdr:from>
    <xdr:ext cx="333375" cy="333375"/>
    <xdr:pic>
      <xdr:nvPicPr>
        <xdr:cNvPr id="0" name="image205.jpg"/>
        <xdr:cNvPicPr preferRelativeResize="0"/>
      </xdr:nvPicPr>
      <xdr:blipFill>
        <a:blip cstate="print" r:embed="rId126"/>
        <a:stretch>
          <a:fillRect/>
        </a:stretch>
      </xdr:blipFill>
      <xdr:spPr>
        <a:prstGeom prst="rect">
          <a:avLst/>
        </a:prstGeom>
        <a:noFill/>
      </xdr:spPr>
    </xdr:pic>
    <xdr:clientData fLocksWithSheet="0"/>
  </xdr:oneCellAnchor>
  <xdr:oneCellAnchor>
    <xdr:from>
      <xdr:col>0</xdr:col>
      <xdr:colOff>0</xdr:colOff>
      <xdr:row>177</xdr:row>
      <xdr:rowOff>0</xdr:rowOff>
    </xdr:from>
    <xdr:ext cx="333375" cy="333375"/>
    <xdr:pic>
      <xdr:nvPicPr>
        <xdr:cNvPr id="0" name="image205.jpg"/>
        <xdr:cNvPicPr preferRelativeResize="0"/>
      </xdr:nvPicPr>
      <xdr:blipFill>
        <a:blip cstate="print" r:embed="rId126"/>
        <a:stretch>
          <a:fillRect/>
        </a:stretch>
      </xdr:blipFill>
      <xdr:spPr>
        <a:prstGeom prst="rect">
          <a:avLst/>
        </a:prstGeom>
        <a:noFill/>
      </xdr:spPr>
    </xdr:pic>
    <xdr:clientData fLocksWithSheet="0"/>
  </xdr:oneCellAnchor>
  <xdr:oneCellAnchor>
    <xdr:from>
      <xdr:col>0</xdr:col>
      <xdr:colOff>0</xdr:colOff>
      <xdr:row>178</xdr:row>
      <xdr:rowOff>0</xdr:rowOff>
    </xdr:from>
    <xdr:ext cx="333375" cy="333375"/>
    <xdr:pic>
      <xdr:nvPicPr>
        <xdr:cNvPr id="0" name="image203.jpg"/>
        <xdr:cNvPicPr preferRelativeResize="0"/>
      </xdr:nvPicPr>
      <xdr:blipFill>
        <a:blip cstate="print" r:embed="rId127"/>
        <a:stretch>
          <a:fillRect/>
        </a:stretch>
      </xdr:blipFill>
      <xdr:spPr>
        <a:prstGeom prst="rect">
          <a:avLst/>
        </a:prstGeom>
        <a:noFill/>
      </xdr:spPr>
    </xdr:pic>
    <xdr:clientData fLocksWithSheet="0"/>
  </xdr:oneCellAnchor>
  <xdr:oneCellAnchor>
    <xdr:from>
      <xdr:col>0</xdr:col>
      <xdr:colOff>0</xdr:colOff>
      <xdr:row>179</xdr:row>
      <xdr:rowOff>0</xdr:rowOff>
    </xdr:from>
    <xdr:ext cx="333375" cy="333375"/>
    <xdr:pic>
      <xdr:nvPicPr>
        <xdr:cNvPr id="0" name="image210.jpg"/>
        <xdr:cNvPicPr preferRelativeResize="0"/>
      </xdr:nvPicPr>
      <xdr:blipFill>
        <a:blip cstate="print" r:embed="rId128"/>
        <a:stretch>
          <a:fillRect/>
        </a:stretch>
      </xdr:blipFill>
      <xdr:spPr>
        <a:prstGeom prst="rect">
          <a:avLst/>
        </a:prstGeom>
        <a:noFill/>
      </xdr:spPr>
    </xdr:pic>
    <xdr:clientData fLocksWithSheet="0"/>
  </xdr:oneCellAnchor>
  <xdr:oneCellAnchor>
    <xdr:from>
      <xdr:col>0</xdr:col>
      <xdr:colOff>0</xdr:colOff>
      <xdr:row>180</xdr:row>
      <xdr:rowOff>0</xdr:rowOff>
    </xdr:from>
    <xdr:ext cx="333375" cy="333375"/>
    <xdr:pic>
      <xdr:nvPicPr>
        <xdr:cNvPr id="0" name="image210.jpg"/>
        <xdr:cNvPicPr preferRelativeResize="0"/>
      </xdr:nvPicPr>
      <xdr:blipFill>
        <a:blip cstate="print" r:embed="rId128"/>
        <a:stretch>
          <a:fillRect/>
        </a:stretch>
      </xdr:blipFill>
      <xdr:spPr>
        <a:prstGeom prst="rect">
          <a:avLst/>
        </a:prstGeom>
        <a:noFill/>
      </xdr:spPr>
    </xdr:pic>
    <xdr:clientData fLocksWithSheet="0"/>
  </xdr:oneCellAnchor>
  <xdr:oneCellAnchor>
    <xdr:from>
      <xdr:col>0</xdr:col>
      <xdr:colOff>0</xdr:colOff>
      <xdr:row>181</xdr:row>
      <xdr:rowOff>0</xdr:rowOff>
    </xdr:from>
    <xdr:ext cx="333375" cy="333375"/>
    <xdr:pic>
      <xdr:nvPicPr>
        <xdr:cNvPr id="0" name="image211.jpg"/>
        <xdr:cNvPicPr preferRelativeResize="0"/>
      </xdr:nvPicPr>
      <xdr:blipFill>
        <a:blip cstate="print" r:embed="rId129"/>
        <a:stretch>
          <a:fillRect/>
        </a:stretch>
      </xdr:blipFill>
      <xdr:spPr>
        <a:prstGeom prst="rect">
          <a:avLst/>
        </a:prstGeom>
        <a:noFill/>
      </xdr:spPr>
    </xdr:pic>
    <xdr:clientData fLocksWithSheet="0"/>
  </xdr:oneCellAnchor>
  <xdr:oneCellAnchor>
    <xdr:from>
      <xdr:col>0</xdr:col>
      <xdr:colOff>0</xdr:colOff>
      <xdr:row>182</xdr:row>
      <xdr:rowOff>0</xdr:rowOff>
    </xdr:from>
    <xdr:ext cx="333375" cy="333375"/>
    <xdr:pic>
      <xdr:nvPicPr>
        <xdr:cNvPr id="0" name="image215.jpg"/>
        <xdr:cNvPicPr preferRelativeResize="0"/>
      </xdr:nvPicPr>
      <xdr:blipFill>
        <a:blip cstate="print" r:embed="rId130"/>
        <a:stretch>
          <a:fillRect/>
        </a:stretch>
      </xdr:blipFill>
      <xdr:spPr>
        <a:prstGeom prst="rect">
          <a:avLst/>
        </a:prstGeom>
        <a:noFill/>
      </xdr:spPr>
    </xdr:pic>
    <xdr:clientData fLocksWithSheet="0"/>
  </xdr:oneCellAnchor>
  <xdr:oneCellAnchor>
    <xdr:from>
      <xdr:col>0</xdr:col>
      <xdr:colOff>0</xdr:colOff>
      <xdr:row>183</xdr:row>
      <xdr:rowOff>0</xdr:rowOff>
    </xdr:from>
    <xdr:ext cx="333375" cy="333375"/>
    <xdr:pic>
      <xdr:nvPicPr>
        <xdr:cNvPr id="0" name="image215.jpg"/>
        <xdr:cNvPicPr preferRelativeResize="0"/>
      </xdr:nvPicPr>
      <xdr:blipFill>
        <a:blip cstate="print" r:embed="rId130"/>
        <a:stretch>
          <a:fillRect/>
        </a:stretch>
      </xdr:blipFill>
      <xdr:spPr>
        <a:prstGeom prst="rect">
          <a:avLst/>
        </a:prstGeom>
        <a:noFill/>
      </xdr:spPr>
    </xdr:pic>
    <xdr:clientData fLocksWithSheet="0"/>
  </xdr:oneCellAnchor>
  <xdr:oneCellAnchor>
    <xdr:from>
      <xdr:col>0</xdr:col>
      <xdr:colOff>0</xdr:colOff>
      <xdr:row>184</xdr:row>
      <xdr:rowOff>0</xdr:rowOff>
    </xdr:from>
    <xdr:ext cx="333375" cy="333375"/>
    <xdr:pic>
      <xdr:nvPicPr>
        <xdr:cNvPr id="0" name="image231.jpg"/>
        <xdr:cNvPicPr preferRelativeResize="0"/>
      </xdr:nvPicPr>
      <xdr:blipFill>
        <a:blip cstate="print" r:embed="rId131"/>
        <a:stretch>
          <a:fillRect/>
        </a:stretch>
      </xdr:blipFill>
      <xdr:spPr>
        <a:prstGeom prst="rect">
          <a:avLst/>
        </a:prstGeom>
        <a:noFill/>
      </xdr:spPr>
    </xdr:pic>
    <xdr:clientData fLocksWithSheet="0"/>
  </xdr:oneCellAnchor>
  <xdr:oneCellAnchor>
    <xdr:from>
      <xdr:col>0</xdr:col>
      <xdr:colOff>0</xdr:colOff>
      <xdr:row>185</xdr:row>
      <xdr:rowOff>0</xdr:rowOff>
    </xdr:from>
    <xdr:ext cx="333375" cy="333375"/>
    <xdr:pic>
      <xdr:nvPicPr>
        <xdr:cNvPr id="0" name="image22.jpg"/>
        <xdr:cNvPicPr preferRelativeResize="0"/>
      </xdr:nvPicPr>
      <xdr:blipFill>
        <a:blip cstate="print" r:embed="rId132"/>
        <a:stretch>
          <a:fillRect/>
        </a:stretch>
      </xdr:blipFill>
      <xdr:spPr>
        <a:prstGeom prst="rect">
          <a:avLst/>
        </a:prstGeom>
        <a:noFill/>
      </xdr:spPr>
    </xdr:pic>
    <xdr:clientData fLocksWithSheet="0"/>
  </xdr:oneCellAnchor>
  <xdr:oneCellAnchor>
    <xdr:from>
      <xdr:col>0</xdr:col>
      <xdr:colOff>0</xdr:colOff>
      <xdr:row>186</xdr:row>
      <xdr:rowOff>0</xdr:rowOff>
    </xdr:from>
    <xdr:ext cx="333375" cy="333375"/>
    <xdr:pic>
      <xdr:nvPicPr>
        <xdr:cNvPr id="0" name="image332.jpg"/>
        <xdr:cNvPicPr preferRelativeResize="0"/>
      </xdr:nvPicPr>
      <xdr:blipFill>
        <a:blip cstate="print" r:embed="rId133"/>
        <a:stretch>
          <a:fillRect/>
        </a:stretch>
      </xdr:blipFill>
      <xdr:spPr>
        <a:prstGeom prst="rect">
          <a:avLst/>
        </a:prstGeom>
        <a:noFill/>
      </xdr:spPr>
    </xdr:pic>
    <xdr:clientData fLocksWithSheet="0"/>
  </xdr:oneCellAnchor>
  <xdr:oneCellAnchor>
    <xdr:from>
      <xdr:col>0</xdr:col>
      <xdr:colOff>0</xdr:colOff>
      <xdr:row>187</xdr:row>
      <xdr:rowOff>0</xdr:rowOff>
    </xdr:from>
    <xdr:ext cx="333375" cy="333375"/>
    <xdr:pic>
      <xdr:nvPicPr>
        <xdr:cNvPr id="0" name="image332.jpg"/>
        <xdr:cNvPicPr preferRelativeResize="0"/>
      </xdr:nvPicPr>
      <xdr:blipFill>
        <a:blip cstate="print" r:embed="rId133"/>
        <a:stretch>
          <a:fillRect/>
        </a:stretch>
      </xdr:blipFill>
      <xdr:spPr>
        <a:prstGeom prst="rect">
          <a:avLst/>
        </a:prstGeom>
        <a:noFill/>
      </xdr:spPr>
    </xdr:pic>
    <xdr:clientData fLocksWithSheet="0"/>
  </xdr:oneCellAnchor>
  <xdr:oneCellAnchor>
    <xdr:from>
      <xdr:col>0</xdr:col>
      <xdr:colOff>0</xdr:colOff>
      <xdr:row>188</xdr:row>
      <xdr:rowOff>0</xdr:rowOff>
    </xdr:from>
    <xdr:ext cx="333375" cy="333375"/>
    <xdr:pic>
      <xdr:nvPicPr>
        <xdr:cNvPr id="0" name="image223.jpg"/>
        <xdr:cNvPicPr preferRelativeResize="0"/>
      </xdr:nvPicPr>
      <xdr:blipFill>
        <a:blip cstate="print" r:embed="rId134"/>
        <a:stretch>
          <a:fillRect/>
        </a:stretch>
      </xdr:blipFill>
      <xdr:spPr>
        <a:prstGeom prst="rect">
          <a:avLst/>
        </a:prstGeom>
        <a:noFill/>
      </xdr:spPr>
    </xdr:pic>
    <xdr:clientData fLocksWithSheet="0"/>
  </xdr:oneCellAnchor>
  <xdr:oneCellAnchor>
    <xdr:from>
      <xdr:col>0</xdr:col>
      <xdr:colOff>0</xdr:colOff>
      <xdr:row>189</xdr:row>
      <xdr:rowOff>0</xdr:rowOff>
    </xdr:from>
    <xdr:ext cx="333375" cy="333375"/>
    <xdr:pic>
      <xdr:nvPicPr>
        <xdr:cNvPr id="0" name="image223.jpg"/>
        <xdr:cNvPicPr preferRelativeResize="0"/>
      </xdr:nvPicPr>
      <xdr:blipFill>
        <a:blip cstate="print" r:embed="rId134"/>
        <a:stretch>
          <a:fillRect/>
        </a:stretch>
      </xdr:blipFill>
      <xdr:spPr>
        <a:prstGeom prst="rect">
          <a:avLst/>
        </a:prstGeom>
        <a:noFill/>
      </xdr:spPr>
    </xdr:pic>
    <xdr:clientData fLocksWithSheet="0"/>
  </xdr:oneCellAnchor>
  <xdr:oneCellAnchor>
    <xdr:from>
      <xdr:col>0</xdr:col>
      <xdr:colOff>0</xdr:colOff>
      <xdr:row>190</xdr:row>
      <xdr:rowOff>0</xdr:rowOff>
    </xdr:from>
    <xdr:ext cx="333375" cy="333375"/>
    <xdr:pic>
      <xdr:nvPicPr>
        <xdr:cNvPr id="0" name="image228.jpg"/>
        <xdr:cNvPicPr preferRelativeResize="0"/>
      </xdr:nvPicPr>
      <xdr:blipFill>
        <a:blip cstate="print" r:embed="rId135"/>
        <a:stretch>
          <a:fillRect/>
        </a:stretch>
      </xdr:blipFill>
      <xdr:spPr>
        <a:prstGeom prst="rect">
          <a:avLst/>
        </a:prstGeom>
        <a:noFill/>
      </xdr:spPr>
    </xdr:pic>
    <xdr:clientData fLocksWithSheet="0"/>
  </xdr:oneCellAnchor>
  <xdr:oneCellAnchor>
    <xdr:from>
      <xdr:col>0</xdr:col>
      <xdr:colOff>0</xdr:colOff>
      <xdr:row>191</xdr:row>
      <xdr:rowOff>0</xdr:rowOff>
    </xdr:from>
    <xdr:ext cx="333375" cy="333375"/>
    <xdr:pic>
      <xdr:nvPicPr>
        <xdr:cNvPr id="0" name="image319.jpg"/>
        <xdr:cNvPicPr preferRelativeResize="0"/>
      </xdr:nvPicPr>
      <xdr:blipFill>
        <a:blip cstate="print" r:embed="rId136"/>
        <a:stretch>
          <a:fillRect/>
        </a:stretch>
      </xdr:blipFill>
      <xdr:spPr>
        <a:prstGeom prst="rect">
          <a:avLst/>
        </a:prstGeom>
        <a:noFill/>
      </xdr:spPr>
    </xdr:pic>
    <xdr:clientData fLocksWithSheet="0"/>
  </xdr:oneCellAnchor>
  <xdr:oneCellAnchor>
    <xdr:from>
      <xdr:col>0</xdr:col>
      <xdr:colOff>0</xdr:colOff>
      <xdr:row>192</xdr:row>
      <xdr:rowOff>0</xdr:rowOff>
    </xdr:from>
    <xdr:ext cx="333375" cy="333375"/>
    <xdr:pic>
      <xdr:nvPicPr>
        <xdr:cNvPr id="0" name="image306.jpg"/>
        <xdr:cNvPicPr preferRelativeResize="0"/>
      </xdr:nvPicPr>
      <xdr:blipFill>
        <a:blip cstate="print" r:embed="rId137"/>
        <a:stretch>
          <a:fillRect/>
        </a:stretch>
      </xdr:blipFill>
      <xdr:spPr>
        <a:prstGeom prst="rect">
          <a:avLst/>
        </a:prstGeom>
        <a:noFill/>
      </xdr:spPr>
    </xdr:pic>
    <xdr:clientData fLocksWithSheet="0"/>
  </xdr:oneCellAnchor>
  <xdr:oneCellAnchor>
    <xdr:from>
      <xdr:col>0</xdr:col>
      <xdr:colOff>0</xdr:colOff>
      <xdr:row>193</xdr:row>
      <xdr:rowOff>0</xdr:rowOff>
    </xdr:from>
    <xdr:ext cx="333375" cy="333375"/>
    <xdr:pic>
      <xdr:nvPicPr>
        <xdr:cNvPr id="0" name="image219.jpg"/>
        <xdr:cNvPicPr preferRelativeResize="0"/>
      </xdr:nvPicPr>
      <xdr:blipFill>
        <a:blip cstate="print" r:embed="rId138"/>
        <a:stretch>
          <a:fillRect/>
        </a:stretch>
      </xdr:blipFill>
      <xdr:spPr>
        <a:prstGeom prst="rect">
          <a:avLst/>
        </a:prstGeom>
        <a:noFill/>
      </xdr:spPr>
    </xdr:pic>
    <xdr:clientData fLocksWithSheet="0"/>
  </xdr:oneCellAnchor>
  <xdr:oneCellAnchor>
    <xdr:from>
      <xdr:col>0</xdr:col>
      <xdr:colOff>0</xdr:colOff>
      <xdr:row>194</xdr:row>
      <xdr:rowOff>0</xdr:rowOff>
    </xdr:from>
    <xdr:ext cx="333375" cy="333375"/>
    <xdr:pic>
      <xdr:nvPicPr>
        <xdr:cNvPr id="0" name="image219.jpg"/>
        <xdr:cNvPicPr preferRelativeResize="0"/>
      </xdr:nvPicPr>
      <xdr:blipFill>
        <a:blip cstate="print" r:embed="rId138"/>
        <a:stretch>
          <a:fillRect/>
        </a:stretch>
      </xdr:blipFill>
      <xdr:spPr>
        <a:prstGeom prst="rect">
          <a:avLst/>
        </a:prstGeom>
        <a:noFill/>
      </xdr:spPr>
    </xdr:pic>
    <xdr:clientData fLocksWithSheet="0"/>
  </xdr:oneCellAnchor>
  <xdr:oneCellAnchor>
    <xdr:from>
      <xdr:col>0</xdr:col>
      <xdr:colOff>0</xdr:colOff>
      <xdr:row>195</xdr:row>
      <xdr:rowOff>0</xdr:rowOff>
    </xdr:from>
    <xdr:ext cx="333375" cy="333375"/>
    <xdr:pic>
      <xdr:nvPicPr>
        <xdr:cNvPr id="0" name="image219.jpg"/>
        <xdr:cNvPicPr preferRelativeResize="0"/>
      </xdr:nvPicPr>
      <xdr:blipFill>
        <a:blip cstate="print" r:embed="rId138"/>
        <a:stretch>
          <a:fillRect/>
        </a:stretch>
      </xdr:blipFill>
      <xdr:spPr>
        <a:prstGeom prst="rect">
          <a:avLst/>
        </a:prstGeom>
        <a:noFill/>
      </xdr:spPr>
    </xdr:pic>
    <xdr:clientData fLocksWithSheet="0"/>
  </xdr:oneCellAnchor>
  <xdr:oneCellAnchor>
    <xdr:from>
      <xdr:col>0</xdr:col>
      <xdr:colOff>0</xdr:colOff>
      <xdr:row>196</xdr:row>
      <xdr:rowOff>0</xdr:rowOff>
    </xdr:from>
    <xdr:ext cx="333375" cy="333375"/>
    <xdr:pic>
      <xdr:nvPicPr>
        <xdr:cNvPr id="0" name="image219.jpg"/>
        <xdr:cNvPicPr preferRelativeResize="0"/>
      </xdr:nvPicPr>
      <xdr:blipFill>
        <a:blip cstate="print" r:embed="rId138"/>
        <a:stretch>
          <a:fillRect/>
        </a:stretch>
      </xdr:blipFill>
      <xdr:spPr>
        <a:prstGeom prst="rect">
          <a:avLst/>
        </a:prstGeom>
        <a:noFill/>
      </xdr:spPr>
    </xdr:pic>
    <xdr:clientData fLocksWithSheet="0"/>
  </xdr:oneCellAnchor>
  <xdr:oneCellAnchor>
    <xdr:from>
      <xdr:col>0</xdr:col>
      <xdr:colOff>0</xdr:colOff>
      <xdr:row>197</xdr:row>
      <xdr:rowOff>0</xdr:rowOff>
    </xdr:from>
    <xdr:ext cx="333375" cy="333375"/>
    <xdr:pic>
      <xdr:nvPicPr>
        <xdr:cNvPr id="0" name="image226.jpg"/>
        <xdr:cNvPicPr preferRelativeResize="0"/>
      </xdr:nvPicPr>
      <xdr:blipFill>
        <a:blip cstate="print" r:embed="rId139"/>
        <a:stretch>
          <a:fillRect/>
        </a:stretch>
      </xdr:blipFill>
      <xdr:spPr>
        <a:prstGeom prst="rect">
          <a:avLst/>
        </a:prstGeom>
        <a:noFill/>
      </xdr:spPr>
    </xdr:pic>
    <xdr:clientData fLocksWithSheet="0"/>
  </xdr:oneCellAnchor>
  <xdr:oneCellAnchor>
    <xdr:from>
      <xdr:col>0</xdr:col>
      <xdr:colOff>0</xdr:colOff>
      <xdr:row>198</xdr:row>
      <xdr:rowOff>0</xdr:rowOff>
    </xdr:from>
    <xdr:ext cx="333375" cy="333375"/>
    <xdr:pic>
      <xdr:nvPicPr>
        <xdr:cNvPr id="0" name="image225.jpg"/>
        <xdr:cNvPicPr preferRelativeResize="0"/>
      </xdr:nvPicPr>
      <xdr:blipFill>
        <a:blip cstate="print" r:embed="rId140"/>
        <a:stretch>
          <a:fillRect/>
        </a:stretch>
      </xdr:blipFill>
      <xdr:spPr>
        <a:prstGeom prst="rect">
          <a:avLst/>
        </a:prstGeom>
        <a:noFill/>
      </xdr:spPr>
    </xdr:pic>
    <xdr:clientData fLocksWithSheet="0"/>
  </xdr:oneCellAnchor>
  <xdr:oneCellAnchor>
    <xdr:from>
      <xdr:col>0</xdr:col>
      <xdr:colOff>0</xdr:colOff>
      <xdr:row>199</xdr:row>
      <xdr:rowOff>0</xdr:rowOff>
    </xdr:from>
    <xdr:ext cx="333375" cy="333375"/>
    <xdr:pic>
      <xdr:nvPicPr>
        <xdr:cNvPr id="0" name="image221.jpg"/>
        <xdr:cNvPicPr preferRelativeResize="0"/>
      </xdr:nvPicPr>
      <xdr:blipFill>
        <a:blip cstate="print" r:embed="rId141"/>
        <a:stretch>
          <a:fillRect/>
        </a:stretch>
      </xdr:blipFill>
      <xdr:spPr>
        <a:prstGeom prst="rect">
          <a:avLst/>
        </a:prstGeom>
        <a:noFill/>
      </xdr:spPr>
    </xdr:pic>
    <xdr:clientData fLocksWithSheet="0"/>
  </xdr:oneCellAnchor>
  <xdr:oneCellAnchor>
    <xdr:from>
      <xdr:col>0</xdr:col>
      <xdr:colOff>0</xdr:colOff>
      <xdr:row>200</xdr:row>
      <xdr:rowOff>0</xdr:rowOff>
    </xdr:from>
    <xdr:ext cx="333375" cy="333375"/>
    <xdr:pic>
      <xdr:nvPicPr>
        <xdr:cNvPr id="0" name="image220.jpg"/>
        <xdr:cNvPicPr preferRelativeResize="0"/>
      </xdr:nvPicPr>
      <xdr:blipFill>
        <a:blip cstate="print" r:embed="rId142"/>
        <a:stretch>
          <a:fillRect/>
        </a:stretch>
      </xdr:blipFill>
      <xdr:spPr>
        <a:prstGeom prst="rect">
          <a:avLst/>
        </a:prstGeom>
        <a:noFill/>
      </xdr:spPr>
    </xdr:pic>
    <xdr:clientData fLocksWithSheet="0"/>
  </xdr:oneCellAnchor>
  <xdr:oneCellAnchor>
    <xdr:from>
      <xdr:col>0</xdr:col>
      <xdr:colOff>0</xdr:colOff>
      <xdr:row>201</xdr:row>
      <xdr:rowOff>0</xdr:rowOff>
    </xdr:from>
    <xdr:ext cx="333375" cy="333375"/>
    <xdr:pic>
      <xdr:nvPicPr>
        <xdr:cNvPr id="0" name="image222.jpg"/>
        <xdr:cNvPicPr preferRelativeResize="0"/>
      </xdr:nvPicPr>
      <xdr:blipFill>
        <a:blip cstate="print" r:embed="rId143"/>
        <a:stretch>
          <a:fillRect/>
        </a:stretch>
      </xdr:blipFill>
      <xdr:spPr>
        <a:prstGeom prst="rect">
          <a:avLst/>
        </a:prstGeom>
        <a:noFill/>
      </xdr:spPr>
    </xdr:pic>
    <xdr:clientData fLocksWithSheet="0"/>
  </xdr:oneCellAnchor>
  <xdr:oneCellAnchor>
    <xdr:from>
      <xdr:col>0</xdr:col>
      <xdr:colOff>0</xdr:colOff>
      <xdr:row>202</xdr:row>
      <xdr:rowOff>0</xdr:rowOff>
    </xdr:from>
    <xdr:ext cx="333375" cy="333375"/>
    <xdr:pic>
      <xdr:nvPicPr>
        <xdr:cNvPr id="0" name="image239.jpg"/>
        <xdr:cNvPicPr preferRelativeResize="0"/>
      </xdr:nvPicPr>
      <xdr:blipFill>
        <a:blip cstate="print" r:embed="rId144"/>
        <a:stretch>
          <a:fillRect/>
        </a:stretch>
      </xdr:blipFill>
      <xdr:spPr>
        <a:prstGeom prst="rect">
          <a:avLst/>
        </a:prstGeom>
        <a:noFill/>
      </xdr:spPr>
    </xdr:pic>
    <xdr:clientData fLocksWithSheet="0"/>
  </xdr:oneCellAnchor>
  <xdr:oneCellAnchor>
    <xdr:from>
      <xdr:col>0</xdr:col>
      <xdr:colOff>0</xdr:colOff>
      <xdr:row>203</xdr:row>
      <xdr:rowOff>0</xdr:rowOff>
    </xdr:from>
    <xdr:ext cx="333375" cy="333375"/>
    <xdr:pic>
      <xdr:nvPicPr>
        <xdr:cNvPr id="0" name="image235.jpg"/>
        <xdr:cNvPicPr preferRelativeResize="0"/>
      </xdr:nvPicPr>
      <xdr:blipFill>
        <a:blip cstate="print" r:embed="rId145"/>
        <a:stretch>
          <a:fillRect/>
        </a:stretch>
      </xdr:blipFill>
      <xdr:spPr>
        <a:prstGeom prst="rect">
          <a:avLst/>
        </a:prstGeom>
        <a:noFill/>
      </xdr:spPr>
    </xdr:pic>
    <xdr:clientData fLocksWithSheet="0"/>
  </xdr:oneCellAnchor>
  <xdr:oneCellAnchor>
    <xdr:from>
      <xdr:col>0</xdr:col>
      <xdr:colOff>0</xdr:colOff>
      <xdr:row>204</xdr:row>
      <xdr:rowOff>0</xdr:rowOff>
    </xdr:from>
    <xdr:ext cx="333375" cy="333375"/>
    <xdr:pic>
      <xdr:nvPicPr>
        <xdr:cNvPr id="0" name="image235.jpg"/>
        <xdr:cNvPicPr preferRelativeResize="0"/>
      </xdr:nvPicPr>
      <xdr:blipFill>
        <a:blip cstate="print" r:embed="rId145"/>
        <a:stretch>
          <a:fillRect/>
        </a:stretch>
      </xdr:blipFill>
      <xdr:spPr>
        <a:prstGeom prst="rect">
          <a:avLst/>
        </a:prstGeom>
        <a:noFill/>
      </xdr:spPr>
    </xdr:pic>
    <xdr:clientData fLocksWithSheet="0"/>
  </xdr:oneCellAnchor>
  <xdr:oneCellAnchor>
    <xdr:from>
      <xdr:col>0</xdr:col>
      <xdr:colOff>0</xdr:colOff>
      <xdr:row>205</xdr:row>
      <xdr:rowOff>0</xdr:rowOff>
    </xdr:from>
    <xdr:ext cx="333375" cy="333375"/>
    <xdr:pic>
      <xdr:nvPicPr>
        <xdr:cNvPr id="0" name="image234.jpg"/>
        <xdr:cNvPicPr preferRelativeResize="0"/>
      </xdr:nvPicPr>
      <xdr:blipFill>
        <a:blip cstate="print" r:embed="rId146"/>
        <a:stretch>
          <a:fillRect/>
        </a:stretch>
      </xdr:blipFill>
      <xdr:spPr>
        <a:prstGeom prst="rect">
          <a:avLst/>
        </a:prstGeom>
        <a:noFill/>
      </xdr:spPr>
    </xdr:pic>
    <xdr:clientData fLocksWithSheet="0"/>
  </xdr:oneCellAnchor>
  <xdr:oneCellAnchor>
    <xdr:from>
      <xdr:col>0</xdr:col>
      <xdr:colOff>0</xdr:colOff>
      <xdr:row>206</xdr:row>
      <xdr:rowOff>0</xdr:rowOff>
    </xdr:from>
    <xdr:ext cx="333375" cy="333375"/>
    <xdr:pic>
      <xdr:nvPicPr>
        <xdr:cNvPr id="0" name="image242.jpg"/>
        <xdr:cNvPicPr preferRelativeResize="0"/>
      </xdr:nvPicPr>
      <xdr:blipFill>
        <a:blip cstate="print" r:embed="rId147"/>
        <a:stretch>
          <a:fillRect/>
        </a:stretch>
      </xdr:blipFill>
      <xdr:spPr>
        <a:prstGeom prst="rect">
          <a:avLst/>
        </a:prstGeom>
        <a:noFill/>
      </xdr:spPr>
    </xdr:pic>
    <xdr:clientData fLocksWithSheet="0"/>
  </xdr:oneCellAnchor>
  <xdr:oneCellAnchor>
    <xdr:from>
      <xdr:col>0</xdr:col>
      <xdr:colOff>0</xdr:colOff>
      <xdr:row>207</xdr:row>
      <xdr:rowOff>0</xdr:rowOff>
    </xdr:from>
    <xdr:ext cx="333375" cy="333375"/>
    <xdr:pic>
      <xdr:nvPicPr>
        <xdr:cNvPr id="0" name="image238.jpg"/>
        <xdr:cNvPicPr preferRelativeResize="0"/>
      </xdr:nvPicPr>
      <xdr:blipFill>
        <a:blip cstate="print" r:embed="rId148"/>
        <a:stretch>
          <a:fillRect/>
        </a:stretch>
      </xdr:blipFill>
      <xdr:spPr>
        <a:prstGeom prst="rect">
          <a:avLst/>
        </a:prstGeom>
        <a:noFill/>
      </xdr:spPr>
    </xdr:pic>
    <xdr:clientData fLocksWithSheet="0"/>
  </xdr:oneCellAnchor>
  <xdr:oneCellAnchor>
    <xdr:from>
      <xdr:col>0</xdr:col>
      <xdr:colOff>0</xdr:colOff>
      <xdr:row>208</xdr:row>
      <xdr:rowOff>0</xdr:rowOff>
    </xdr:from>
    <xdr:ext cx="333375" cy="333375"/>
    <xdr:pic>
      <xdr:nvPicPr>
        <xdr:cNvPr id="0" name="image238.jpg"/>
        <xdr:cNvPicPr preferRelativeResize="0"/>
      </xdr:nvPicPr>
      <xdr:blipFill>
        <a:blip cstate="print" r:embed="rId148"/>
        <a:stretch>
          <a:fillRect/>
        </a:stretch>
      </xdr:blipFill>
      <xdr:spPr>
        <a:prstGeom prst="rect">
          <a:avLst/>
        </a:prstGeom>
        <a:noFill/>
      </xdr:spPr>
    </xdr:pic>
    <xdr:clientData fLocksWithSheet="0"/>
  </xdr:oneCellAnchor>
  <xdr:oneCellAnchor>
    <xdr:from>
      <xdr:col>0</xdr:col>
      <xdr:colOff>0</xdr:colOff>
      <xdr:row>209</xdr:row>
      <xdr:rowOff>0</xdr:rowOff>
    </xdr:from>
    <xdr:ext cx="333375" cy="333375"/>
    <xdr:pic>
      <xdr:nvPicPr>
        <xdr:cNvPr id="0" name="image238.jpg"/>
        <xdr:cNvPicPr preferRelativeResize="0"/>
      </xdr:nvPicPr>
      <xdr:blipFill>
        <a:blip cstate="print" r:embed="rId148"/>
        <a:stretch>
          <a:fillRect/>
        </a:stretch>
      </xdr:blipFill>
      <xdr:spPr>
        <a:prstGeom prst="rect">
          <a:avLst/>
        </a:prstGeom>
        <a:noFill/>
      </xdr:spPr>
    </xdr:pic>
    <xdr:clientData fLocksWithSheet="0"/>
  </xdr:oneCellAnchor>
  <xdr:oneCellAnchor>
    <xdr:from>
      <xdr:col>0</xdr:col>
      <xdr:colOff>0</xdr:colOff>
      <xdr:row>210</xdr:row>
      <xdr:rowOff>0</xdr:rowOff>
    </xdr:from>
    <xdr:ext cx="333375" cy="333375"/>
    <xdr:pic>
      <xdr:nvPicPr>
        <xdr:cNvPr id="0" name="image230.jpg"/>
        <xdr:cNvPicPr preferRelativeResize="0"/>
      </xdr:nvPicPr>
      <xdr:blipFill>
        <a:blip cstate="print" r:embed="rId149"/>
        <a:stretch>
          <a:fillRect/>
        </a:stretch>
      </xdr:blipFill>
      <xdr:spPr>
        <a:prstGeom prst="rect">
          <a:avLst/>
        </a:prstGeom>
        <a:noFill/>
      </xdr:spPr>
    </xdr:pic>
    <xdr:clientData fLocksWithSheet="0"/>
  </xdr:oneCellAnchor>
  <xdr:oneCellAnchor>
    <xdr:from>
      <xdr:col>0</xdr:col>
      <xdr:colOff>0</xdr:colOff>
      <xdr:row>211</xdr:row>
      <xdr:rowOff>0</xdr:rowOff>
    </xdr:from>
    <xdr:ext cx="333375" cy="333375"/>
    <xdr:pic>
      <xdr:nvPicPr>
        <xdr:cNvPr id="0" name="image230.jpg"/>
        <xdr:cNvPicPr preferRelativeResize="0"/>
      </xdr:nvPicPr>
      <xdr:blipFill>
        <a:blip cstate="print" r:embed="rId149"/>
        <a:stretch>
          <a:fillRect/>
        </a:stretch>
      </xdr:blipFill>
      <xdr:spPr>
        <a:prstGeom prst="rect">
          <a:avLst/>
        </a:prstGeom>
        <a:noFill/>
      </xdr:spPr>
    </xdr:pic>
    <xdr:clientData fLocksWithSheet="0"/>
  </xdr:oneCellAnchor>
  <xdr:oneCellAnchor>
    <xdr:from>
      <xdr:col>0</xdr:col>
      <xdr:colOff>0</xdr:colOff>
      <xdr:row>212</xdr:row>
      <xdr:rowOff>0</xdr:rowOff>
    </xdr:from>
    <xdr:ext cx="333375" cy="333375"/>
    <xdr:pic>
      <xdr:nvPicPr>
        <xdr:cNvPr id="0" name="image274.jpg"/>
        <xdr:cNvPicPr preferRelativeResize="0"/>
      </xdr:nvPicPr>
      <xdr:blipFill>
        <a:blip cstate="print" r:embed="rId150"/>
        <a:stretch>
          <a:fillRect/>
        </a:stretch>
      </xdr:blipFill>
      <xdr:spPr>
        <a:prstGeom prst="rect">
          <a:avLst/>
        </a:prstGeom>
        <a:noFill/>
      </xdr:spPr>
    </xdr:pic>
    <xdr:clientData fLocksWithSheet="0"/>
  </xdr:oneCellAnchor>
  <xdr:oneCellAnchor>
    <xdr:from>
      <xdr:col>0</xdr:col>
      <xdr:colOff>0</xdr:colOff>
      <xdr:row>213</xdr:row>
      <xdr:rowOff>0</xdr:rowOff>
    </xdr:from>
    <xdr:ext cx="333375" cy="333375"/>
    <xdr:pic>
      <xdr:nvPicPr>
        <xdr:cNvPr id="0" name="image232.jpg"/>
        <xdr:cNvPicPr preferRelativeResize="0"/>
      </xdr:nvPicPr>
      <xdr:blipFill>
        <a:blip cstate="print" r:embed="rId151"/>
        <a:stretch>
          <a:fillRect/>
        </a:stretch>
      </xdr:blipFill>
      <xdr:spPr>
        <a:prstGeom prst="rect">
          <a:avLst/>
        </a:prstGeom>
        <a:noFill/>
      </xdr:spPr>
    </xdr:pic>
    <xdr:clientData fLocksWithSheet="0"/>
  </xdr:oneCellAnchor>
  <xdr:oneCellAnchor>
    <xdr:from>
      <xdr:col>0</xdr:col>
      <xdr:colOff>0</xdr:colOff>
      <xdr:row>214</xdr:row>
      <xdr:rowOff>0</xdr:rowOff>
    </xdr:from>
    <xdr:ext cx="333375" cy="333375"/>
    <xdr:pic>
      <xdr:nvPicPr>
        <xdr:cNvPr id="0" name="image232.jpg"/>
        <xdr:cNvPicPr preferRelativeResize="0"/>
      </xdr:nvPicPr>
      <xdr:blipFill>
        <a:blip cstate="print" r:embed="rId151"/>
        <a:stretch>
          <a:fillRect/>
        </a:stretch>
      </xdr:blipFill>
      <xdr:spPr>
        <a:prstGeom prst="rect">
          <a:avLst/>
        </a:prstGeom>
        <a:noFill/>
      </xdr:spPr>
    </xdr:pic>
    <xdr:clientData fLocksWithSheet="0"/>
  </xdr:oneCellAnchor>
  <xdr:oneCellAnchor>
    <xdr:from>
      <xdr:col>0</xdr:col>
      <xdr:colOff>0</xdr:colOff>
      <xdr:row>215</xdr:row>
      <xdr:rowOff>0</xdr:rowOff>
    </xdr:from>
    <xdr:ext cx="333375" cy="333375"/>
    <xdr:pic>
      <xdr:nvPicPr>
        <xdr:cNvPr id="0" name="image403.jpg"/>
        <xdr:cNvPicPr preferRelativeResize="0"/>
      </xdr:nvPicPr>
      <xdr:blipFill>
        <a:blip cstate="print" r:embed="rId152"/>
        <a:stretch>
          <a:fillRect/>
        </a:stretch>
      </xdr:blipFill>
      <xdr:spPr>
        <a:prstGeom prst="rect">
          <a:avLst/>
        </a:prstGeom>
        <a:noFill/>
      </xdr:spPr>
    </xdr:pic>
    <xdr:clientData fLocksWithSheet="0"/>
  </xdr:oneCellAnchor>
  <xdr:oneCellAnchor>
    <xdr:from>
      <xdr:col>0</xdr:col>
      <xdr:colOff>0</xdr:colOff>
      <xdr:row>216</xdr:row>
      <xdr:rowOff>0</xdr:rowOff>
    </xdr:from>
    <xdr:ext cx="333375" cy="333375"/>
    <xdr:pic>
      <xdr:nvPicPr>
        <xdr:cNvPr id="0" name="image403.jpg"/>
        <xdr:cNvPicPr preferRelativeResize="0"/>
      </xdr:nvPicPr>
      <xdr:blipFill>
        <a:blip cstate="print" r:embed="rId152"/>
        <a:stretch>
          <a:fillRect/>
        </a:stretch>
      </xdr:blipFill>
      <xdr:spPr>
        <a:prstGeom prst="rect">
          <a:avLst/>
        </a:prstGeom>
        <a:noFill/>
      </xdr:spPr>
    </xdr:pic>
    <xdr:clientData fLocksWithSheet="0"/>
  </xdr:oneCellAnchor>
  <xdr:oneCellAnchor>
    <xdr:from>
      <xdr:col>0</xdr:col>
      <xdr:colOff>0</xdr:colOff>
      <xdr:row>217</xdr:row>
      <xdr:rowOff>0</xdr:rowOff>
    </xdr:from>
    <xdr:ext cx="333375" cy="333375"/>
    <xdr:pic>
      <xdr:nvPicPr>
        <xdr:cNvPr id="0" name="image233.jpg"/>
        <xdr:cNvPicPr preferRelativeResize="0"/>
      </xdr:nvPicPr>
      <xdr:blipFill>
        <a:blip cstate="print" r:embed="rId153"/>
        <a:stretch>
          <a:fillRect/>
        </a:stretch>
      </xdr:blipFill>
      <xdr:spPr>
        <a:prstGeom prst="rect">
          <a:avLst/>
        </a:prstGeom>
        <a:noFill/>
      </xdr:spPr>
    </xdr:pic>
    <xdr:clientData fLocksWithSheet="0"/>
  </xdr:oneCellAnchor>
  <xdr:oneCellAnchor>
    <xdr:from>
      <xdr:col>0</xdr:col>
      <xdr:colOff>0</xdr:colOff>
      <xdr:row>218</xdr:row>
      <xdr:rowOff>0</xdr:rowOff>
    </xdr:from>
    <xdr:ext cx="333375" cy="333375"/>
    <xdr:pic>
      <xdr:nvPicPr>
        <xdr:cNvPr id="0" name="image248.jpg"/>
        <xdr:cNvPicPr preferRelativeResize="0"/>
      </xdr:nvPicPr>
      <xdr:blipFill>
        <a:blip cstate="print" r:embed="rId154"/>
        <a:stretch>
          <a:fillRect/>
        </a:stretch>
      </xdr:blipFill>
      <xdr:spPr>
        <a:prstGeom prst="rect">
          <a:avLst/>
        </a:prstGeom>
        <a:noFill/>
      </xdr:spPr>
    </xdr:pic>
    <xdr:clientData fLocksWithSheet="0"/>
  </xdr:oneCellAnchor>
  <xdr:oneCellAnchor>
    <xdr:from>
      <xdr:col>0</xdr:col>
      <xdr:colOff>0</xdr:colOff>
      <xdr:row>219</xdr:row>
      <xdr:rowOff>0</xdr:rowOff>
    </xdr:from>
    <xdr:ext cx="333375" cy="333375"/>
    <xdr:pic>
      <xdr:nvPicPr>
        <xdr:cNvPr id="0" name="image246.jpg"/>
        <xdr:cNvPicPr preferRelativeResize="0"/>
      </xdr:nvPicPr>
      <xdr:blipFill>
        <a:blip cstate="print" r:embed="rId155"/>
        <a:stretch>
          <a:fillRect/>
        </a:stretch>
      </xdr:blipFill>
      <xdr:spPr>
        <a:prstGeom prst="rect">
          <a:avLst/>
        </a:prstGeom>
        <a:noFill/>
      </xdr:spPr>
    </xdr:pic>
    <xdr:clientData fLocksWithSheet="0"/>
  </xdr:oneCellAnchor>
  <xdr:oneCellAnchor>
    <xdr:from>
      <xdr:col>0</xdr:col>
      <xdr:colOff>0</xdr:colOff>
      <xdr:row>220</xdr:row>
      <xdr:rowOff>0</xdr:rowOff>
    </xdr:from>
    <xdr:ext cx="333375" cy="333375"/>
    <xdr:pic>
      <xdr:nvPicPr>
        <xdr:cNvPr id="0" name="image271.jpg"/>
        <xdr:cNvPicPr preferRelativeResize="0"/>
      </xdr:nvPicPr>
      <xdr:blipFill>
        <a:blip cstate="print" r:embed="rId156"/>
        <a:stretch>
          <a:fillRect/>
        </a:stretch>
      </xdr:blipFill>
      <xdr:spPr>
        <a:prstGeom prst="rect">
          <a:avLst/>
        </a:prstGeom>
        <a:noFill/>
      </xdr:spPr>
    </xdr:pic>
    <xdr:clientData fLocksWithSheet="0"/>
  </xdr:oneCellAnchor>
  <xdr:oneCellAnchor>
    <xdr:from>
      <xdr:col>0</xdr:col>
      <xdr:colOff>0</xdr:colOff>
      <xdr:row>221</xdr:row>
      <xdr:rowOff>0</xdr:rowOff>
    </xdr:from>
    <xdr:ext cx="333375" cy="333375"/>
    <xdr:pic>
      <xdr:nvPicPr>
        <xdr:cNvPr id="0" name="image271.jpg"/>
        <xdr:cNvPicPr preferRelativeResize="0"/>
      </xdr:nvPicPr>
      <xdr:blipFill>
        <a:blip cstate="print" r:embed="rId156"/>
        <a:stretch>
          <a:fillRect/>
        </a:stretch>
      </xdr:blipFill>
      <xdr:spPr>
        <a:prstGeom prst="rect">
          <a:avLst/>
        </a:prstGeom>
        <a:noFill/>
      </xdr:spPr>
    </xdr:pic>
    <xdr:clientData fLocksWithSheet="0"/>
  </xdr:oneCellAnchor>
  <xdr:oneCellAnchor>
    <xdr:from>
      <xdr:col>0</xdr:col>
      <xdr:colOff>0</xdr:colOff>
      <xdr:row>222</xdr:row>
      <xdr:rowOff>0</xdr:rowOff>
    </xdr:from>
    <xdr:ext cx="333375" cy="333375"/>
    <xdr:pic>
      <xdr:nvPicPr>
        <xdr:cNvPr id="0" name="image243.jpg"/>
        <xdr:cNvPicPr preferRelativeResize="0"/>
      </xdr:nvPicPr>
      <xdr:blipFill>
        <a:blip cstate="print" r:embed="rId157"/>
        <a:stretch>
          <a:fillRect/>
        </a:stretch>
      </xdr:blipFill>
      <xdr:spPr>
        <a:prstGeom prst="rect">
          <a:avLst/>
        </a:prstGeom>
        <a:noFill/>
      </xdr:spPr>
    </xdr:pic>
    <xdr:clientData fLocksWithSheet="0"/>
  </xdr:oneCellAnchor>
  <xdr:oneCellAnchor>
    <xdr:from>
      <xdr:col>0</xdr:col>
      <xdr:colOff>0</xdr:colOff>
      <xdr:row>223</xdr:row>
      <xdr:rowOff>0</xdr:rowOff>
    </xdr:from>
    <xdr:ext cx="333375" cy="333375"/>
    <xdr:pic>
      <xdr:nvPicPr>
        <xdr:cNvPr id="0" name="image426.jpg"/>
        <xdr:cNvPicPr preferRelativeResize="0"/>
      </xdr:nvPicPr>
      <xdr:blipFill>
        <a:blip cstate="print" r:embed="rId158"/>
        <a:stretch>
          <a:fillRect/>
        </a:stretch>
      </xdr:blipFill>
      <xdr:spPr>
        <a:prstGeom prst="rect">
          <a:avLst/>
        </a:prstGeom>
        <a:noFill/>
      </xdr:spPr>
    </xdr:pic>
    <xdr:clientData fLocksWithSheet="0"/>
  </xdr:oneCellAnchor>
  <xdr:oneCellAnchor>
    <xdr:from>
      <xdr:col>0</xdr:col>
      <xdr:colOff>0</xdr:colOff>
      <xdr:row>224</xdr:row>
      <xdr:rowOff>0</xdr:rowOff>
    </xdr:from>
    <xdr:ext cx="333375" cy="333375"/>
    <xdr:pic>
      <xdr:nvPicPr>
        <xdr:cNvPr id="0" name="image252.jpg"/>
        <xdr:cNvPicPr preferRelativeResize="0"/>
      </xdr:nvPicPr>
      <xdr:blipFill>
        <a:blip cstate="print" r:embed="rId159"/>
        <a:stretch>
          <a:fillRect/>
        </a:stretch>
      </xdr:blipFill>
      <xdr:spPr>
        <a:prstGeom prst="rect">
          <a:avLst/>
        </a:prstGeom>
        <a:noFill/>
      </xdr:spPr>
    </xdr:pic>
    <xdr:clientData fLocksWithSheet="0"/>
  </xdr:oneCellAnchor>
  <xdr:oneCellAnchor>
    <xdr:from>
      <xdr:col>0</xdr:col>
      <xdr:colOff>0</xdr:colOff>
      <xdr:row>225</xdr:row>
      <xdr:rowOff>0</xdr:rowOff>
    </xdr:from>
    <xdr:ext cx="333375" cy="333375"/>
    <xdr:pic>
      <xdr:nvPicPr>
        <xdr:cNvPr id="0" name="image328.jpg"/>
        <xdr:cNvPicPr preferRelativeResize="0"/>
      </xdr:nvPicPr>
      <xdr:blipFill>
        <a:blip cstate="print" r:embed="rId160"/>
        <a:stretch>
          <a:fillRect/>
        </a:stretch>
      </xdr:blipFill>
      <xdr:spPr>
        <a:prstGeom prst="rect">
          <a:avLst/>
        </a:prstGeom>
        <a:noFill/>
      </xdr:spPr>
    </xdr:pic>
    <xdr:clientData fLocksWithSheet="0"/>
  </xdr:oneCellAnchor>
  <xdr:oneCellAnchor>
    <xdr:from>
      <xdr:col>0</xdr:col>
      <xdr:colOff>0</xdr:colOff>
      <xdr:row>226</xdr:row>
      <xdr:rowOff>0</xdr:rowOff>
    </xdr:from>
    <xdr:ext cx="333375" cy="333375"/>
    <xdr:pic>
      <xdr:nvPicPr>
        <xdr:cNvPr id="0" name="image244.jpg"/>
        <xdr:cNvPicPr preferRelativeResize="0"/>
      </xdr:nvPicPr>
      <xdr:blipFill>
        <a:blip cstate="print" r:embed="rId161"/>
        <a:stretch>
          <a:fillRect/>
        </a:stretch>
      </xdr:blipFill>
      <xdr:spPr>
        <a:prstGeom prst="rect">
          <a:avLst/>
        </a:prstGeom>
        <a:noFill/>
      </xdr:spPr>
    </xdr:pic>
    <xdr:clientData fLocksWithSheet="0"/>
  </xdr:oneCellAnchor>
  <xdr:oneCellAnchor>
    <xdr:from>
      <xdr:col>0</xdr:col>
      <xdr:colOff>0</xdr:colOff>
      <xdr:row>227</xdr:row>
      <xdr:rowOff>0</xdr:rowOff>
    </xdr:from>
    <xdr:ext cx="333375" cy="333375"/>
    <xdr:pic>
      <xdr:nvPicPr>
        <xdr:cNvPr id="0" name="image309.jpg"/>
        <xdr:cNvPicPr preferRelativeResize="0"/>
      </xdr:nvPicPr>
      <xdr:blipFill>
        <a:blip cstate="print" r:embed="rId162"/>
        <a:stretch>
          <a:fillRect/>
        </a:stretch>
      </xdr:blipFill>
      <xdr:spPr>
        <a:prstGeom prst="rect">
          <a:avLst/>
        </a:prstGeom>
        <a:noFill/>
      </xdr:spPr>
    </xdr:pic>
    <xdr:clientData fLocksWithSheet="0"/>
  </xdr:oneCellAnchor>
  <xdr:oneCellAnchor>
    <xdr:from>
      <xdr:col>0</xdr:col>
      <xdr:colOff>0</xdr:colOff>
      <xdr:row>228</xdr:row>
      <xdr:rowOff>0</xdr:rowOff>
    </xdr:from>
    <xdr:ext cx="333375" cy="333375"/>
    <xdr:pic>
      <xdr:nvPicPr>
        <xdr:cNvPr id="0" name="image241.jpg"/>
        <xdr:cNvPicPr preferRelativeResize="0"/>
      </xdr:nvPicPr>
      <xdr:blipFill>
        <a:blip cstate="print" r:embed="rId163"/>
        <a:stretch>
          <a:fillRect/>
        </a:stretch>
      </xdr:blipFill>
      <xdr:spPr>
        <a:prstGeom prst="rect">
          <a:avLst/>
        </a:prstGeom>
        <a:noFill/>
      </xdr:spPr>
    </xdr:pic>
    <xdr:clientData fLocksWithSheet="0"/>
  </xdr:oneCellAnchor>
  <xdr:oneCellAnchor>
    <xdr:from>
      <xdr:col>0</xdr:col>
      <xdr:colOff>0</xdr:colOff>
      <xdr:row>229</xdr:row>
      <xdr:rowOff>0</xdr:rowOff>
    </xdr:from>
    <xdr:ext cx="333375" cy="333375"/>
    <xdr:pic>
      <xdr:nvPicPr>
        <xdr:cNvPr id="0" name="image263.jpg"/>
        <xdr:cNvPicPr preferRelativeResize="0"/>
      </xdr:nvPicPr>
      <xdr:blipFill>
        <a:blip cstate="print" r:embed="rId164"/>
        <a:stretch>
          <a:fillRect/>
        </a:stretch>
      </xdr:blipFill>
      <xdr:spPr>
        <a:prstGeom prst="rect">
          <a:avLst/>
        </a:prstGeom>
        <a:noFill/>
      </xdr:spPr>
    </xdr:pic>
    <xdr:clientData fLocksWithSheet="0"/>
  </xdr:oneCellAnchor>
  <xdr:oneCellAnchor>
    <xdr:from>
      <xdr:col>0</xdr:col>
      <xdr:colOff>0</xdr:colOff>
      <xdr:row>230</xdr:row>
      <xdr:rowOff>0</xdr:rowOff>
    </xdr:from>
    <xdr:ext cx="333375" cy="333375"/>
    <xdr:pic>
      <xdr:nvPicPr>
        <xdr:cNvPr id="0" name="image251.jpg"/>
        <xdr:cNvPicPr preferRelativeResize="0"/>
      </xdr:nvPicPr>
      <xdr:blipFill>
        <a:blip cstate="print" r:embed="rId165"/>
        <a:stretch>
          <a:fillRect/>
        </a:stretch>
      </xdr:blipFill>
      <xdr:spPr>
        <a:prstGeom prst="rect">
          <a:avLst/>
        </a:prstGeom>
        <a:noFill/>
      </xdr:spPr>
    </xdr:pic>
    <xdr:clientData fLocksWithSheet="0"/>
  </xdr:oneCellAnchor>
  <xdr:oneCellAnchor>
    <xdr:from>
      <xdr:col>0</xdr:col>
      <xdr:colOff>0</xdr:colOff>
      <xdr:row>231</xdr:row>
      <xdr:rowOff>0</xdr:rowOff>
    </xdr:from>
    <xdr:ext cx="333375" cy="333375"/>
    <xdr:pic>
      <xdr:nvPicPr>
        <xdr:cNvPr id="0" name="image259.jpg"/>
        <xdr:cNvPicPr preferRelativeResize="0"/>
      </xdr:nvPicPr>
      <xdr:blipFill>
        <a:blip cstate="print" r:embed="rId166"/>
        <a:stretch>
          <a:fillRect/>
        </a:stretch>
      </xdr:blipFill>
      <xdr:spPr>
        <a:prstGeom prst="rect">
          <a:avLst/>
        </a:prstGeom>
        <a:noFill/>
      </xdr:spPr>
    </xdr:pic>
    <xdr:clientData fLocksWithSheet="0"/>
  </xdr:oneCellAnchor>
  <xdr:oneCellAnchor>
    <xdr:from>
      <xdr:col>0</xdr:col>
      <xdr:colOff>0</xdr:colOff>
      <xdr:row>232</xdr:row>
      <xdr:rowOff>0</xdr:rowOff>
    </xdr:from>
    <xdr:ext cx="333375" cy="333375"/>
    <xdr:pic>
      <xdr:nvPicPr>
        <xdr:cNvPr id="0" name="image253.jpg"/>
        <xdr:cNvPicPr preferRelativeResize="0"/>
      </xdr:nvPicPr>
      <xdr:blipFill>
        <a:blip cstate="print" r:embed="rId167"/>
        <a:stretch>
          <a:fillRect/>
        </a:stretch>
      </xdr:blipFill>
      <xdr:spPr>
        <a:prstGeom prst="rect">
          <a:avLst/>
        </a:prstGeom>
        <a:noFill/>
      </xdr:spPr>
    </xdr:pic>
    <xdr:clientData fLocksWithSheet="0"/>
  </xdr:oneCellAnchor>
  <xdr:oneCellAnchor>
    <xdr:from>
      <xdr:col>0</xdr:col>
      <xdr:colOff>0</xdr:colOff>
      <xdr:row>233</xdr:row>
      <xdr:rowOff>0</xdr:rowOff>
    </xdr:from>
    <xdr:ext cx="333375" cy="333375"/>
    <xdr:pic>
      <xdr:nvPicPr>
        <xdr:cNvPr id="0" name="image73.jpg"/>
        <xdr:cNvPicPr preferRelativeResize="0"/>
      </xdr:nvPicPr>
      <xdr:blipFill>
        <a:blip cstate="print" r:embed="rId168"/>
        <a:stretch>
          <a:fillRect/>
        </a:stretch>
      </xdr:blipFill>
      <xdr:spPr>
        <a:prstGeom prst="rect">
          <a:avLst/>
        </a:prstGeom>
        <a:noFill/>
      </xdr:spPr>
    </xdr:pic>
    <xdr:clientData fLocksWithSheet="0"/>
  </xdr:oneCellAnchor>
  <xdr:oneCellAnchor>
    <xdr:from>
      <xdr:col>0</xdr:col>
      <xdr:colOff>0</xdr:colOff>
      <xdr:row>234</xdr:row>
      <xdr:rowOff>0</xdr:rowOff>
    </xdr:from>
    <xdr:ext cx="333375" cy="333375"/>
    <xdr:pic>
      <xdr:nvPicPr>
        <xdr:cNvPr id="0" name="image281.jpg"/>
        <xdr:cNvPicPr preferRelativeResize="0"/>
      </xdr:nvPicPr>
      <xdr:blipFill>
        <a:blip cstate="print" r:embed="rId169"/>
        <a:stretch>
          <a:fillRect/>
        </a:stretch>
      </xdr:blipFill>
      <xdr:spPr>
        <a:prstGeom prst="rect">
          <a:avLst/>
        </a:prstGeom>
        <a:noFill/>
      </xdr:spPr>
    </xdr:pic>
    <xdr:clientData fLocksWithSheet="0"/>
  </xdr:oneCellAnchor>
  <xdr:oneCellAnchor>
    <xdr:from>
      <xdr:col>0</xdr:col>
      <xdr:colOff>0</xdr:colOff>
      <xdr:row>235</xdr:row>
      <xdr:rowOff>0</xdr:rowOff>
    </xdr:from>
    <xdr:ext cx="333375" cy="333375"/>
    <xdr:pic>
      <xdr:nvPicPr>
        <xdr:cNvPr id="0" name="image260.jpg"/>
        <xdr:cNvPicPr preferRelativeResize="0"/>
      </xdr:nvPicPr>
      <xdr:blipFill>
        <a:blip cstate="print" r:embed="rId170"/>
        <a:stretch>
          <a:fillRect/>
        </a:stretch>
      </xdr:blipFill>
      <xdr:spPr>
        <a:prstGeom prst="rect">
          <a:avLst/>
        </a:prstGeom>
        <a:noFill/>
      </xdr:spPr>
    </xdr:pic>
    <xdr:clientData fLocksWithSheet="0"/>
  </xdr:oneCellAnchor>
  <xdr:oneCellAnchor>
    <xdr:from>
      <xdr:col>0</xdr:col>
      <xdr:colOff>0</xdr:colOff>
      <xdr:row>236</xdr:row>
      <xdr:rowOff>0</xdr:rowOff>
    </xdr:from>
    <xdr:ext cx="333375" cy="333375"/>
    <xdr:pic>
      <xdr:nvPicPr>
        <xdr:cNvPr id="0" name="image255.jpg"/>
        <xdr:cNvPicPr preferRelativeResize="0"/>
      </xdr:nvPicPr>
      <xdr:blipFill>
        <a:blip cstate="print" r:embed="rId171"/>
        <a:stretch>
          <a:fillRect/>
        </a:stretch>
      </xdr:blipFill>
      <xdr:spPr>
        <a:prstGeom prst="rect">
          <a:avLst/>
        </a:prstGeom>
        <a:noFill/>
      </xdr:spPr>
    </xdr:pic>
    <xdr:clientData fLocksWithSheet="0"/>
  </xdr:oneCellAnchor>
  <xdr:oneCellAnchor>
    <xdr:from>
      <xdr:col>0</xdr:col>
      <xdr:colOff>0</xdr:colOff>
      <xdr:row>237</xdr:row>
      <xdr:rowOff>0</xdr:rowOff>
    </xdr:from>
    <xdr:ext cx="333375" cy="333375"/>
    <xdr:pic>
      <xdr:nvPicPr>
        <xdr:cNvPr id="0" name="image282.jpg"/>
        <xdr:cNvPicPr preferRelativeResize="0"/>
      </xdr:nvPicPr>
      <xdr:blipFill>
        <a:blip cstate="print" r:embed="rId172"/>
        <a:stretch>
          <a:fillRect/>
        </a:stretch>
      </xdr:blipFill>
      <xdr:spPr>
        <a:prstGeom prst="rect">
          <a:avLst/>
        </a:prstGeom>
        <a:noFill/>
      </xdr:spPr>
    </xdr:pic>
    <xdr:clientData fLocksWithSheet="0"/>
  </xdr:oneCellAnchor>
  <xdr:oneCellAnchor>
    <xdr:from>
      <xdr:col>0</xdr:col>
      <xdr:colOff>0</xdr:colOff>
      <xdr:row>238</xdr:row>
      <xdr:rowOff>0</xdr:rowOff>
    </xdr:from>
    <xdr:ext cx="333375" cy="333375"/>
    <xdr:pic>
      <xdr:nvPicPr>
        <xdr:cNvPr id="0" name="image277.jpg"/>
        <xdr:cNvPicPr preferRelativeResize="0"/>
      </xdr:nvPicPr>
      <xdr:blipFill>
        <a:blip cstate="print" r:embed="rId173"/>
        <a:stretch>
          <a:fillRect/>
        </a:stretch>
      </xdr:blipFill>
      <xdr:spPr>
        <a:prstGeom prst="rect">
          <a:avLst/>
        </a:prstGeom>
        <a:noFill/>
      </xdr:spPr>
    </xdr:pic>
    <xdr:clientData fLocksWithSheet="0"/>
  </xdr:oneCellAnchor>
  <xdr:oneCellAnchor>
    <xdr:from>
      <xdr:col>0</xdr:col>
      <xdr:colOff>0</xdr:colOff>
      <xdr:row>239</xdr:row>
      <xdr:rowOff>0</xdr:rowOff>
    </xdr:from>
    <xdr:ext cx="333375" cy="333375"/>
    <xdr:pic>
      <xdr:nvPicPr>
        <xdr:cNvPr id="0" name="image277.jpg"/>
        <xdr:cNvPicPr preferRelativeResize="0"/>
      </xdr:nvPicPr>
      <xdr:blipFill>
        <a:blip cstate="print" r:embed="rId173"/>
        <a:stretch>
          <a:fillRect/>
        </a:stretch>
      </xdr:blipFill>
      <xdr:spPr>
        <a:prstGeom prst="rect">
          <a:avLst/>
        </a:prstGeom>
        <a:noFill/>
      </xdr:spPr>
    </xdr:pic>
    <xdr:clientData fLocksWithSheet="0"/>
  </xdr:oneCellAnchor>
  <xdr:oneCellAnchor>
    <xdr:from>
      <xdr:col>0</xdr:col>
      <xdr:colOff>0</xdr:colOff>
      <xdr:row>240</xdr:row>
      <xdr:rowOff>0</xdr:rowOff>
    </xdr:from>
    <xdr:ext cx="333375" cy="333375"/>
    <xdr:pic>
      <xdr:nvPicPr>
        <xdr:cNvPr id="0" name="image272.jpg"/>
        <xdr:cNvPicPr preferRelativeResize="0"/>
      </xdr:nvPicPr>
      <xdr:blipFill>
        <a:blip cstate="print" r:embed="rId174"/>
        <a:stretch>
          <a:fillRect/>
        </a:stretch>
      </xdr:blipFill>
      <xdr:spPr>
        <a:prstGeom prst="rect">
          <a:avLst/>
        </a:prstGeom>
        <a:noFill/>
      </xdr:spPr>
    </xdr:pic>
    <xdr:clientData fLocksWithSheet="0"/>
  </xdr:oneCellAnchor>
  <xdr:oneCellAnchor>
    <xdr:from>
      <xdr:col>0</xdr:col>
      <xdr:colOff>0</xdr:colOff>
      <xdr:row>241</xdr:row>
      <xdr:rowOff>0</xdr:rowOff>
    </xdr:from>
    <xdr:ext cx="333375" cy="333375"/>
    <xdr:pic>
      <xdr:nvPicPr>
        <xdr:cNvPr id="0" name="image257.jpg"/>
        <xdr:cNvPicPr preferRelativeResize="0"/>
      </xdr:nvPicPr>
      <xdr:blipFill>
        <a:blip cstate="print" r:embed="rId175"/>
        <a:stretch>
          <a:fillRect/>
        </a:stretch>
      </xdr:blipFill>
      <xdr:spPr>
        <a:prstGeom prst="rect">
          <a:avLst/>
        </a:prstGeom>
        <a:noFill/>
      </xdr:spPr>
    </xdr:pic>
    <xdr:clientData fLocksWithSheet="0"/>
  </xdr:oneCellAnchor>
  <xdr:oneCellAnchor>
    <xdr:from>
      <xdr:col>0</xdr:col>
      <xdr:colOff>0</xdr:colOff>
      <xdr:row>242</xdr:row>
      <xdr:rowOff>0</xdr:rowOff>
    </xdr:from>
    <xdr:ext cx="333375" cy="333375"/>
    <xdr:pic>
      <xdr:nvPicPr>
        <xdr:cNvPr id="0" name="image257.jpg"/>
        <xdr:cNvPicPr preferRelativeResize="0"/>
      </xdr:nvPicPr>
      <xdr:blipFill>
        <a:blip cstate="print" r:embed="rId175"/>
        <a:stretch>
          <a:fillRect/>
        </a:stretch>
      </xdr:blipFill>
      <xdr:spPr>
        <a:prstGeom prst="rect">
          <a:avLst/>
        </a:prstGeom>
        <a:noFill/>
      </xdr:spPr>
    </xdr:pic>
    <xdr:clientData fLocksWithSheet="0"/>
  </xdr:oneCellAnchor>
  <xdr:oneCellAnchor>
    <xdr:from>
      <xdr:col>0</xdr:col>
      <xdr:colOff>0</xdr:colOff>
      <xdr:row>243</xdr:row>
      <xdr:rowOff>0</xdr:rowOff>
    </xdr:from>
    <xdr:ext cx="333375" cy="333375"/>
    <xdr:pic>
      <xdr:nvPicPr>
        <xdr:cNvPr id="0" name="image254.jpg"/>
        <xdr:cNvPicPr preferRelativeResize="0"/>
      </xdr:nvPicPr>
      <xdr:blipFill>
        <a:blip cstate="print" r:embed="rId176"/>
        <a:stretch>
          <a:fillRect/>
        </a:stretch>
      </xdr:blipFill>
      <xdr:spPr>
        <a:prstGeom prst="rect">
          <a:avLst/>
        </a:prstGeom>
        <a:noFill/>
      </xdr:spPr>
    </xdr:pic>
    <xdr:clientData fLocksWithSheet="0"/>
  </xdr:oneCellAnchor>
  <xdr:oneCellAnchor>
    <xdr:from>
      <xdr:col>0</xdr:col>
      <xdr:colOff>0</xdr:colOff>
      <xdr:row>244</xdr:row>
      <xdr:rowOff>0</xdr:rowOff>
    </xdr:from>
    <xdr:ext cx="333375" cy="333375"/>
    <xdr:pic>
      <xdr:nvPicPr>
        <xdr:cNvPr id="0" name="image254.jpg"/>
        <xdr:cNvPicPr preferRelativeResize="0"/>
      </xdr:nvPicPr>
      <xdr:blipFill>
        <a:blip cstate="print" r:embed="rId176"/>
        <a:stretch>
          <a:fillRect/>
        </a:stretch>
      </xdr:blipFill>
      <xdr:spPr>
        <a:prstGeom prst="rect">
          <a:avLst/>
        </a:prstGeom>
        <a:noFill/>
      </xdr:spPr>
    </xdr:pic>
    <xdr:clientData fLocksWithSheet="0"/>
  </xdr:oneCellAnchor>
  <xdr:oneCellAnchor>
    <xdr:from>
      <xdr:col>0</xdr:col>
      <xdr:colOff>0</xdr:colOff>
      <xdr:row>245</xdr:row>
      <xdr:rowOff>0</xdr:rowOff>
    </xdr:from>
    <xdr:ext cx="333375" cy="333375"/>
    <xdr:pic>
      <xdr:nvPicPr>
        <xdr:cNvPr id="0" name="image273.jpg"/>
        <xdr:cNvPicPr preferRelativeResize="0"/>
      </xdr:nvPicPr>
      <xdr:blipFill>
        <a:blip cstate="print" r:embed="rId177"/>
        <a:stretch>
          <a:fillRect/>
        </a:stretch>
      </xdr:blipFill>
      <xdr:spPr>
        <a:prstGeom prst="rect">
          <a:avLst/>
        </a:prstGeom>
        <a:noFill/>
      </xdr:spPr>
    </xdr:pic>
    <xdr:clientData fLocksWithSheet="0"/>
  </xdr:oneCellAnchor>
  <xdr:oneCellAnchor>
    <xdr:from>
      <xdr:col>0</xdr:col>
      <xdr:colOff>0</xdr:colOff>
      <xdr:row>246</xdr:row>
      <xdr:rowOff>0</xdr:rowOff>
    </xdr:from>
    <xdr:ext cx="333375" cy="333375"/>
    <xdr:pic>
      <xdr:nvPicPr>
        <xdr:cNvPr id="0" name="image264.jpg"/>
        <xdr:cNvPicPr preferRelativeResize="0"/>
      </xdr:nvPicPr>
      <xdr:blipFill>
        <a:blip cstate="print" r:embed="rId178"/>
        <a:stretch>
          <a:fillRect/>
        </a:stretch>
      </xdr:blipFill>
      <xdr:spPr>
        <a:prstGeom prst="rect">
          <a:avLst/>
        </a:prstGeom>
        <a:noFill/>
      </xdr:spPr>
    </xdr:pic>
    <xdr:clientData fLocksWithSheet="0"/>
  </xdr:oneCellAnchor>
  <xdr:oneCellAnchor>
    <xdr:from>
      <xdr:col>0</xdr:col>
      <xdr:colOff>0</xdr:colOff>
      <xdr:row>247</xdr:row>
      <xdr:rowOff>0</xdr:rowOff>
    </xdr:from>
    <xdr:ext cx="333375" cy="333375"/>
    <xdr:pic>
      <xdr:nvPicPr>
        <xdr:cNvPr id="0" name="image266.jpg"/>
        <xdr:cNvPicPr preferRelativeResize="0"/>
      </xdr:nvPicPr>
      <xdr:blipFill>
        <a:blip cstate="print" r:embed="rId179"/>
        <a:stretch>
          <a:fillRect/>
        </a:stretch>
      </xdr:blipFill>
      <xdr:spPr>
        <a:prstGeom prst="rect">
          <a:avLst/>
        </a:prstGeom>
        <a:noFill/>
      </xdr:spPr>
    </xdr:pic>
    <xdr:clientData fLocksWithSheet="0"/>
  </xdr:oneCellAnchor>
  <xdr:oneCellAnchor>
    <xdr:from>
      <xdr:col>0</xdr:col>
      <xdr:colOff>0</xdr:colOff>
      <xdr:row>248</xdr:row>
      <xdr:rowOff>0</xdr:rowOff>
    </xdr:from>
    <xdr:ext cx="333375" cy="333375"/>
    <xdr:pic>
      <xdr:nvPicPr>
        <xdr:cNvPr id="0" name="image262.jpg"/>
        <xdr:cNvPicPr preferRelativeResize="0"/>
      </xdr:nvPicPr>
      <xdr:blipFill>
        <a:blip cstate="print" r:embed="rId180"/>
        <a:stretch>
          <a:fillRect/>
        </a:stretch>
      </xdr:blipFill>
      <xdr:spPr>
        <a:prstGeom prst="rect">
          <a:avLst/>
        </a:prstGeom>
        <a:noFill/>
      </xdr:spPr>
    </xdr:pic>
    <xdr:clientData fLocksWithSheet="0"/>
  </xdr:oneCellAnchor>
  <xdr:oneCellAnchor>
    <xdr:from>
      <xdr:col>0</xdr:col>
      <xdr:colOff>0</xdr:colOff>
      <xdr:row>249</xdr:row>
      <xdr:rowOff>0</xdr:rowOff>
    </xdr:from>
    <xdr:ext cx="333375" cy="333375"/>
    <xdr:pic>
      <xdr:nvPicPr>
        <xdr:cNvPr id="0" name="image261.jpg"/>
        <xdr:cNvPicPr preferRelativeResize="0"/>
      </xdr:nvPicPr>
      <xdr:blipFill>
        <a:blip cstate="print" r:embed="rId181"/>
        <a:stretch>
          <a:fillRect/>
        </a:stretch>
      </xdr:blipFill>
      <xdr:spPr>
        <a:prstGeom prst="rect">
          <a:avLst/>
        </a:prstGeom>
        <a:noFill/>
      </xdr:spPr>
    </xdr:pic>
    <xdr:clientData fLocksWithSheet="0"/>
  </xdr:oneCellAnchor>
  <xdr:oneCellAnchor>
    <xdr:from>
      <xdr:col>0</xdr:col>
      <xdr:colOff>0</xdr:colOff>
      <xdr:row>250</xdr:row>
      <xdr:rowOff>0</xdr:rowOff>
    </xdr:from>
    <xdr:ext cx="333375" cy="333375"/>
    <xdr:pic>
      <xdr:nvPicPr>
        <xdr:cNvPr id="0" name="image279.jpg"/>
        <xdr:cNvPicPr preferRelativeResize="0"/>
      </xdr:nvPicPr>
      <xdr:blipFill>
        <a:blip cstate="print" r:embed="rId182"/>
        <a:stretch>
          <a:fillRect/>
        </a:stretch>
      </xdr:blipFill>
      <xdr:spPr>
        <a:prstGeom prst="rect">
          <a:avLst/>
        </a:prstGeom>
        <a:noFill/>
      </xdr:spPr>
    </xdr:pic>
    <xdr:clientData fLocksWithSheet="0"/>
  </xdr:oneCellAnchor>
  <xdr:oneCellAnchor>
    <xdr:from>
      <xdr:col>0</xdr:col>
      <xdr:colOff>0</xdr:colOff>
      <xdr:row>251</xdr:row>
      <xdr:rowOff>0</xdr:rowOff>
    </xdr:from>
    <xdr:ext cx="333375" cy="333375"/>
    <xdr:pic>
      <xdr:nvPicPr>
        <xdr:cNvPr id="0" name="image270.jpg"/>
        <xdr:cNvPicPr preferRelativeResize="0"/>
      </xdr:nvPicPr>
      <xdr:blipFill>
        <a:blip cstate="print" r:embed="rId183"/>
        <a:stretch>
          <a:fillRect/>
        </a:stretch>
      </xdr:blipFill>
      <xdr:spPr>
        <a:prstGeom prst="rect">
          <a:avLst/>
        </a:prstGeom>
        <a:noFill/>
      </xdr:spPr>
    </xdr:pic>
    <xdr:clientData fLocksWithSheet="0"/>
  </xdr:oneCellAnchor>
  <xdr:oneCellAnchor>
    <xdr:from>
      <xdr:col>0</xdr:col>
      <xdr:colOff>0</xdr:colOff>
      <xdr:row>252</xdr:row>
      <xdr:rowOff>0</xdr:rowOff>
    </xdr:from>
    <xdr:ext cx="333375" cy="333375"/>
    <xdr:pic>
      <xdr:nvPicPr>
        <xdr:cNvPr id="0" name="image269.jpg"/>
        <xdr:cNvPicPr preferRelativeResize="0"/>
      </xdr:nvPicPr>
      <xdr:blipFill>
        <a:blip cstate="print" r:embed="rId184"/>
        <a:stretch>
          <a:fillRect/>
        </a:stretch>
      </xdr:blipFill>
      <xdr:spPr>
        <a:prstGeom prst="rect">
          <a:avLst/>
        </a:prstGeom>
        <a:noFill/>
      </xdr:spPr>
    </xdr:pic>
    <xdr:clientData fLocksWithSheet="0"/>
  </xdr:oneCellAnchor>
  <xdr:oneCellAnchor>
    <xdr:from>
      <xdr:col>0</xdr:col>
      <xdr:colOff>0</xdr:colOff>
      <xdr:row>253</xdr:row>
      <xdr:rowOff>0</xdr:rowOff>
    </xdr:from>
    <xdr:ext cx="333375" cy="333375"/>
    <xdr:pic>
      <xdr:nvPicPr>
        <xdr:cNvPr id="0" name="image267.jpg"/>
        <xdr:cNvPicPr preferRelativeResize="0"/>
      </xdr:nvPicPr>
      <xdr:blipFill>
        <a:blip cstate="print" r:embed="rId185"/>
        <a:stretch>
          <a:fillRect/>
        </a:stretch>
      </xdr:blipFill>
      <xdr:spPr>
        <a:prstGeom prst="rect">
          <a:avLst/>
        </a:prstGeom>
        <a:noFill/>
      </xdr:spPr>
    </xdr:pic>
    <xdr:clientData fLocksWithSheet="0"/>
  </xdr:oneCellAnchor>
  <xdr:oneCellAnchor>
    <xdr:from>
      <xdr:col>0</xdr:col>
      <xdr:colOff>0</xdr:colOff>
      <xdr:row>254</xdr:row>
      <xdr:rowOff>0</xdr:rowOff>
    </xdr:from>
    <xdr:ext cx="333375" cy="333375"/>
    <xdr:pic>
      <xdr:nvPicPr>
        <xdr:cNvPr id="0" name="image302.jpg"/>
        <xdr:cNvPicPr preferRelativeResize="0"/>
      </xdr:nvPicPr>
      <xdr:blipFill>
        <a:blip cstate="print" r:embed="rId186"/>
        <a:stretch>
          <a:fillRect/>
        </a:stretch>
      </xdr:blipFill>
      <xdr:spPr>
        <a:prstGeom prst="rect">
          <a:avLst/>
        </a:prstGeom>
        <a:noFill/>
      </xdr:spPr>
    </xdr:pic>
    <xdr:clientData fLocksWithSheet="0"/>
  </xdr:oneCellAnchor>
  <xdr:oneCellAnchor>
    <xdr:from>
      <xdr:col>0</xdr:col>
      <xdr:colOff>0</xdr:colOff>
      <xdr:row>255</xdr:row>
      <xdr:rowOff>0</xdr:rowOff>
    </xdr:from>
    <xdr:ext cx="333375" cy="333375"/>
    <xdr:pic>
      <xdr:nvPicPr>
        <xdr:cNvPr id="0" name="image302.jpg"/>
        <xdr:cNvPicPr preferRelativeResize="0"/>
      </xdr:nvPicPr>
      <xdr:blipFill>
        <a:blip cstate="print" r:embed="rId186"/>
        <a:stretch>
          <a:fillRect/>
        </a:stretch>
      </xdr:blipFill>
      <xdr:spPr>
        <a:prstGeom prst="rect">
          <a:avLst/>
        </a:prstGeom>
        <a:noFill/>
      </xdr:spPr>
    </xdr:pic>
    <xdr:clientData fLocksWithSheet="0"/>
  </xdr:oneCellAnchor>
  <xdr:oneCellAnchor>
    <xdr:from>
      <xdr:col>0</xdr:col>
      <xdr:colOff>0</xdr:colOff>
      <xdr:row>256</xdr:row>
      <xdr:rowOff>0</xdr:rowOff>
    </xdr:from>
    <xdr:ext cx="333375" cy="333375"/>
    <xdr:pic>
      <xdr:nvPicPr>
        <xdr:cNvPr id="0" name="image388.jpg"/>
        <xdr:cNvPicPr preferRelativeResize="0"/>
      </xdr:nvPicPr>
      <xdr:blipFill>
        <a:blip cstate="print" r:embed="rId187"/>
        <a:stretch>
          <a:fillRect/>
        </a:stretch>
      </xdr:blipFill>
      <xdr:spPr>
        <a:prstGeom prst="rect">
          <a:avLst/>
        </a:prstGeom>
        <a:noFill/>
      </xdr:spPr>
    </xdr:pic>
    <xdr:clientData fLocksWithSheet="0"/>
  </xdr:oneCellAnchor>
  <xdr:oneCellAnchor>
    <xdr:from>
      <xdr:col>0</xdr:col>
      <xdr:colOff>0</xdr:colOff>
      <xdr:row>257</xdr:row>
      <xdr:rowOff>0</xdr:rowOff>
    </xdr:from>
    <xdr:ext cx="333375" cy="333375"/>
    <xdr:pic>
      <xdr:nvPicPr>
        <xdr:cNvPr id="0" name="image265.jpg"/>
        <xdr:cNvPicPr preferRelativeResize="0"/>
      </xdr:nvPicPr>
      <xdr:blipFill>
        <a:blip cstate="print" r:embed="rId187"/>
        <a:stretch>
          <a:fillRect/>
        </a:stretch>
      </xdr:blipFill>
      <xdr:spPr>
        <a:prstGeom prst="rect">
          <a:avLst/>
        </a:prstGeom>
        <a:noFill/>
      </xdr:spPr>
    </xdr:pic>
    <xdr:clientData fLocksWithSheet="0"/>
  </xdr:oneCellAnchor>
  <xdr:oneCellAnchor>
    <xdr:from>
      <xdr:col>0</xdr:col>
      <xdr:colOff>0</xdr:colOff>
      <xdr:row>258</xdr:row>
      <xdr:rowOff>0</xdr:rowOff>
    </xdr:from>
    <xdr:ext cx="333375" cy="333375"/>
    <xdr:pic>
      <xdr:nvPicPr>
        <xdr:cNvPr id="0" name="image275.jpg"/>
        <xdr:cNvPicPr preferRelativeResize="0"/>
      </xdr:nvPicPr>
      <xdr:blipFill>
        <a:blip cstate="print" r:embed="rId188"/>
        <a:stretch>
          <a:fillRect/>
        </a:stretch>
      </xdr:blipFill>
      <xdr:spPr>
        <a:prstGeom prst="rect">
          <a:avLst/>
        </a:prstGeom>
        <a:noFill/>
      </xdr:spPr>
    </xdr:pic>
    <xdr:clientData fLocksWithSheet="0"/>
  </xdr:oneCellAnchor>
  <xdr:oneCellAnchor>
    <xdr:from>
      <xdr:col>0</xdr:col>
      <xdr:colOff>0</xdr:colOff>
      <xdr:row>259</xdr:row>
      <xdr:rowOff>0</xdr:rowOff>
    </xdr:from>
    <xdr:ext cx="333375" cy="333375"/>
    <xdr:pic>
      <xdr:nvPicPr>
        <xdr:cNvPr id="0" name="image275.jpg"/>
        <xdr:cNvPicPr preferRelativeResize="0"/>
      </xdr:nvPicPr>
      <xdr:blipFill>
        <a:blip cstate="print" r:embed="rId188"/>
        <a:stretch>
          <a:fillRect/>
        </a:stretch>
      </xdr:blipFill>
      <xdr:spPr>
        <a:prstGeom prst="rect">
          <a:avLst/>
        </a:prstGeom>
        <a:noFill/>
      </xdr:spPr>
    </xdr:pic>
    <xdr:clientData fLocksWithSheet="0"/>
  </xdr:oneCellAnchor>
  <xdr:oneCellAnchor>
    <xdr:from>
      <xdr:col>0</xdr:col>
      <xdr:colOff>0</xdr:colOff>
      <xdr:row>260</xdr:row>
      <xdr:rowOff>0</xdr:rowOff>
    </xdr:from>
    <xdr:ext cx="333375" cy="333375"/>
    <xdr:pic>
      <xdr:nvPicPr>
        <xdr:cNvPr id="0" name="image276.jpg"/>
        <xdr:cNvPicPr preferRelativeResize="0"/>
      </xdr:nvPicPr>
      <xdr:blipFill>
        <a:blip cstate="print" r:embed="rId189"/>
        <a:stretch>
          <a:fillRect/>
        </a:stretch>
      </xdr:blipFill>
      <xdr:spPr>
        <a:prstGeom prst="rect">
          <a:avLst/>
        </a:prstGeom>
        <a:noFill/>
      </xdr:spPr>
    </xdr:pic>
    <xdr:clientData fLocksWithSheet="0"/>
  </xdr:oneCellAnchor>
  <xdr:oneCellAnchor>
    <xdr:from>
      <xdr:col>0</xdr:col>
      <xdr:colOff>0</xdr:colOff>
      <xdr:row>261</xdr:row>
      <xdr:rowOff>0</xdr:rowOff>
    </xdr:from>
    <xdr:ext cx="333375" cy="333375"/>
    <xdr:pic>
      <xdr:nvPicPr>
        <xdr:cNvPr id="0" name="image278.jpg"/>
        <xdr:cNvPicPr preferRelativeResize="0"/>
      </xdr:nvPicPr>
      <xdr:blipFill>
        <a:blip cstate="print" r:embed="rId190"/>
        <a:stretch>
          <a:fillRect/>
        </a:stretch>
      </xdr:blipFill>
      <xdr:spPr>
        <a:prstGeom prst="rect">
          <a:avLst/>
        </a:prstGeom>
        <a:noFill/>
      </xdr:spPr>
    </xdr:pic>
    <xdr:clientData fLocksWithSheet="0"/>
  </xdr:oneCellAnchor>
  <xdr:oneCellAnchor>
    <xdr:from>
      <xdr:col>0</xdr:col>
      <xdr:colOff>0</xdr:colOff>
      <xdr:row>262</xdr:row>
      <xdr:rowOff>0</xdr:rowOff>
    </xdr:from>
    <xdr:ext cx="333375" cy="333375"/>
    <xdr:pic>
      <xdr:nvPicPr>
        <xdr:cNvPr id="0" name="image278.jpg"/>
        <xdr:cNvPicPr preferRelativeResize="0"/>
      </xdr:nvPicPr>
      <xdr:blipFill>
        <a:blip cstate="print" r:embed="rId190"/>
        <a:stretch>
          <a:fillRect/>
        </a:stretch>
      </xdr:blipFill>
      <xdr:spPr>
        <a:prstGeom prst="rect">
          <a:avLst/>
        </a:prstGeom>
        <a:noFill/>
      </xdr:spPr>
    </xdr:pic>
    <xdr:clientData fLocksWithSheet="0"/>
  </xdr:oneCellAnchor>
  <xdr:oneCellAnchor>
    <xdr:from>
      <xdr:col>0</xdr:col>
      <xdr:colOff>0</xdr:colOff>
      <xdr:row>263</xdr:row>
      <xdr:rowOff>0</xdr:rowOff>
    </xdr:from>
    <xdr:ext cx="333375" cy="333375"/>
    <xdr:pic>
      <xdr:nvPicPr>
        <xdr:cNvPr id="0" name="image289.jpg"/>
        <xdr:cNvPicPr preferRelativeResize="0"/>
      </xdr:nvPicPr>
      <xdr:blipFill>
        <a:blip cstate="print" r:embed="rId191"/>
        <a:stretch>
          <a:fillRect/>
        </a:stretch>
      </xdr:blipFill>
      <xdr:spPr>
        <a:prstGeom prst="rect">
          <a:avLst/>
        </a:prstGeom>
        <a:noFill/>
      </xdr:spPr>
    </xdr:pic>
    <xdr:clientData fLocksWithSheet="0"/>
  </xdr:oneCellAnchor>
  <xdr:oneCellAnchor>
    <xdr:from>
      <xdr:col>0</xdr:col>
      <xdr:colOff>0</xdr:colOff>
      <xdr:row>264</xdr:row>
      <xdr:rowOff>0</xdr:rowOff>
    </xdr:from>
    <xdr:ext cx="333375" cy="333375"/>
    <xdr:pic>
      <xdr:nvPicPr>
        <xdr:cNvPr id="0" name="image326.jpg"/>
        <xdr:cNvPicPr preferRelativeResize="0"/>
      </xdr:nvPicPr>
      <xdr:blipFill>
        <a:blip cstate="print" r:embed="rId191"/>
        <a:stretch>
          <a:fillRect/>
        </a:stretch>
      </xdr:blipFill>
      <xdr:spPr>
        <a:prstGeom prst="rect">
          <a:avLst/>
        </a:prstGeom>
        <a:noFill/>
      </xdr:spPr>
    </xdr:pic>
    <xdr:clientData fLocksWithSheet="0"/>
  </xdr:oneCellAnchor>
  <xdr:oneCellAnchor>
    <xdr:from>
      <xdr:col>0</xdr:col>
      <xdr:colOff>0</xdr:colOff>
      <xdr:row>265</xdr:row>
      <xdr:rowOff>0</xdr:rowOff>
    </xdr:from>
    <xdr:ext cx="333375" cy="333375"/>
    <xdr:pic>
      <xdr:nvPicPr>
        <xdr:cNvPr id="0" name="image310.jpg"/>
        <xdr:cNvPicPr preferRelativeResize="0"/>
      </xdr:nvPicPr>
      <xdr:blipFill>
        <a:blip cstate="print" r:embed="rId192"/>
        <a:stretch>
          <a:fillRect/>
        </a:stretch>
      </xdr:blipFill>
      <xdr:spPr>
        <a:prstGeom prst="rect">
          <a:avLst/>
        </a:prstGeom>
        <a:noFill/>
      </xdr:spPr>
    </xdr:pic>
    <xdr:clientData fLocksWithSheet="0"/>
  </xdr:oneCellAnchor>
  <xdr:oneCellAnchor>
    <xdr:from>
      <xdr:col>0</xdr:col>
      <xdr:colOff>0</xdr:colOff>
      <xdr:row>266</xdr:row>
      <xdr:rowOff>0</xdr:rowOff>
    </xdr:from>
    <xdr:ext cx="333375" cy="333375"/>
    <xdr:pic>
      <xdr:nvPicPr>
        <xdr:cNvPr id="0" name="image310.jpg"/>
        <xdr:cNvPicPr preferRelativeResize="0"/>
      </xdr:nvPicPr>
      <xdr:blipFill>
        <a:blip cstate="print" r:embed="rId192"/>
        <a:stretch>
          <a:fillRect/>
        </a:stretch>
      </xdr:blipFill>
      <xdr:spPr>
        <a:prstGeom prst="rect">
          <a:avLst/>
        </a:prstGeom>
        <a:noFill/>
      </xdr:spPr>
    </xdr:pic>
    <xdr:clientData fLocksWithSheet="0"/>
  </xdr:oneCellAnchor>
  <xdr:oneCellAnchor>
    <xdr:from>
      <xdr:col>0</xdr:col>
      <xdr:colOff>0</xdr:colOff>
      <xdr:row>267</xdr:row>
      <xdr:rowOff>0</xdr:rowOff>
    </xdr:from>
    <xdr:ext cx="333375" cy="333375"/>
    <xdr:pic>
      <xdr:nvPicPr>
        <xdr:cNvPr id="0" name="image280.jpg"/>
        <xdr:cNvPicPr preferRelativeResize="0"/>
      </xdr:nvPicPr>
      <xdr:blipFill>
        <a:blip cstate="print" r:embed="rId193"/>
        <a:stretch>
          <a:fillRect/>
        </a:stretch>
      </xdr:blipFill>
      <xdr:spPr>
        <a:prstGeom prst="rect">
          <a:avLst/>
        </a:prstGeom>
        <a:noFill/>
      </xdr:spPr>
    </xdr:pic>
    <xdr:clientData fLocksWithSheet="0"/>
  </xdr:oneCellAnchor>
  <xdr:oneCellAnchor>
    <xdr:from>
      <xdr:col>0</xdr:col>
      <xdr:colOff>0</xdr:colOff>
      <xdr:row>268</xdr:row>
      <xdr:rowOff>0</xdr:rowOff>
    </xdr:from>
    <xdr:ext cx="333375" cy="333375"/>
    <xdr:pic>
      <xdr:nvPicPr>
        <xdr:cNvPr id="0" name="image280.jpg"/>
        <xdr:cNvPicPr preferRelativeResize="0"/>
      </xdr:nvPicPr>
      <xdr:blipFill>
        <a:blip cstate="print" r:embed="rId193"/>
        <a:stretch>
          <a:fillRect/>
        </a:stretch>
      </xdr:blipFill>
      <xdr:spPr>
        <a:prstGeom prst="rect">
          <a:avLst/>
        </a:prstGeom>
        <a:noFill/>
      </xdr:spPr>
    </xdr:pic>
    <xdr:clientData fLocksWithSheet="0"/>
  </xdr:oneCellAnchor>
  <xdr:oneCellAnchor>
    <xdr:from>
      <xdr:col>0</xdr:col>
      <xdr:colOff>0</xdr:colOff>
      <xdr:row>269</xdr:row>
      <xdr:rowOff>0</xdr:rowOff>
    </xdr:from>
    <xdr:ext cx="333375" cy="333375"/>
    <xdr:pic>
      <xdr:nvPicPr>
        <xdr:cNvPr id="0" name="image292.jpg"/>
        <xdr:cNvPicPr preferRelativeResize="0"/>
      </xdr:nvPicPr>
      <xdr:blipFill>
        <a:blip cstate="print" r:embed="rId194"/>
        <a:stretch>
          <a:fillRect/>
        </a:stretch>
      </xdr:blipFill>
      <xdr:spPr>
        <a:prstGeom prst="rect">
          <a:avLst/>
        </a:prstGeom>
        <a:noFill/>
      </xdr:spPr>
    </xdr:pic>
    <xdr:clientData fLocksWithSheet="0"/>
  </xdr:oneCellAnchor>
  <xdr:oneCellAnchor>
    <xdr:from>
      <xdr:col>0</xdr:col>
      <xdr:colOff>0</xdr:colOff>
      <xdr:row>270</xdr:row>
      <xdr:rowOff>0</xdr:rowOff>
    </xdr:from>
    <xdr:ext cx="333375" cy="333375"/>
    <xdr:pic>
      <xdr:nvPicPr>
        <xdr:cNvPr id="0" name="image292.jpg"/>
        <xdr:cNvPicPr preferRelativeResize="0"/>
      </xdr:nvPicPr>
      <xdr:blipFill>
        <a:blip cstate="print" r:embed="rId194"/>
        <a:stretch>
          <a:fillRect/>
        </a:stretch>
      </xdr:blipFill>
      <xdr:spPr>
        <a:prstGeom prst="rect">
          <a:avLst/>
        </a:prstGeom>
        <a:noFill/>
      </xdr:spPr>
    </xdr:pic>
    <xdr:clientData fLocksWithSheet="0"/>
  </xdr:oneCellAnchor>
  <xdr:oneCellAnchor>
    <xdr:from>
      <xdr:col>0</xdr:col>
      <xdr:colOff>0</xdr:colOff>
      <xdr:row>271</xdr:row>
      <xdr:rowOff>0</xdr:rowOff>
    </xdr:from>
    <xdr:ext cx="333375" cy="333375"/>
    <xdr:pic>
      <xdr:nvPicPr>
        <xdr:cNvPr id="0" name="image292.jpg"/>
        <xdr:cNvPicPr preferRelativeResize="0"/>
      </xdr:nvPicPr>
      <xdr:blipFill>
        <a:blip cstate="print" r:embed="rId194"/>
        <a:stretch>
          <a:fillRect/>
        </a:stretch>
      </xdr:blipFill>
      <xdr:spPr>
        <a:prstGeom prst="rect">
          <a:avLst/>
        </a:prstGeom>
        <a:noFill/>
      </xdr:spPr>
    </xdr:pic>
    <xdr:clientData fLocksWithSheet="0"/>
  </xdr:oneCellAnchor>
  <xdr:oneCellAnchor>
    <xdr:from>
      <xdr:col>0</xdr:col>
      <xdr:colOff>0</xdr:colOff>
      <xdr:row>272</xdr:row>
      <xdr:rowOff>0</xdr:rowOff>
    </xdr:from>
    <xdr:ext cx="333375" cy="333375"/>
    <xdr:pic>
      <xdr:nvPicPr>
        <xdr:cNvPr id="0" name="image303.jpg"/>
        <xdr:cNvPicPr preferRelativeResize="0"/>
      </xdr:nvPicPr>
      <xdr:blipFill>
        <a:blip cstate="print" r:embed="rId195"/>
        <a:stretch>
          <a:fillRect/>
        </a:stretch>
      </xdr:blipFill>
      <xdr:spPr>
        <a:prstGeom prst="rect">
          <a:avLst/>
        </a:prstGeom>
        <a:noFill/>
      </xdr:spPr>
    </xdr:pic>
    <xdr:clientData fLocksWithSheet="0"/>
  </xdr:oneCellAnchor>
  <xdr:oneCellAnchor>
    <xdr:from>
      <xdr:col>0</xdr:col>
      <xdr:colOff>0</xdr:colOff>
      <xdr:row>273</xdr:row>
      <xdr:rowOff>0</xdr:rowOff>
    </xdr:from>
    <xdr:ext cx="333375" cy="333375"/>
    <xdr:pic>
      <xdr:nvPicPr>
        <xdr:cNvPr id="0" name="image303.jpg"/>
        <xdr:cNvPicPr preferRelativeResize="0"/>
      </xdr:nvPicPr>
      <xdr:blipFill>
        <a:blip cstate="print" r:embed="rId195"/>
        <a:stretch>
          <a:fillRect/>
        </a:stretch>
      </xdr:blipFill>
      <xdr:spPr>
        <a:prstGeom prst="rect">
          <a:avLst/>
        </a:prstGeom>
        <a:noFill/>
      </xdr:spPr>
    </xdr:pic>
    <xdr:clientData fLocksWithSheet="0"/>
  </xdr:oneCellAnchor>
  <xdr:oneCellAnchor>
    <xdr:from>
      <xdr:col>0</xdr:col>
      <xdr:colOff>0</xdr:colOff>
      <xdr:row>274</xdr:row>
      <xdr:rowOff>0</xdr:rowOff>
    </xdr:from>
    <xdr:ext cx="333375" cy="333375"/>
    <xdr:pic>
      <xdr:nvPicPr>
        <xdr:cNvPr id="0" name="image303.jpg"/>
        <xdr:cNvPicPr preferRelativeResize="0"/>
      </xdr:nvPicPr>
      <xdr:blipFill>
        <a:blip cstate="print" r:embed="rId195"/>
        <a:stretch>
          <a:fillRect/>
        </a:stretch>
      </xdr:blipFill>
      <xdr:spPr>
        <a:prstGeom prst="rect">
          <a:avLst/>
        </a:prstGeom>
        <a:noFill/>
      </xdr:spPr>
    </xdr:pic>
    <xdr:clientData fLocksWithSheet="0"/>
  </xdr:oneCellAnchor>
  <xdr:oneCellAnchor>
    <xdr:from>
      <xdr:col>0</xdr:col>
      <xdr:colOff>0</xdr:colOff>
      <xdr:row>275</xdr:row>
      <xdr:rowOff>0</xdr:rowOff>
    </xdr:from>
    <xdr:ext cx="333375" cy="333375"/>
    <xdr:pic>
      <xdr:nvPicPr>
        <xdr:cNvPr id="0" name="image284.jpg"/>
        <xdr:cNvPicPr preferRelativeResize="0"/>
      </xdr:nvPicPr>
      <xdr:blipFill>
        <a:blip cstate="print" r:embed="rId196"/>
        <a:stretch>
          <a:fillRect/>
        </a:stretch>
      </xdr:blipFill>
      <xdr:spPr>
        <a:prstGeom prst="rect">
          <a:avLst/>
        </a:prstGeom>
        <a:noFill/>
      </xdr:spPr>
    </xdr:pic>
    <xdr:clientData fLocksWithSheet="0"/>
  </xdr:oneCellAnchor>
  <xdr:oneCellAnchor>
    <xdr:from>
      <xdr:col>0</xdr:col>
      <xdr:colOff>0</xdr:colOff>
      <xdr:row>276</xdr:row>
      <xdr:rowOff>0</xdr:rowOff>
    </xdr:from>
    <xdr:ext cx="333375" cy="333375"/>
    <xdr:pic>
      <xdr:nvPicPr>
        <xdr:cNvPr id="0" name="image284.jpg"/>
        <xdr:cNvPicPr preferRelativeResize="0"/>
      </xdr:nvPicPr>
      <xdr:blipFill>
        <a:blip cstate="print" r:embed="rId196"/>
        <a:stretch>
          <a:fillRect/>
        </a:stretch>
      </xdr:blipFill>
      <xdr:spPr>
        <a:prstGeom prst="rect">
          <a:avLst/>
        </a:prstGeom>
        <a:noFill/>
      </xdr:spPr>
    </xdr:pic>
    <xdr:clientData fLocksWithSheet="0"/>
  </xdr:oneCellAnchor>
  <xdr:oneCellAnchor>
    <xdr:from>
      <xdr:col>0</xdr:col>
      <xdr:colOff>0</xdr:colOff>
      <xdr:row>277</xdr:row>
      <xdr:rowOff>0</xdr:rowOff>
    </xdr:from>
    <xdr:ext cx="333375" cy="333375"/>
    <xdr:pic>
      <xdr:nvPicPr>
        <xdr:cNvPr id="0" name="image287.jpg"/>
        <xdr:cNvPicPr preferRelativeResize="0"/>
      </xdr:nvPicPr>
      <xdr:blipFill>
        <a:blip cstate="print" r:embed="rId197"/>
        <a:stretch>
          <a:fillRect/>
        </a:stretch>
      </xdr:blipFill>
      <xdr:spPr>
        <a:prstGeom prst="rect">
          <a:avLst/>
        </a:prstGeom>
        <a:noFill/>
      </xdr:spPr>
    </xdr:pic>
    <xdr:clientData fLocksWithSheet="0"/>
  </xdr:oneCellAnchor>
  <xdr:oneCellAnchor>
    <xdr:from>
      <xdr:col>0</xdr:col>
      <xdr:colOff>0</xdr:colOff>
      <xdr:row>278</xdr:row>
      <xdr:rowOff>0</xdr:rowOff>
    </xdr:from>
    <xdr:ext cx="333375" cy="333375"/>
    <xdr:pic>
      <xdr:nvPicPr>
        <xdr:cNvPr id="0" name="image287.jpg"/>
        <xdr:cNvPicPr preferRelativeResize="0"/>
      </xdr:nvPicPr>
      <xdr:blipFill>
        <a:blip cstate="print" r:embed="rId197"/>
        <a:stretch>
          <a:fillRect/>
        </a:stretch>
      </xdr:blipFill>
      <xdr:spPr>
        <a:prstGeom prst="rect">
          <a:avLst/>
        </a:prstGeom>
        <a:noFill/>
      </xdr:spPr>
    </xdr:pic>
    <xdr:clientData fLocksWithSheet="0"/>
  </xdr:oneCellAnchor>
  <xdr:oneCellAnchor>
    <xdr:from>
      <xdr:col>0</xdr:col>
      <xdr:colOff>0</xdr:colOff>
      <xdr:row>279</xdr:row>
      <xdr:rowOff>0</xdr:rowOff>
    </xdr:from>
    <xdr:ext cx="333375" cy="333375"/>
    <xdr:pic>
      <xdr:nvPicPr>
        <xdr:cNvPr id="0" name="image287.jpg"/>
        <xdr:cNvPicPr preferRelativeResize="0"/>
      </xdr:nvPicPr>
      <xdr:blipFill>
        <a:blip cstate="print" r:embed="rId197"/>
        <a:stretch>
          <a:fillRect/>
        </a:stretch>
      </xdr:blipFill>
      <xdr:spPr>
        <a:prstGeom prst="rect">
          <a:avLst/>
        </a:prstGeom>
        <a:noFill/>
      </xdr:spPr>
    </xdr:pic>
    <xdr:clientData fLocksWithSheet="0"/>
  </xdr:oneCellAnchor>
  <xdr:oneCellAnchor>
    <xdr:from>
      <xdr:col>0</xdr:col>
      <xdr:colOff>0</xdr:colOff>
      <xdr:row>280</xdr:row>
      <xdr:rowOff>0</xdr:rowOff>
    </xdr:from>
    <xdr:ext cx="333375" cy="333375"/>
    <xdr:pic>
      <xdr:nvPicPr>
        <xdr:cNvPr id="0" name="image329.jpg"/>
        <xdr:cNvPicPr preferRelativeResize="0"/>
      </xdr:nvPicPr>
      <xdr:blipFill>
        <a:blip cstate="print" r:embed="rId198"/>
        <a:stretch>
          <a:fillRect/>
        </a:stretch>
      </xdr:blipFill>
      <xdr:spPr>
        <a:prstGeom prst="rect">
          <a:avLst/>
        </a:prstGeom>
        <a:noFill/>
      </xdr:spPr>
    </xdr:pic>
    <xdr:clientData fLocksWithSheet="0"/>
  </xdr:oneCellAnchor>
  <xdr:oneCellAnchor>
    <xdr:from>
      <xdr:col>0</xdr:col>
      <xdr:colOff>0</xdr:colOff>
      <xdr:row>281</xdr:row>
      <xdr:rowOff>0</xdr:rowOff>
    </xdr:from>
    <xdr:ext cx="333375" cy="333375"/>
    <xdr:pic>
      <xdr:nvPicPr>
        <xdr:cNvPr id="0" name="image314.jpg"/>
        <xdr:cNvPicPr preferRelativeResize="0"/>
      </xdr:nvPicPr>
      <xdr:blipFill>
        <a:blip cstate="print" r:embed="rId199"/>
        <a:stretch>
          <a:fillRect/>
        </a:stretch>
      </xdr:blipFill>
      <xdr:spPr>
        <a:prstGeom prst="rect">
          <a:avLst/>
        </a:prstGeom>
        <a:noFill/>
      </xdr:spPr>
    </xdr:pic>
    <xdr:clientData fLocksWithSheet="0"/>
  </xdr:oneCellAnchor>
  <xdr:oneCellAnchor>
    <xdr:from>
      <xdr:col>0</xdr:col>
      <xdr:colOff>0</xdr:colOff>
      <xdr:row>282</xdr:row>
      <xdr:rowOff>0</xdr:rowOff>
    </xdr:from>
    <xdr:ext cx="333375" cy="333375"/>
    <xdr:pic>
      <xdr:nvPicPr>
        <xdr:cNvPr id="0" name="image294.jpg"/>
        <xdr:cNvPicPr preferRelativeResize="0"/>
      </xdr:nvPicPr>
      <xdr:blipFill>
        <a:blip cstate="print" r:embed="rId200"/>
        <a:stretch>
          <a:fillRect/>
        </a:stretch>
      </xdr:blipFill>
      <xdr:spPr>
        <a:prstGeom prst="rect">
          <a:avLst/>
        </a:prstGeom>
        <a:noFill/>
      </xdr:spPr>
    </xdr:pic>
    <xdr:clientData fLocksWithSheet="0"/>
  </xdr:oneCellAnchor>
  <xdr:oneCellAnchor>
    <xdr:from>
      <xdr:col>0</xdr:col>
      <xdr:colOff>0</xdr:colOff>
      <xdr:row>283</xdr:row>
      <xdr:rowOff>0</xdr:rowOff>
    </xdr:from>
    <xdr:ext cx="333375" cy="333375"/>
    <xdr:pic>
      <xdr:nvPicPr>
        <xdr:cNvPr id="0" name="image285.jpg"/>
        <xdr:cNvPicPr preferRelativeResize="0"/>
      </xdr:nvPicPr>
      <xdr:blipFill>
        <a:blip cstate="print" r:embed="rId201"/>
        <a:stretch>
          <a:fillRect/>
        </a:stretch>
      </xdr:blipFill>
      <xdr:spPr>
        <a:prstGeom prst="rect">
          <a:avLst/>
        </a:prstGeom>
        <a:noFill/>
      </xdr:spPr>
    </xdr:pic>
    <xdr:clientData fLocksWithSheet="0"/>
  </xdr:oneCellAnchor>
  <xdr:oneCellAnchor>
    <xdr:from>
      <xdr:col>0</xdr:col>
      <xdr:colOff>0</xdr:colOff>
      <xdr:row>284</xdr:row>
      <xdr:rowOff>0</xdr:rowOff>
    </xdr:from>
    <xdr:ext cx="333375" cy="333375"/>
    <xdr:pic>
      <xdr:nvPicPr>
        <xdr:cNvPr id="0" name="image331.jpg"/>
        <xdr:cNvPicPr preferRelativeResize="0"/>
      </xdr:nvPicPr>
      <xdr:blipFill>
        <a:blip cstate="print" r:embed="rId202"/>
        <a:stretch>
          <a:fillRect/>
        </a:stretch>
      </xdr:blipFill>
      <xdr:spPr>
        <a:prstGeom prst="rect">
          <a:avLst/>
        </a:prstGeom>
        <a:noFill/>
      </xdr:spPr>
    </xdr:pic>
    <xdr:clientData fLocksWithSheet="0"/>
  </xdr:oneCellAnchor>
  <xdr:oneCellAnchor>
    <xdr:from>
      <xdr:col>0</xdr:col>
      <xdr:colOff>0</xdr:colOff>
      <xdr:row>285</xdr:row>
      <xdr:rowOff>0</xdr:rowOff>
    </xdr:from>
    <xdr:ext cx="333375" cy="333375"/>
    <xdr:pic>
      <xdr:nvPicPr>
        <xdr:cNvPr id="0" name="image331.jpg"/>
        <xdr:cNvPicPr preferRelativeResize="0"/>
      </xdr:nvPicPr>
      <xdr:blipFill>
        <a:blip cstate="print" r:embed="rId202"/>
        <a:stretch>
          <a:fillRect/>
        </a:stretch>
      </xdr:blipFill>
      <xdr:spPr>
        <a:prstGeom prst="rect">
          <a:avLst/>
        </a:prstGeom>
        <a:noFill/>
      </xdr:spPr>
    </xdr:pic>
    <xdr:clientData fLocksWithSheet="0"/>
  </xdr:oneCellAnchor>
  <xdr:oneCellAnchor>
    <xdr:from>
      <xdr:col>0</xdr:col>
      <xdr:colOff>0</xdr:colOff>
      <xdr:row>286</xdr:row>
      <xdr:rowOff>0</xdr:rowOff>
    </xdr:from>
    <xdr:ext cx="333375" cy="333375"/>
    <xdr:pic>
      <xdr:nvPicPr>
        <xdr:cNvPr id="0" name="image301.jpg"/>
        <xdr:cNvPicPr preferRelativeResize="0"/>
      </xdr:nvPicPr>
      <xdr:blipFill>
        <a:blip cstate="print" r:embed="rId203"/>
        <a:stretch>
          <a:fillRect/>
        </a:stretch>
      </xdr:blipFill>
      <xdr:spPr>
        <a:prstGeom prst="rect">
          <a:avLst/>
        </a:prstGeom>
        <a:noFill/>
      </xdr:spPr>
    </xdr:pic>
    <xdr:clientData fLocksWithSheet="0"/>
  </xdr:oneCellAnchor>
  <xdr:oneCellAnchor>
    <xdr:from>
      <xdr:col>0</xdr:col>
      <xdr:colOff>0</xdr:colOff>
      <xdr:row>288</xdr:row>
      <xdr:rowOff>0</xdr:rowOff>
    </xdr:from>
    <xdr:ext cx="333375" cy="333375"/>
    <xdr:pic>
      <xdr:nvPicPr>
        <xdr:cNvPr id="0" name="image288.jpg"/>
        <xdr:cNvPicPr preferRelativeResize="0"/>
      </xdr:nvPicPr>
      <xdr:blipFill>
        <a:blip cstate="print" r:embed="rId204"/>
        <a:stretch>
          <a:fillRect/>
        </a:stretch>
      </xdr:blipFill>
      <xdr:spPr>
        <a:prstGeom prst="rect">
          <a:avLst/>
        </a:prstGeom>
        <a:noFill/>
      </xdr:spPr>
    </xdr:pic>
    <xdr:clientData fLocksWithSheet="0"/>
  </xdr:oneCellAnchor>
  <xdr:oneCellAnchor>
    <xdr:from>
      <xdr:col>0</xdr:col>
      <xdr:colOff>0</xdr:colOff>
      <xdr:row>289</xdr:row>
      <xdr:rowOff>0</xdr:rowOff>
    </xdr:from>
    <xdr:ext cx="333375" cy="333375"/>
    <xdr:pic>
      <xdr:nvPicPr>
        <xdr:cNvPr id="0" name="image293.jpg"/>
        <xdr:cNvPicPr preferRelativeResize="0"/>
      </xdr:nvPicPr>
      <xdr:blipFill>
        <a:blip cstate="print" r:embed="rId205"/>
        <a:stretch>
          <a:fillRect/>
        </a:stretch>
      </xdr:blipFill>
      <xdr:spPr>
        <a:prstGeom prst="rect">
          <a:avLst/>
        </a:prstGeom>
        <a:noFill/>
      </xdr:spPr>
    </xdr:pic>
    <xdr:clientData fLocksWithSheet="0"/>
  </xdr:oneCellAnchor>
  <xdr:oneCellAnchor>
    <xdr:from>
      <xdr:col>0</xdr:col>
      <xdr:colOff>0</xdr:colOff>
      <xdr:row>290</xdr:row>
      <xdr:rowOff>0</xdr:rowOff>
    </xdr:from>
    <xdr:ext cx="333375" cy="333375"/>
    <xdr:pic>
      <xdr:nvPicPr>
        <xdr:cNvPr id="0" name="image293.jpg"/>
        <xdr:cNvPicPr preferRelativeResize="0"/>
      </xdr:nvPicPr>
      <xdr:blipFill>
        <a:blip cstate="print" r:embed="rId205"/>
        <a:stretch>
          <a:fillRect/>
        </a:stretch>
      </xdr:blipFill>
      <xdr:spPr>
        <a:prstGeom prst="rect">
          <a:avLst/>
        </a:prstGeom>
        <a:noFill/>
      </xdr:spPr>
    </xdr:pic>
    <xdr:clientData fLocksWithSheet="0"/>
  </xdr:oneCellAnchor>
  <xdr:oneCellAnchor>
    <xdr:from>
      <xdr:col>0</xdr:col>
      <xdr:colOff>0</xdr:colOff>
      <xdr:row>291</xdr:row>
      <xdr:rowOff>0</xdr:rowOff>
    </xdr:from>
    <xdr:ext cx="333375" cy="333375"/>
    <xdr:pic>
      <xdr:nvPicPr>
        <xdr:cNvPr id="0" name="image229.jpg"/>
        <xdr:cNvPicPr preferRelativeResize="0"/>
      </xdr:nvPicPr>
      <xdr:blipFill>
        <a:blip cstate="print" r:embed="rId206"/>
        <a:stretch>
          <a:fillRect/>
        </a:stretch>
      </xdr:blipFill>
      <xdr:spPr>
        <a:prstGeom prst="rect">
          <a:avLst/>
        </a:prstGeom>
        <a:noFill/>
      </xdr:spPr>
    </xdr:pic>
    <xdr:clientData fLocksWithSheet="0"/>
  </xdr:oneCellAnchor>
  <xdr:oneCellAnchor>
    <xdr:from>
      <xdr:col>0</xdr:col>
      <xdr:colOff>0</xdr:colOff>
      <xdr:row>292</xdr:row>
      <xdr:rowOff>0</xdr:rowOff>
    </xdr:from>
    <xdr:ext cx="333375" cy="333375"/>
    <xdr:pic>
      <xdr:nvPicPr>
        <xdr:cNvPr id="0" name="image229.jpg"/>
        <xdr:cNvPicPr preferRelativeResize="0"/>
      </xdr:nvPicPr>
      <xdr:blipFill>
        <a:blip cstate="print" r:embed="rId206"/>
        <a:stretch>
          <a:fillRect/>
        </a:stretch>
      </xdr:blipFill>
      <xdr:spPr>
        <a:prstGeom prst="rect">
          <a:avLst/>
        </a:prstGeom>
        <a:noFill/>
      </xdr:spPr>
    </xdr:pic>
    <xdr:clientData fLocksWithSheet="0"/>
  </xdr:oneCellAnchor>
  <xdr:oneCellAnchor>
    <xdr:from>
      <xdr:col>0</xdr:col>
      <xdr:colOff>0</xdr:colOff>
      <xdr:row>293</xdr:row>
      <xdr:rowOff>0</xdr:rowOff>
    </xdr:from>
    <xdr:ext cx="333375" cy="333375"/>
    <xdr:pic>
      <xdr:nvPicPr>
        <xdr:cNvPr id="0" name="image298.jpg"/>
        <xdr:cNvPicPr preferRelativeResize="0"/>
      </xdr:nvPicPr>
      <xdr:blipFill>
        <a:blip cstate="print" r:embed="rId207"/>
        <a:stretch>
          <a:fillRect/>
        </a:stretch>
      </xdr:blipFill>
      <xdr:spPr>
        <a:prstGeom prst="rect">
          <a:avLst/>
        </a:prstGeom>
        <a:noFill/>
      </xdr:spPr>
    </xdr:pic>
    <xdr:clientData fLocksWithSheet="0"/>
  </xdr:oneCellAnchor>
  <xdr:oneCellAnchor>
    <xdr:from>
      <xdr:col>0</xdr:col>
      <xdr:colOff>0</xdr:colOff>
      <xdr:row>294</xdr:row>
      <xdr:rowOff>0</xdr:rowOff>
    </xdr:from>
    <xdr:ext cx="333375" cy="333375"/>
    <xdr:pic>
      <xdr:nvPicPr>
        <xdr:cNvPr id="0" name="image298.jpg"/>
        <xdr:cNvPicPr preferRelativeResize="0"/>
      </xdr:nvPicPr>
      <xdr:blipFill>
        <a:blip cstate="print" r:embed="rId207"/>
        <a:stretch>
          <a:fillRect/>
        </a:stretch>
      </xdr:blipFill>
      <xdr:spPr>
        <a:prstGeom prst="rect">
          <a:avLst/>
        </a:prstGeom>
        <a:noFill/>
      </xdr:spPr>
    </xdr:pic>
    <xdr:clientData fLocksWithSheet="0"/>
  </xdr:oneCellAnchor>
  <xdr:oneCellAnchor>
    <xdr:from>
      <xdr:col>0</xdr:col>
      <xdr:colOff>0</xdr:colOff>
      <xdr:row>295</xdr:row>
      <xdr:rowOff>0</xdr:rowOff>
    </xdr:from>
    <xdr:ext cx="333375" cy="333375"/>
    <xdr:pic>
      <xdr:nvPicPr>
        <xdr:cNvPr id="0" name="image286.jpg"/>
        <xdr:cNvPicPr preferRelativeResize="0"/>
      </xdr:nvPicPr>
      <xdr:blipFill>
        <a:blip cstate="print" r:embed="rId208"/>
        <a:stretch>
          <a:fillRect/>
        </a:stretch>
      </xdr:blipFill>
      <xdr:spPr>
        <a:prstGeom prst="rect">
          <a:avLst/>
        </a:prstGeom>
        <a:noFill/>
      </xdr:spPr>
    </xdr:pic>
    <xdr:clientData fLocksWithSheet="0"/>
  </xdr:oneCellAnchor>
  <xdr:oneCellAnchor>
    <xdr:from>
      <xdr:col>0</xdr:col>
      <xdr:colOff>0</xdr:colOff>
      <xdr:row>296</xdr:row>
      <xdr:rowOff>0</xdr:rowOff>
    </xdr:from>
    <xdr:ext cx="333375" cy="333375"/>
    <xdr:pic>
      <xdr:nvPicPr>
        <xdr:cNvPr id="0" name="image290.jpg"/>
        <xdr:cNvPicPr preferRelativeResize="0"/>
      </xdr:nvPicPr>
      <xdr:blipFill>
        <a:blip cstate="print" r:embed="rId209"/>
        <a:stretch>
          <a:fillRect/>
        </a:stretch>
      </xdr:blipFill>
      <xdr:spPr>
        <a:prstGeom prst="rect">
          <a:avLst/>
        </a:prstGeom>
        <a:noFill/>
      </xdr:spPr>
    </xdr:pic>
    <xdr:clientData fLocksWithSheet="0"/>
  </xdr:oneCellAnchor>
  <xdr:oneCellAnchor>
    <xdr:from>
      <xdr:col>0</xdr:col>
      <xdr:colOff>0</xdr:colOff>
      <xdr:row>297</xdr:row>
      <xdr:rowOff>0</xdr:rowOff>
    </xdr:from>
    <xdr:ext cx="333375" cy="333375"/>
    <xdr:pic>
      <xdr:nvPicPr>
        <xdr:cNvPr id="0" name="image290.jpg"/>
        <xdr:cNvPicPr preferRelativeResize="0"/>
      </xdr:nvPicPr>
      <xdr:blipFill>
        <a:blip cstate="print" r:embed="rId209"/>
        <a:stretch>
          <a:fillRect/>
        </a:stretch>
      </xdr:blipFill>
      <xdr:spPr>
        <a:prstGeom prst="rect">
          <a:avLst/>
        </a:prstGeom>
        <a:noFill/>
      </xdr:spPr>
    </xdr:pic>
    <xdr:clientData fLocksWithSheet="0"/>
  </xdr:oneCellAnchor>
  <xdr:oneCellAnchor>
    <xdr:from>
      <xdr:col>0</xdr:col>
      <xdr:colOff>0</xdr:colOff>
      <xdr:row>298</xdr:row>
      <xdr:rowOff>0</xdr:rowOff>
    </xdr:from>
    <xdr:ext cx="333375" cy="333375"/>
    <xdr:pic>
      <xdr:nvPicPr>
        <xdr:cNvPr id="0" name="image290.jpg"/>
        <xdr:cNvPicPr preferRelativeResize="0"/>
      </xdr:nvPicPr>
      <xdr:blipFill>
        <a:blip cstate="print" r:embed="rId209"/>
        <a:stretch>
          <a:fillRect/>
        </a:stretch>
      </xdr:blipFill>
      <xdr:spPr>
        <a:prstGeom prst="rect">
          <a:avLst/>
        </a:prstGeom>
        <a:noFill/>
      </xdr:spPr>
    </xdr:pic>
    <xdr:clientData fLocksWithSheet="0"/>
  </xdr:oneCellAnchor>
  <xdr:oneCellAnchor>
    <xdr:from>
      <xdr:col>0</xdr:col>
      <xdr:colOff>0</xdr:colOff>
      <xdr:row>299</xdr:row>
      <xdr:rowOff>0</xdr:rowOff>
    </xdr:from>
    <xdr:ext cx="333375" cy="333375"/>
    <xdr:pic>
      <xdr:nvPicPr>
        <xdr:cNvPr id="0" name="image291.jpg"/>
        <xdr:cNvPicPr preferRelativeResize="0"/>
      </xdr:nvPicPr>
      <xdr:blipFill>
        <a:blip cstate="print" r:embed="rId210"/>
        <a:stretch>
          <a:fillRect/>
        </a:stretch>
      </xdr:blipFill>
      <xdr:spPr>
        <a:prstGeom prst="rect">
          <a:avLst/>
        </a:prstGeom>
        <a:noFill/>
      </xdr:spPr>
    </xdr:pic>
    <xdr:clientData fLocksWithSheet="0"/>
  </xdr:oneCellAnchor>
  <xdr:oneCellAnchor>
    <xdr:from>
      <xdr:col>0</xdr:col>
      <xdr:colOff>0</xdr:colOff>
      <xdr:row>300</xdr:row>
      <xdr:rowOff>0</xdr:rowOff>
    </xdr:from>
    <xdr:ext cx="333375" cy="333375"/>
    <xdr:pic>
      <xdr:nvPicPr>
        <xdr:cNvPr id="0" name="image299.jpg"/>
        <xdr:cNvPicPr preferRelativeResize="0"/>
      </xdr:nvPicPr>
      <xdr:blipFill>
        <a:blip cstate="print" r:embed="rId211"/>
        <a:stretch>
          <a:fillRect/>
        </a:stretch>
      </xdr:blipFill>
      <xdr:spPr>
        <a:prstGeom prst="rect">
          <a:avLst/>
        </a:prstGeom>
        <a:noFill/>
      </xdr:spPr>
    </xdr:pic>
    <xdr:clientData fLocksWithSheet="0"/>
  </xdr:oneCellAnchor>
  <xdr:oneCellAnchor>
    <xdr:from>
      <xdr:col>0</xdr:col>
      <xdr:colOff>0</xdr:colOff>
      <xdr:row>301</xdr:row>
      <xdr:rowOff>0</xdr:rowOff>
    </xdr:from>
    <xdr:ext cx="333375" cy="333375"/>
    <xdr:pic>
      <xdr:nvPicPr>
        <xdr:cNvPr id="0" name="image299.jpg"/>
        <xdr:cNvPicPr preferRelativeResize="0"/>
      </xdr:nvPicPr>
      <xdr:blipFill>
        <a:blip cstate="print" r:embed="rId211"/>
        <a:stretch>
          <a:fillRect/>
        </a:stretch>
      </xdr:blipFill>
      <xdr:spPr>
        <a:prstGeom prst="rect">
          <a:avLst/>
        </a:prstGeom>
        <a:noFill/>
      </xdr:spPr>
    </xdr:pic>
    <xdr:clientData fLocksWithSheet="0"/>
  </xdr:oneCellAnchor>
  <xdr:oneCellAnchor>
    <xdr:from>
      <xdr:col>0</xdr:col>
      <xdr:colOff>0</xdr:colOff>
      <xdr:row>302</xdr:row>
      <xdr:rowOff>0</xdr:rowOff>
    </xdr:from>
    <xdr:ext cx="333375" cy="333375"/>
    <xdr:pic>
      <xdr:nvPicPr>
        <xdr:cNvPr id="0" name="image322.jpg"/>
        <xdr:cNvPicPr preferRelativeResize="0"/>
      </xdr:nvPicPr>
      <xdr:blipFill>
        <a:blip cstate="print" r:embed="rId212"/>
        <a:stretch>
          <a:fillRect/>
        </a:stretch>
      </xdr:blipFill>
      <xdr:spPr>
        <a:prstGeom prst="rect">
          <a:avLst/>
        </a:prstGeom>
        <a:noFill/>
      </xdr:spPr>
    </xdr:pic>
    <xdr:clientData fLocksWithSheet="0"/>
  </xdr:oneCellAnchor>
  <xdr:oneCellAnchor>
    <xdr:from>
      <xdr:col>0</xdr:col>
      <xdr:colOff>0</xdr:colOff>
      <xdr:row>303</xdr:row>
      <xdr:rowOff>0</xdr:rowOff>
    </xdr:from>
    <xdr:ext cx="333375" cy="333375"/>
    <xdr:pic>
      <xdr:nvPicPr>
        <xdr:cNvPr id="0" name="image322.jpg"/>
        <xdr:cNvPicPr preferRelativeResize="0"/>
      </xdr:nvPicPr>
      <xdr:blipFill>
        <a:blip cstate="print" r:embed="rId212"/>
        <a:stretch>
          <a:fillRect/>
        </a:stretch>
      </xdr:blipFill>
      <xdr:spPr>
        <a:prstGeom prst="rect">
          <a:avLst/>
        </a:prstGeom>
        <a:noFill/>
      </xdr:spPr>
    </xdr:pic>
    <xdr:clientData fLocksWithSheet="0"/>
  </xdr:oneCellAnchor>
  <xdr:oneCellAnchor>
    <xdr:from>
      <xdr:col>0</xdr:col>
      <xdr:colOff>0</xdr:colOff>
      <xdr:row>304</xdr:row>
      <xdr:rowOff>0</xdr:rowOff>
    </xdr:from>
    <xdr:ext cx="333375" cy="333375"/>
    <xdr:pic>
      <xdr:nvPicPr>
        <xdr:cNvPr id="0" name="image297.jpg"/>
        <xdr:cNvPicPr preferRelativeResize="0"/>
      </xdr:nvPicPr>
      <xdr:blipFill>
        <a:blip cstate="print" r:embed="rId213"/>
        <a:stretch>
          <a:fillRect/>
        </a:stretch>
      </xdr:blipFill>
      <xdr:spPr>
        <a:prstGeom prst="rect">
          <a:avLst/>
        </a:prstGeom>
        <a:noFill/>
      </xdr:spPr>
    </xdr:pic>
    <xdr:clientData fLocksWithSheet="0"/>
  </xdr:oneCellAnchor>
  <xdr:oneCellAnchor>
    <xdr:from>
      <xdr:col>0</xdr:col>
      <xdr:colOff>0</xdr:colOff>
      <xdr:row>305</xdr:row>
      <xdr:rowOff>0</xdr:rowOff>
    </xdr:from>
    <xdr:ext cx="333375" cy="333375"/>
    <xdr:pic>
      <xdr:nvPicPr>
        <xdr:cNvPr id="0" name="image297.jpg"/>
        <xdr:cNvPicPr preferRelativeResize="0"/>
      </xdr:nvPicPr>
      <xdr:blipFill>
        <a:blip cstate="print" r:embed="rId213"/>
        <a:stretch>
          <a:fillRect/>
        </a:stretch>
      </xdr:blipFill>
      <xdr:spPr>
        <a:prstGeom prst="rect">
          <a:avLst/>
        </a:prstGeom>
        <a:noFill/>
      </xdr:spPr>
    </xdr:pic>
    <xdr:clientData fLocksWithSheet="0"/>
  </xdr:oneCellAnchor>
  <xdr:oneCellAnchor>
    <xdr:from>
      <xdr:col>0</xdr:col>
      <xdr:colOff>0</xdr:colOff>
      <xdr:row>306</xdr:row>
      <xdr:rowOff>0</xdr:rowOff>
    </xdr:from>
    <xdr:ext cx="333375" cy="333375"/>
    <xdr:pic>
      <xdr:nvPicPr>
        <xdr:cNvPr id="0" name="image305.jpg"/>
        <xdr:cNvPicPr preferRelativeResize="0"/>
      </xdr:nvPicPr>
      <xdr:blipFill>
        <a:blip cstate="print" r:embed="rId214"/>
        <a:stretch>
          <a:fillRect/>
        </a:stretch>
      </xdr:blipFill>
      <xdr:spPr>
        <a:prstGeom prst="rect">
          <a:avLst/>
        </a:prstGeom>
        <a:noFill/>
      </xdr:spPr>
    </xdr:pic>
    <xdr:clientData fLocksWithSheet="0"/>
  </xdr:oneCellAnchor>
  <xdr:oneCellAnchor>
    <xdr:from>
      <xdr:col>0</xdr:col>
      <xdr:colOff>0</xdr:colOff>
      <xdr:row>307</xdr:row>
      <xdr:rowOff>0</xdr:rowOff>
    </xdr:from>
    <xdr:ext cx="333375" cy="333375"/>
    <xdr:pic>
      <xdr:nvPicPr>
        <xdr:cNvPr id="0" name="image305.jpg"/>
        <xdr:cNvPicPr preferRelativeResize="0"/>
      </xdr:nvPicPr>
      <xdr:blipFill>
        <a:blip cstate="print" r:embed="rId214"/>
        <a:stretch>
          <a:fillRect/>
        </a:stretch>
      </xdr:blipFill>
      <xdr:spPr>
        <a:prstGeom prst="rect">
          <a:avLst/>
        </a:prstGeom>
        <a:noFill/>
      </xdr:spPr>
    </xdr:pic>
    <xdr:clientData fLocksWithSheet="0"/>
  </xdr:oneCellAnchor>
  <xdr:oneCellAnchor>
    <xdr:from>
      <xdr:col>0</xdr:col>
      <xdr:colOff>0</xdr:colOff>
      <xdr:row>308</xdr:row>
      <xdr:rowOff>0</xdr:rowOff>
    </xdr:from>
    <xdr:ext cx="333375" cy="333375"/>
    <xdr:pic>
      <xdr:nvPicPr>
        <xdr:cNvPr id="0" name="image300.jpg"/>
        <xdr:cNvPicPr preferRelativeResize="0"/>
      </xdr:nvPicPr>
      <xdr:blipFill>
        <a:blip cstate="print" r:embed="rId215"/>
        <a:stretch>
          <a:fillRect/>
        </a:stretch>
      </xdr:blipFill>
      <xdr:spPr>
        <a:prstGeom prst="rect">
          <a:avLst/>
        </a:prstGeom>
        <a:noFill/>
      </xdr:spPr>
    </xdr:pic>
    <xdr:clientData fLocksWithSheet="0"/>
  </xdr:oneCellAnchor>
  <xdr:oneCellAnchor>
    <xdr:from>
      <xdr:col>0</xdr:col>
      <xdr:colOff>0</xdr:colOff>
      <xdr:row>309</xdr:row>
      <xdr:rowOff>0</xdr:rowOff>
    </xdr:from>
    <xdr:ext cx="333375" cy="333375"/>
    <xdr:pic>
      <xdr:nvPicPr>
        <xdr:cNvPr id="0" name="image304.jpg"/>
        <xdr:cNvPicPr preferRelativeResize="0"/>
      </xdr:nvPicPr>
      <xdr:blipFill>
        <a:blip cstate="print" r:embed="rId216"/>
        <a:stretch>
          <a:fillRect/>
        </a:stretch>
      </xdr:blipFill>
      <xdr:spPr>
        <a:prstGeom prst="rect">
          <a:avLst/>
        </a:prstGeom>
        <a:noFill/>
      </xdr:spPr>
    </xdr:pic>
    <xdr:clientData fLocksWithSheet="0"/>
  </xdr:oneCellAnchor>
  <xdr:oneCellAnchor>
    <xdr:from>
      <xdr:col>0</xdr:col>
      <xdr:colOff>0</xdr:colOff>
      <xdr:row>310</xdr:row>
      <xdr:rowOff>0</xdr:rowOff>
    </xdr:from>
    <xdr:ext cx="333375" cy="333375"/>
    <xdr:pic>
      <xdr:nvPicPr>
        <xdr:cNvPr id="0" name="image311.jpg"/>
        <xdr:cNvPicPr preferRelativeResize="0"/>
      </xdr:nvPicPr>
      <xdr:blipFill>
        <a:blip cstate="print" r:embed="rId217"/>
        <a:stretch>
          <a:fillRect/>
        </a:stretch>
      </xdr:blipFill>
      <xdr:spPr>
        <a:prstGeom prst="rect">
          <a:avLst/>
        </a:prstGeom>
        <a:noFill/>
      </xdr:spPr>
    </xdr:pic>
    <xdr:clientData fLocksWithSheet="0"/>
  </xdr:oneCellAnchor>
  <xdr:oneCellAnchor>
    <xdr:from>
      <xdr:col>0</xdr:col>
      <xdr:colOff>0</xdr:colOff>
      <xdr:row>311</xdr:row>
      <xdr:rowOff>0</xdr:rowOff>
    </xdr:from>
    <xdr:ext cx="333375" cy="333375"/>
    <xdr:pic>
      <xdr:nvPicPr>
        <xdr:cNvPr id="0" name="image311.jpg"/>
        <xdr:cNvPicPr preferRelativeResize="0"/>
      </xdr:nvPicPr>
      <xdr:blipFill>
        <a:blip cstate="print" r:embed="rId217"/>
        <a:stretch>
          <a:fillRect/>
        </a:stretch>
      </xdr:blipFill>
      <xdr:spPr>
        <a:prstGeom prst="rect">
          <a:avLst/>
        </a:prstGeom>
        <a:noFill/>
      </xdr:spPr>
    </xdr:pic>
    <xdr:clientData fLocksWithSheet="0"/>
  </xdr:oneCellAnchor>
  <xdr:oneCellAnchor>
    <xdr:from>
      <xdr:col>0</xdr:col>
      <xdr:colOff>0</xdr:colOff>
      <xdr:row>312</xdr:row>
      <xdr:rowOff>0</xdr:rowOff>
    </xdr:from>
    <xdr:ext cx="333375" cy="333375"/>
    <xdr:pic>
      <xdr:nvPicPr>
        <xdr:cNvPr id="0" name="image341.jpg"/>
        <xdr:cNvPicPr preferRelativeResize="0"/>
      </xdr:nvPicPr>
      <xdr:blipFill>
        <a:blip cstate="print" r:embed="rId218"/>
        <a:stretch>
          <a:fillRect/>
        </a:stretch>
      </xdr:blipFill>
      <xdr:spPr>
        <a:prstGeom prst="rect">
          <a:avLst/>
        </a:prstGeom>
        <a:noFill/>
      </xdr:spPr>
    </xdr:pic>
    <xdr:clientData fLocksWithSheet="0"/>
  </xdr:oneCellAnchor>
  <xdr:oneCellAnchor>
    <xdr:from>
      <xdr:col>0</xdr:col>
      <xdr:colOff>0</xdr:colOff>
      <xdr:row>313</xdr:row>
      <xdr:rowOff>0</xdr:rowOff>
    </xdr:from>
    <xdr:ext cx="333375" cy="333375"/>
    <xdr:pic>
      <xdr:nvPicPr>
        <xdr:cNvPr id="0" name="image341.jpg"/>
        <xdr:cNvPicPr preferRelativeResize="0"/>
      </xdr:nvPicPr>
      <xdr:blipFill>
        <a:blip cstate="print" r:embed="rId218"/>
        <a:stretch>
          <a:fillRect/>
        </a:stretch>
      </xdr:blipFill>
      <xdr:spPr>
        <a:prstGeom prst="rect">
          <a:avLst/>
        </a:prstGeom>
        <a:noFill/>
      </xdr:spPr>
    </xdr:pic>
    <xdr:clientData fLocksWithSheet="0"/>
  </xdr:oneCellAnchor>
  <xdr:oneCellAnchor>
    <xdr:from>
      <xdr:col>0</xdr:col>
      <xdr:colOff>0</xdr:colOff>
      <xdr:row>314</xdr:row>
      <xdr:rowOff>0</xdr:rowOff>
    </xdr:from>
    <xdr:ext cx="333375" cy="333375"/>
    <xdr:pic>
      <xdr:nvPicPr>
        <xdr:cNvPr id="0" name="image341.jpg"/>
        <xdr:cNvPicPr preferRelativeResize="0"/>
      </xdr:nvPicPr>
      <xdr:blipFill>
        <a:blip cstate="print" r:embed="rId218"/>
        <a:stretch>
          <a:fillRect/>
        </a:stretch>
      </xdr:blipFill>
      <xdr:spPr>
        <a:prstGeom prst="rect">
          <a:avLst/>
        </a:prstGeom>
        <a:noFill/>
      </xdr:spPr>
    </xdr:pic>
    <xdr:clientData fLocksWithSheet="0"/>
  </xdr:oneCellAnchor>
  <xdr:oneCellAnchor>
    <xdr:from>
      <xdr:col>0</xdr:col>
      <xdr:colOff>0</xdr:colOff>
      <xdr:row>315</xdr:row>
      <xdr:rowOff>0</xdr:rowOff>
    </xdr:from>
    <xdr:ext cx="333375" cy="333375"/>
    <xdr:pic>
      <xdr:nvPicPr>
        <xdr:cNvPr id="0" name="image312.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316</xdr:row>
      <xdr:rowOff>0</xdr:rowOff>
    </xdr:from>
    <xdr:ext cx="333375" cy="333375"/>
    <xdr:pic>
      <xdr:nvPicPr>
        <xdr:cNvPr id="0" name="image312.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317</xdr:row>
      <xdr:rowOff>0</xdr:rowOff>
    </xdr:from>
    <xdr:ext cx="333375" cy="333375"/>
    <xdr:pic>
      <xdr:nvPicPr>
        <xdr:cNvPr id="0" name="image312.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318</xdr:row>
      <xdr:rowOff>0</xdr:rowOff>
    </xdr:from>
    <xdr:ext cx="333375" cy="333375"/>
    <xdr:pic>
      <xdr:nvPicPr>
        <xdr:cNvPr id="0" name="image312.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319</xdr:row>
      <xdr:rowOff>0</xdr:rowOff>
    </xdr:from>
    <xdr:ext cx="333375" cy="333375"/>
    <xdr:pic>
      <xdr:nvPicPr>
        <xdr:cNvPr id="0" name="image312.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320</xdr:row>
      <xdr:rowOff>0</xdr:rowOff>
    </xdr:from>
    <xdr:ext cx="333375" cy="333375"/>
    <xdr:pic>
      <xdr:nvPicPr>
        <xdr:cNvPr id="0" name="image312.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321</xdr:row>
      <xdr:rowOff>0</xdr:rowOff>
    </xdr:from>
    <xdr:ext cx="333375" cy="333375"/>
    <xdr:pic>
      <xdr:nvPicPr>
        <xdr:cNvPr id="0" name="image312.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322</xdr:row>
      <xdr:rowOff>0</xdr:rowOff>
    </xdr:from>
    <xdr:ext cx="333375" cy="333375"/>
    <xdr:pic>
      <xdr:nvPicPr>
        <xdr:cNvPr id="0" name="image323.jpg"/>
        <xdr:cNvPicPr preferRelativeResize="0"/>
      </xdr:nvPicPr>
      <xdr:blipFill>
        <a:blip cstate="print" r:embed="rId220"/>
        <a:stretch>
          <a:fillRect/>
        </a:stretch>
      </xdr:blipFill>
      <xdr:spPr>
        <a:prstGeom prst="rect">
          <a:avLst/>
        </a:prstGeom>
        <a:noFill/>
      </xdr:spPr>
    </xdr:pic>
    <xdr:clientData fLocksWithSheet="0"/>
  </xdr:oneCellAnchor>
  <xdr:oneCellAnchor>
    <xdr:from>
      <xdr:col>0</xdr:col>
      <xdr:colOff>0</xdr:colOff>
      <xdr:row>323</xdr:row>
      <xdr:rowOff>0</xdr:rowOff>
    </xdr:from>
    <xdr:ext cx="333375" cy="333375"/>
    <xdr:pic>
      <xdr:nvPicPr>
        <xdr:cNvPr id="0" name="image323.jpg"/>
        <xdr:cNvPicPr preferRelativeResize="0"/>
      </xdr:nvPicPr>
      <xdr:blipFill>
        <a:blip cstate="print" r:embed="rId220"/>
        <a:stretch>
          <a:fillRect/>
        </a:stretch>
      </xdr:blipFill>
      <xdr:spPr>
        <a:prstGeom prst="rect">
          <a:avLst/>
        </a:prstGeom>
        <a:noFill/>
      </xdr:spPr>
    </xdr:pic>
    <xdr:clientData fLocksWithSheet="0"/>
  </xdr:oneCellAnchor>
  <xdr:oneCellAnchor>
    <xdr:from>
      <xdr:col>0</xdr:col>
      <xdr:colOff>0</xdr:colOff>
      <xdr:row>324</xdr:row>
      <xdr:rowOff>0</xdr:rowOff>
    </xdr:from>
    <xdr:ext cx="333375" cy="333375"/>
    <xdr:pic>
      <xdr:nvPicPr>
        <xdr:cNvPr id="0" name="image323.jpg"/>
        <xdr:cNvPicPr preferRelativeResize="0"/>
      </xdr:nvPicPr>
      <xdr:blipFill>
        <a:blip cstate="print" r:embed="rId220"/>
        <a:stretch>
          <a:fillRect/>
        </a:stretch>
      </xdr:blipFill>
      <xdr:spPr>
        <a:prstGeom prst="rect">
          <a:avLst/>
        </a:prstGeom>
        <a:noFill/>
      </xdr:spPr>
    </xdr:pic>
    <xdr:clientData fLocksWithSheet="0"/>
  </xdr:oneCellAnchor>
  <xdr:oneCellAnchor>
    <xdr:from>
      <xdr:col>0</xdr:col>
      <xdr:colOff>0</xdr:colOff>
      <xdr:row>325</xdr:row>
      <xdr:rowOff>0</xdr:rowOff>
    </xdr:from>
    <xdr:ext cx="333375" cy="333375"/>
    <xdr:pic>
      <xdr:nvPicPr>
        <xdr:cNvPr id="0" name="image323.jpg"/>
        <xdr:cNvPicPr preferRelativeResize="0"/>
      </xdr:nvPicPr>
      <xdr:blipFill>
        <a:blip cstate="print" r:embed="rId220"/>
        <a:stretch>
          <a:fillRect/>
        </a:stretch>
      </xdr:blipFill>
      <xdr:spPr>
        <a:prstGeom prst="rect">
          <a:avLst/>
        </a:prstGeom>
        <a:noFill/>
      </xdr:spPr>
    </xdr:pic>
    <xdr:clientData fLocksWithSheet="0"/>
  </xdr:oneCellAnchor>
  <xdr:oneCellAnchor>
    <xdr:from>
      <xdr:col>0</xdr:col>
      <xdr:colOff>0</xdr:colOff>
      <xdr:row>326</xdr:row>
      <xdr:rowOff>0</xdr:rowOff>
    </xdr:from>
    <xdr:ext cx="333375" cy="333375"/>
    <xdr:pic>
      <xdr:nvPicPr>
        <xdr:cNvPr id="0" name="image323.jpg"/>
        <xdr:cNvPicPr preferRelativeResize="0"/>
      </xdr:nvPicPr>
      <xdr:blipFill>
        <a:blip cstate="print" r:embed="rId220"/>
        <a:stretch>
          <a:fillRect/>
        </a:stretch>
      </xdr:blipFill>
      <xdr:spPr>
        <a:prstGeom prst="rect">
          <a:avLst/>
        </a:prstGeom>
        <a:noFill/>
      </xdr:spPr>
    </xdr:pic>
    <xdr:clientData fLocksWithSheet="0"/>
  </xdr:oneCellAnchor>
  <xdr:oneCellAnchor>
    <xdr:from>
      <xdr:col>0</xdr:col>
      <xdr:colOff>0</xdr:colOff>
      <xdr:row>327</xdr:row>
      <xdr:rowOff>0</xdr:rowOff>
    </xdr:from>
    <xdr:ext cx="333375" cy="333375"/>
    <xdr:pic>
      <xdr:nvPicPr>
        <xdr:cNvPr id="0" name="image313.jpg"/>
        <xdr:cNvPicPr preferRelativeResize="0"/>
      </xdr:nvPicPr>
      <xdr:blipFill>
        <a:blip cstate="print" r:embed="rId221"/>
        <a:stretch>
          <a:fillRect/>
        </a:stretch>
      </xdr:blipFill>
      <xdr:spPr>
        <a:prstGeom prst="rect">
          <a:avLst/>
        </a:prstGeom>
        <a:noFill/>
      </xdr:spPr>
    </xdr:pic>
    <xdr:clientData fLocksWithSheet="0"/>
  </xdr:oneCellAnchor>
  <xdr:oneCellAnchor>
    <xdr:from>
      <xdr:col>0</xdr:col>
      <xdr:colOff>0</xdr:colOff>
      <xdr:row>328</xdr:row>
      <xdr:rowOff>0</xdr:rowOff>
    </xdr:from>
    <xdr:ext cx="333375" cy="333375"/>
    <xdr:pic>
      <xdr:nvPicPr>
        <xdr:cNvPr id="0" name="image307.png"/>
        <xdr:cNvPicPr preferRelativeResize="0"/>
      </xdr:nvPicPr>
      <xdr:blipFill>
        <a:blip cstate="print" r:embed="rId222"/>
        <a:stretch>
          <a:fillRect/>
        </a:stretch>
      </xdr:blipFill>
      <xdr:spPr>
        <a:prstGeom prst="rect">
          <a:avLst/>
        </a:prstGeom>
        <a:noFill/>
      </xdr:spPr>
    </xdr:pic>
    <xdr:clientData fLocksWithSheet="0"/>
  </xdr:oneCellAnchor>
  <xdr:oneCellAnchor>
    <xdr:from>
      <xdr:col>0</xdr:col>
      <xdr:colOff>0</xdr:colOff>
      <xdr:row>329</xdr:row>
      <xdr:rowOff>0</xdr:rowOff>
    </xdr:from>
    <xdr:ext cx="333375" cy="333375"/>
    <xdr:pic>
      <xdr:nvPicPr>
        <xdr:cNvPr id="0" name="image315.jpg"/>
        <xdr:cNvPicPr preferRelativeResize="0"/>
      </xdr:nvPicPr>
      <xdr:blipFill>
        <a:blip cstate="print" r:embed="rId223"/>
        <a:stretch>
          <a:fillRect/>
        </a:stretch>
      </xdr:blipFill>
      <xdr:spPr>
        <a:prstGeom prst="rect">
          <a:avLst/>
        </a:prstGeom>
        <a:noFill/>
      </xdr:spPr>
    </xdr:pic>
    <xdr:clientData fLocksWithSheet="0"/>
  </xdr:oneCellAnchor>
  <xdr:oneCellAnchor>
    <xdr:from>
      <xdr:col>0</xdr:col>
      <xdr:colOff>0</xdr:colOff>
      <xdr:row>330</xdr:row>
      <xdr:rowOff>0</xdr:rowOff>
    </xdr:from>
    <xdr:ext cx="333375" cy="333375"/>
    <xdr:pic>
      <xdr:nvPicPr>
        <xdr:cNvPr id="0" name="image315.jpg"/>
        <xdr:cNvPicPr preferRelativeResize="0"/>
      </xdr:nvPicPr>
      <xdr:blipFill>
        <a:blip cstate="print" r:embed="rId223"/>
        <a:stretch>
          <a:fillRect/>
        </a:stretch>
      </xdr:blipFill>
      <xdr:spPr>
        <a:prstGeom prst="rect">
          <a:avLst/>
        </a:prstGeom>
        <a:noFill/>
      </xdr:spPr>
    </xdr:pic>
    <xdr:clientData fLocksWithSheet="0"/>
  </xdr:oneCellAnchor>
  <xdr:oneCellAnchor>
    <xdr:from>
      <xdr:col>0</xdr:col>
      <xdr:colOff>0</xdr:colOff>
      <xdr:row>331</xdr:row>
      <xdr:rowOff>0</xdr:rowOff>
    </xdr:from>
    <xdr:ext cx="333375" cy="333375"/>
    <xdr:pic>
      <xdr:nvPicPr>
        <xdr:cNvPr id="0" name="image315.jpg"/>
        <xdr:cNvPicPr preferRelativeResize="0"/>
      </xdr:nvPicPr>
      <xdr:blipFill>
        <a:blip cstate="print" r:embed="rId223"/>
        <a:stretch>
          <a:fillRect/>
        </a:stretch>
      </xdr:blipFill>
      <xdr:spPr>
        <a:prstGeom prst="rect">
          <a:avLst/>
        </a:prstGeom>
        <a:noFill/>
      </xdr:spPr>
    </xdr:pic>
    <xdr:clientData fLocksWithSheet="0"/>
  </xdr:oneCellAnchor>
  <xdr:oneCellAnchor>
    <xdr:from>
      <xdr:col>0</xdr:col>
      <xdr:colOff>0</xdr:colOff>
      <xdr:row>332</xdr:row>
      <xdr:rowOff>0</xdr:rowOff>
    </xdr:from>
    <xdr:ext cx="333375" cy="333375"/>
    <xdr:pic>
      <xdr:nvPicPr>
        <xdr:cNvPr id="0" name="image315.jpg"/>
        <xdr:cNvPicPr preferRelativeResize="0"/>
      </xdr:nvPicPr>
      <xdr:blipFill>
        <a:blip cstate="print" r:embed="rId223"/>
        <a:stretch>
          <a:fillRect/>
        </a:stretch>
      </xdr:blipFill>
      <xdr:spPr>
        <a:prstGeom prst="rect">
          <a:avLst/>
        </a:prstGeom>
        <a:noFill/>
      </xdr:spPr>
    </xdr:pic>
    <xdr:clientData fLocksWithSheet="0"/>
  </xdr:oneCellAnchor>
  <xdr:oneCellAnchor>
    <xdr:from>
      <xdr:col>0</xdr:col>
      <xdr:colOff>0</xdr:colOff>
      <xdr:row>333</xdr:row>
      <xdr:rowOff>0</xdr:rowOff>
    </xdr:from>
    <xdr:ext cx="333375" cy="333375"/>
    <xdr:pic>
      <xdr:nvPicPr>
        <xdr:cNvPr id="0" name="image327.jpg"/>
        <xdr:cNvPicPr preferRelativeResize="0"/>
      </xdr:nvPicPr>
      <xdr:blipFill>
        <a:blip cstate="print" r:embed="rId224"/>
        <a:stretch>
          <a:fillRect/>
        </a:stretch>
      </xdr:blipFill>
      <xdr:spPr>
        <a:prstGeom prst="rect">
          <a:avLst/>
        </a:prstGeom>
        <a:noFill/>
      </xdr:spPr>
    </xdr:pic>
    <xdr:clientData fLocksWithSheet="0"/>
  </xdr:oneCellAnchor>
  <xdr:oneCellAnchor>
    <xdr:from>
      <xdr:col>0</xdr:col>
      <xdr:colOff>0</xdr:colOff>
      <xdr:row>334</xdr:row>
      <xdr:rowOff>0</xdr:rowOff>
    </xdr:from>
    <xdr:ext cx="333375" cy="333375"/>
    <xdr:pic>
      <xdr:nvPicPr>
        <xdr:cNvPr id="0" name="image327.jpg"/>
        <xdr:cNvPicPr preferRelativeResize="0"/>
      </xdr:nvPicPr>
      <xdr:blipFill>
        <a:blip cstate="print" r:embed="rId224"/>
        <a:stretch>
          <a:fillRect/>
        </a:stretch>
      </xdr:blipFill>
      <xdr:spPr>
        <a:prstGeom prst="rect">
          <a:avLst/>
        </a:prstGeom>
        <a:noFill/>
      </xdr:spPr>
    </xdr:pic>
    <xdr:clientData fLocksWithSheet="0"/>
  </xdr:oneCellAnchor>
  <xdr:oneCellAnchor>
    <xdr:from>
      <xdr:col>0</xdr:col>
      <xdr:colOff>0</xdr:colOff>
      <xdr:row>335</xdr:row>
      <xdr:rowOff>0</xdr:rowOff>
    </xdr:from>
    <xdr:ext cx="333375" cy="333375"/>
    <xdr:pic>
      <xdr:nvPicPr>
        <xdr:cNvPr id="0" name="image327.jpg"/>
        <xdr:cNvPicPr preferRelativeResize="0"/>
      </xdr:nvPicPr>
      <xdr:blipFill>
        <a:blip cstate="print" r:embed="rId224"/>
        <a:stretch>
          <a:fillRect/>
        </a:stretch>
      </xdr:blipFill>
      <xdr:spPr>
        <a:prstGeom prst="rect">
          <a:avLst/>
        </a:prstGeom>
        <a:noFill/>
      </xdr:spPr>
    </xdr:pic>
    <xdr:clientData fLocksWithSheet="0"/>
  </xdr:oneCellAnchor>
  <xdr:oneCellAnchor>
    <xdr:from>
      <xdr:col>0</xdr:col>
      <xdr:colOff>0</xdr:colOff>
      <xdr:row>336</xdr:row>
      <xdr:rowOff>0</xdr:rowOff>
    </xdr:from>
    <xdr:ext cx="333375" cy="333375"/>
    <xdr:pic>
      <xdr:nvPicPr>
        <xdr:cNvPr id="0" name="image402.jpg"/>
        <xdr:cNvPicPr preferRelativeResize="0"/>
      </xdr:nvPicPr>
      <xdr:blipFill>
        <a:blip cstate="print" r:embed="rId225"/>
        <a:stretch>
          <a:fillRect/>
        </a:stretch>
      </xdr:blipFill>
      <xdr:spPr>
        <a:prstGeom prst="rect">
          <a:avLst/>
        </a:prstGeom>
        <a:noFill/>
      </xdr:spPr>
    </xdr:pic>
    <xdr:clientData fLocksWithSheet="0"/>
  </xdr:oneCellAnchor>
  <xdr:oneCellAnchor>
    <xdr:from>
      <xdr:col>0</xdr:col>
      <xdr:colOff>0</xdr:colOff>
      <xdr:row>337</xdr:row>
      <xdr:rowOff>0</xdr:rowOff>
    </xdr:from>
    <xdr:ext cx="333375" cy="333375"/>
    <xdr:pic>
      <xdr:nvPicPr>
        <xdr:cNvPr id="0" name="image387.jpg"/>
        <xdr:cNvPicPr preferRelativeResize="0"/>
      </xdr:nvPicPr>
      <xdr:blipFill>
        <a:blip cstate="print" r:embed="rId226"/>
        <a:stretch>
          <a:fillRect/>
        </a:stretch>
      </xdr:blipFill>
      <xdr:spPr>
        <a:prstGeom prst="rect">
          <a:avLst/>
        </a:prstGeom>
        <a:noFill/>
      </xdr:spPr>
    </xdr:pic>
    <xdr:clientData fLocksWithSheet="0"/>
  </xdr:oneCellAnchor>
  <xdr:oneCellAnchor>
    <xdr:from>
      <xdr:col>0</xdr:col>
      <xdr:colOff>0</xdr:colOff>
      <xdr:row>338</xdr:row>
      <xdr:rowOff>0</xdr:rowOff>
    </xdr:from>
    <xdr:ext cx="333375" cy="333375"/>
    <xdr:pic>
      <xdr:nvPicPr>
        <xdr:cNvPr id="0" name="image387.jpg"/>
        <xdr:cNvPicPr preferRelativeResize="0"/>
      </xdr:nvPicPr>
      <xdr:blipFill>
        <a:blip cstate="print" r:embed="rId226"/>
        <a:stretch>
          <a:fillRect/>
        </a:stretch>
      </xdr:blipFill>
      <xdr:spPr>
        <a:prstGeom prst="rect">
          <a:avLst/>
        </a:prstGeom>
        <a:noFill/>
      </xdr:spPr>
    </xdr:pic>
    <xdr:clientData fLocksWithSheet="0"/>
  </xdr:oneCellAnchor>
  <xdr:oneCellAnchor>
    <xdr:from>
      <xdr:col>0</xdr:col>
      <xdr:colOff>0</xdr:colOff>
      <xdr:row>339</xdr:row>
      <xdr:rowOff>0</xdr:rowOff>
    </xdr:from>
    <xdr:ext cx="333375" cy="333375"/>
    <xdr:pic>
      <xdr:nvPicPr>
        <xdr:cNvPr id="0" name="image320.jpg"/>
        <xdr:cNvPicPr preferRelativeResize="0"/>
      </xdr:nvPicPr>
      <xdr:blipFill>
        <a:blip cstate="print" r:embed="rId227"/>
        <a:stretch>
          <a:fillRect/>
        </a:stretch>
      </xdr:blipFill>
      <xdr:spPr>
        <a:prstGeom prst="rect">
          <a:avLst/>
        </a:prstGeom>
        <a:noFill/>
      </xdr:spPr>
    </xdr:pic>
    <xdr:clientData fLocksWithSheet="0"/>
  </xdr:oneCellAnchor>
  <xdr:oneCellAnchor>
    <xdr:from>
      <xdr:col>0</xdr:col>
      <xdr:colOff>0</xdr:colOff>
      <xdr:row>340</xdr:row>
      <xdr:rowOff>0</xdr:rowOff>
    </xdr:from>
    <xdr:ext cx="333375" cy="333375"/>
    <xdr:pic>
      <xdr:nvPicPr>
        <xdr:cNvPr id="0" name="image408.jpg"/>
        <xdr:cNvPicPr preferRelativeResize="0"/>
      </xdr:nvPicPr>
      <xdr:blipFill>
        <a:blip cstate="print" r:embed="rId228"/>
        <a:stretch>
          <a:fillRect/>
        </a:stretch>
      </xdr:blipFill>
      <xdr:spPr>
        <a:prstGeom prst="rect">
          <a:avLst/>
        </a:prstGeom>
        <a:noFill/>
      </xdr:spPr>
    </xdr:pic>
    <xdr:clientData fLocksWithSheet="0"/>
  </xdr:oneCellAnchor>
  <xdr:oneCellAnchor>
    <xdr:from>
      <xdr:col>0</xdr:col>
      <xdr:colOff>0</xdr:colOff>
      <xdr:row>341</xdr:row>
      <xdr:rowOff>0</xdr:rowOff>
    </xdr:from>
    <xdr:ext cx="333375" cy="333375"/>
    <xdr:pic>
      <xdr:nvPicPr>
        <xdr:cNvPr id="0" name="image318.jpg"/>
        <xdr:cNvPicPr preferRelativeResize="0"/>
      </xdr:nvPicPr>
      <xdr:blipFill>
        <a:blip cstate="print" r:embed="rId229"/>
        <a:stretch>
          <a:fillRect/>
        </a:stretch>
      </xdr:blipFill>
      <xdr:spPr>
        <a:prstGeom prst="rect">
          <a:avLst/>
        </a:prstGeom>
        <a:noFill/>
      </xdr:spPr>
    </xdr:pic>
    <xdr:clientData fLocksWithSheet="0"/>
  </xdr:oneCellAnchor>
  <xdr:oneCellAnchor>
    <xdr:from>
      <xdr:col>0</xdr:col>
      <xdr:colOff>0</xdr:colOff>
      <xdr:row>342</xdr:row>
      <xdr:rowOff>0</xdr:rowOff>
    </xdr:from>
    <xdr:ext cx="333375" cy="333375"/>
    <xdr:pic>
      <xdr:nvPicPr>
        <xdr:cNvPr id="0" name="image318.jpg"/>
        <xdr:cNvPicPr preferRelativeResize="0"/>
      </xdr:nvPicPr>
      <xdr:blipFill>
        <a:blip cstate="print" r:embed="rId229"/>
        <a:stretch>
          <a:fillRect/>
        </a:stretch>
      </xdr:blipFill>
      <xdr:spPr>
        <a:prstGeom prst="rect">
          <a:avLst/>
        </a:prstGeom>
        <a:noFill/>
      </xdr:spPr>
    </xdr:pic>
    <xdr:clientData fLocksWithSheet="0"/>
  </xdr:oneCellAnchor>
  <xdr:oneCellAnchor>
    <xdr:from>
      <xdr:col>0</xdr:col>
      <xdr:colOff>0</xdr:colOff>
      <xdr:row>343</xdr:row>
      <xdr:rowOff>0</xdr:rowOff>
    </xdr:from>
    <xdr:ext cx="333375" cy="333375"/>
    <xdr:pic>
      <xdr:nvPicPr>
        <xdr:cNvPr id="0" name="image325.jpg"/>
        <xdr:cNvPicPr preferRelativeResize="0"/>
      </xdr:nvPicPr>
      <xdr:blipFill>
        <a:blip cstate="print" r:embed="rId230"/>
        <a:stretch>
          <a:fillRect/>
        </a:stretch>
      </xdr:blipFill>
      <xdr:spPr>
        <a:prstGeom prst="rect">
          <a:avLst/>
        </a:prstGeom>
        <a:noFill/>
      </xdr:spPr>
    </xdr:pic>
    <xdr:clientData fLocksWithSheet="0"/>
  </xdr:oneCellAnchor>
  <xdr:oneCellAnchor>
    <xdr:from>
      <xdr:col>0</xdr:col>
      <xdr:colOff>0</xdr:colOff>
      <xdr:row>344</xdr:row>
      <xdr:rowOff>0</xdr:rowOff>
    </xdr:from>
    <xdr:ext cx="333375" cy="333375"/>
    <xdr:pic>
      <xdr:nvPicPr>
        <xdr:cNvPr id="0" name="image317.jpg"/>
        <xdr:cNvPicPr preferRelativeResize="0"/>
      </xdr:nvPicPr>
      <xdr:blipFill>
        <a:blip cstate="print" r:embed="rId231"/>
        <a:stretch>
          <a:fillRect/>
        </a:stretch>
      </xdr:blipFill>
      <xdr:spPr>
        <a:prstGeom prst="rect">
          <a:avLst/>
        </a:prstGeom>
        <a:noFill/>
      </xdr:spPr>
    </xdr:pic>
    <xdr:clientData fLocksWithSheet="0"/>
  </xdr:oneCellAnchor>
  <xdr:oneCellAnchor>
    <xdr:from>
      <xdr:col>0</xdr:col>
      <xdr:colOff>0</xdr:colOff>
      <xdr:row>345</xdr:row>
      <xdr:rowOff>0</xdr:rowOff>
    </xdr:from>
    <xdr:ext cx="333375" cy="333375"/>
    <xdr:pic>
      <xdr:nvPicPr>
        <xdr:cNvPr id="0" name="image324.jpg"/>
        <xdr:cNvPicPr preferRelativeResize="0"/>
      </xdr:nvPicPr>
      <xdr:blipFill>
        <a:blip cstate="print" r:embed="rId232"/>
        <a:stretch>
          <a:fillRect/>
        </a:stretch>
      </xdr:blipFill>
      <xdr:spPr>
        <a:prstGeom prst="rect">
          <a:avLst/>
        </a:prstGeom>
        <a:noFill/>
      </xdr:spPr>
    </xdr:pic>
    <xdr:clientData fLocksWithSheet="0"/>
  </xdr:oneCellAnchor>
  <xdr:oneCellAnchor>
    <xdr:from>
      <xdr:col>0</xdr:col>
      <xdr:colOff>0</xdr:colOff>
      <xdr:row>346</xdr:row>
      <xdr:rowOff>0</xdr:rowOff>
    </xdr:from>
    <xdr:ext cx="333375" cy="333375"/>
    <xdr:pic>
      <xdr:nvPicPr>
        <xdr:cNvPr id="0" name="image324.jpg"/>
        <xdr:cNvPicPr preferRelativeResize="0"/>
      </xdr:nvPicPr>
      <xdr:blipFill>
        <a:blip cstate="print" r:embed="rId232"/>
        <a:stretch>
          <a:fillRect/>
        </a:stretch>
      </xdr:blipFill>
      <xdr:spPr>
        <a:prstGeom prst="rect">
          <a:avLst/>
        </a:prstGeom>
        <a:noFill/>
      </xdr:spPr>
    </xdr:pic>
    <xdr:clientData fLocksWithSheet="0"/>
  </xdr:oneCellAnchor>
  <xdr:oneCellAnchor>
    <xdr:from>
      <xdr:col>0</xdr:col>
      <xdr:colOff>0</xdr:colOff>
      <xdr:row>347</xdr:row>
      <xdr:rowOff>0</xdr:rowOff>
    </xdr:from>
    <xdr:ext cx="333375" cy="333375"/>
    <xdr:pic>
      <xdr:nvPicPr>
        <xdr:cNvPr id="0" name="image351.jpg"/>
        <xdr:cNvPicPr preferRelativeResize="0"/>
      </xdr:nvPicPr>
      <xdr:blipFill>
        <a:blip cstate="print" r:embed="rId233"/>
        <a:stretch>
          <a:fillRect/>
        </a:stretch>
      </xdr:blipFill>
      <xdr:spPr>
        <a:prstGeom prst="rect">
          <a:avLst/>
        </a:prstGeom>
        <a:noFill/>
      </xdr:spPr>
    </xdr:pic>
    <xdr:clientData fLocksWithSheet="0"/>
  </xdr:oneCellAnchor>
  <xdr:oneCellAnchor>
    <xdr:from>
      <xdr:col>0</xdr:col>
      <xdr:colOff>0</xdr:colOff>
      <xdr:row>348</xdr:row>
      <xdr:rowOff>0</xdr:rowOff>
    </xdr:from>
    <xdr:ext cx="333375" cy="333375"/>
    <xdr:pic>
      <xdr:nvPicPr>
        <xdr:cNvPr id="0" name="image321.jpg"/>
        <xdr:cNvPicPr preferRelativeResize="0"/>
      </xdr:nvPicPr>
      <xdr:blipFill>
        <a:blip cstate="print" r:embed="rId234"/>
        <a:stretch>
          <a:fillRect/>
        </a:stretch>
      </xdr:blipFill>
      <xdr:spPr>
        <a:prstGeom prst="rect">
          <a:avLst/>
        </a:prstGeom>
        <a:noFill/>
      </xdr:spPr>
    </xdr:pic>
    <xdr:clientData fLocksWithSheet="0"/>
  </xdr:oneCellAnchor>
  <xdr:oneCellAnchor>
    <xdr:from>
      <xdr:col>0</xdr:col>
      <xdr:colOff>0</xdr:colOff>
      <xdr:row>349</xdr:row>
      <xdr:rowOff>0</xdr:rowOff>
    </xdr:from>
    <xdr:ext cx="333375" cy="333375"/>
    <xdr:pic>
      <xdr:nvPicPr>
        <xdr:cNvPr id="0" name="image321.jpg"/>
        <xdr:cNvPicPr preferRelativeResize="0"/>
      </xdr:nvPicPr>
      <xdr:blipFill>
        <a:blip cstate="print" r:embed="rId23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333375" cy="333375"/>
    <xdr:pic>
      <xdr:nvPicPr>
        <xdr:cNvPr id="0" name="image339.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333375" cy="333375"/>
    <xdr:pic>
      <xdr:nvPicPr>
        <xdr:cNvPr id="0" name="image346.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333375" cy="333375"/>
    <xdr:pic>
      <xdr:nvPicPr>
        <xdr:cNvPr id="0" name="image346.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xdr:row>
      <xdr:rowOff>0</xdr:rowOff>
    </xdr:from>
    <xdr:ext cx="333375" cy="333375"/>
    <xdr:pic>
      <xdr:nvPicPr>
        <xdr:cNvPr id="0" name="image336.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6</xdr:row>
      <xdr:rowOff>0</xdr:rowOff>
    </xdr:from>
    <xdr:ext cx="333375" cy="333375"/>
    <xdr:pic>
      <xdr:nvPicPr>
        <xdr:cNvPr id="0" name="image353.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7</xdr:row>
      <xdr:rowOff>0</xdr:rowOff>
    </xdr:from>
    <xdr:ext cx="333375" cy="333375"/>
    <xdr:pic>
      <xdr:nvPicPr>
        <xdr:cNvPr id="0" name="image335.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8</xdr:row>
      <xdr:rowOff>0</xdr:rowOff>
    </xdr:from>
    <xdr:ext cx="333375" cy="333375"/>
    <xdr:pic>
      <xdr:nvPicPr>
        <xdr:cNvPr id="0" name="image333.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9</xdr:row>
      <xdr:rowOff>0</xdr:rowOff>
    </xdr:from>
    <xdr:ext cx="333375" cy="333375"/>
    <xdr:pic>
      <xdr:nvPicPr>
        <xdr:cNvPr id="0" name="image334.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10</xdr:row>
      <xdr:rowOff>0</xdr:rowOff>
    </xdr:from>
    <xdr:ext cx="333375" cy="333375"/>
    <xdr:pic>
      <xdr:nvPicPr>
        <xdr:cNvPr id="0" name="image337.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11</xdr:row>
      <xdr:rowOff>0</xdr:rowOff>
    </xdr:from>
    <xdr:ext cx="333375" cy="333375"/>
    <xdr:pic>
      <xdr:nvPicPr>
        <xdr:cNvPr id="0" name="image337.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12</xdr:row>
      <xdr:rowOff>0</xdr:rowOff>
    </xdr:from>
    <xdr:ext cx="323850" cy="333375"/>
    <xdr:pic>
      <xdr:nvPicPr>
        <xdr:cNvPr id="0" name="image338.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13</xdr:row>
      <xdr:rowOff>0</xdr:rowOff>
    </xdr:from>
    <xdr:ext cx="323850" cy="333375"/>
    <xdr:pic>
      <xdr:nvPicPr>
        <xdr:cNvPr id="0" name="image338.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14</xdr:row>
      <xdr:rowOff>0</xdr:rowOff>
    </xdr:from>
    <xdr:ext cx="333375" cy="333375"/>
    <xdr:pic>
      <xdr:nvPicPr>
        <xdr:cNvPr id="0" name="image344.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15</xdr:row>
      <xdr:rowOff>0</xdr:rowOff>
    </xdr:from>
    <xdr:ext cx="333375" cy="333375"/>
    <xdr:pic>
      <xdr:nvPicPr>
        <xdr:cNvPr id="0" name="image343.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16</xdr:row>
      <xdr:rowOff>0</xdr:rowOff>
    </xdr:from>
    <xdr:ext cx="333375" cy="333375"/>
    <xdr:pic>
      <xdr:nvPicPr>
        <xdr:cNvPr id="0" name="image340.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17</xdr:row>
      <xdr:rowOff>0</xdr:rowOff>
    </xdr:from>
    <xdr:ext cx="333375" cy="333375"/>
    <xdr:pic>
      <xdr:nvPicPr>
        <xdr:cNvPr id="0" name="image340.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18</xdr:row>
      <xdr:rowOff>0</xdr:rowOff>
    </xdr:from>
    <xdr:ext cx="333375" cy="333375"/>
    <xdr:pic>
      <xdr:nvPicPr>
        <xdr:cNvPr id="0" name="image342.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19</xdr:row>
      <xdr:rowOff>0</xdr:rowOff>
    </xdr:from>
    <xdr:ext cx="333375" cy="333375"/>
    <xdr:pic>
      <xdr:nvPicPr>
        <xdr:cNvPr id="0" name="image342.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20</xdr:row>
      <xdr:rowOff>0</xdr:rowOff>
    </xdr:from>
    <xdr:ext cx="333375" cy="333375"/>
    <xdr:pic>
      <xdr:nvPicPr>
        <xdr:cNvPr id="0" name="image345.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21</xdr:row>
      <xdr:rowOff>0</xdr:rowOff>
    </xdr:from>
    <xdr:ext cx="333375" cy="333375"/>
    <xdr:pic>
      <xdr:nvPicPr>
        <xdr:cNvPr id="0" name="image345.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22</xdr:row>
      <xdr:rowOff>0</xdr:rowOff>
    </xdr:from>
    <xdr:ext cx="333375" cy="333375"/>
    <xdr:pic>
      <xdr:nvPicPr>
        <xdr:cNvPr id="0" name="image345.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23</xdr:row>
      <xdr:rowOff>0</xdr:rowOff>
    </xdr:from>
    <xdr:ext cx="333375" cy="333375"/>
    <xdr:pic>
      <xdr:nvPicPr>
        <xdr:cNvPr id="0" name="image376.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24</xdr:row>
      <xdr:rowOff>0</xdr:rowOff>
    </xdr:from>
    <xdr:ext cx="333375" cy="333375"/>
    <xdr:pic>
      <xdr:nvPicPr>
        <xdr:cNvPr id="0" name="image376.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25</xdr:row>
      <xdr:rowOff>0</xdr:rowOff>
    </xdr:from>
    <xdr:ext cx="333375" cy="333375"/>
    <xdr:pic>
      <xdr:nvPicPr>
        <xdr:cNvPr id="0" name="image347.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26</xdr:row>
      <xdr:rowOff>0</xdr:rowOff>
    </xdr:from>
    <xdr:ext cx="333375" cy="333375"/>
    <xdr:pic>
      <xdr:nvPicPr>
        <xdr:cNvPr id="0" name="image350.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27</xdr:row>
      <xdr:rowOff>0</xdr:rowOff>
    </xdr:from>
    <xdr:ext cx="333375" cy="333375"/>
    <xdr:pic>
      <xdr:nvPicPr>
        <xdr:cNvPr id="0" name="image349.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28</xdr:row>
      <xdr:rowOff>0</xdr:rowOff>
    </xdr:from>
    <xdr:ext cx="333375" cy="333375"/>
    <xdr:pic>
      <xdr:nvPicPr>
        <xdr:cNvPr id="0" name="image349.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29</xdr:row>
      <xdr:rowOff>0</xdr:rowOff>
    </xdr:from>
    <xdr:ext cx="333375" cy="333375"/>
    <xdr:pic>
      <xdr:nvPicPr>
        <xdr:cNvPr id="0" name="image349.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30</xdr:row>
      <xdr:rowOff>0</xdr:rowOff>
    </xdr:from>
    <xdr:ext cx="333375" cy="333375"/>
    <xdr:pic>
      <xdr:nvPicPr>
        <xdr:cNvPr id="0" name="image348.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31</xdr:row>
      <xdr:rowOff>0</xdr:rowOff>
    </xdr:from>
    <xdr:ext cx="333375" cy="333375"/>
    <xdr:pic>
      <xdr:nvPicPr>
        <xdr:cNvPr id="0" name="image348.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32</xdr:row>
      <xdr:rowOff>0</xdr:rowOff>
    </xdr:from>
    <xdr:ext cx="333375" cy="333375"/>
    <xdr:pic>
      <xdr:nvPicPr>
        <xdr:cNvPr id="0" name="image348.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33</xdr:row>
      <xdr:rowOff>0</xdr:rowOff>
    </xdr:from>
    <xdr:ext cx="333375" cy="333375"/>
    <xdr:pic>
      <xdr:nvPicPr>
        <xdr:cNvPr id="0" name="image357.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34</xdr:row>
      <xdr:rowOff>0</xdr:rowOff>
    </xdr:from>
    <xdr:ext cx="333375" cy="333375"/>
    <xdr:pic>
      <xdr:nvPicPr>
        <xdr:cNvPr id="0" name="image379.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35</xdr:row>
      <xdr:rowOff>0</xdr:rowOff>
    </xdr:from>
    <xdr:ext cx="333375" cy="333375"/>
    <xdr:pic>
      <xdr:nvPicPr>
        <xdr:cNvPr id="0" name="image379.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36</xdr:row>
      <xdr:rowOff>0</xdr:rowOff>
    </xdr:from>
    <xdr:ext cx="333375" cy="333375"/>
    <xdr:pic>
      <xdr:nvPicPr>
        <xdr:cNvPr id="0" name="image366.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37</xdr:row>
      <xdr:rowOff>0</xdr:rowOff>
    </xdr:from>
    <xdr:ext cx="333375" cy="333375"/>
    <xdr:pic>
      <xdr:nvPicPr>
        <xdr:cNvPr id="0" name="image397.pn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38</xdr:row>
      <xdr:rowOff>0</xdr:rowOff>
    </xdr:from>
    <xdr:ext cx="333375" cy="333375"/>
    <xdr:pic>
      <xdr:nvPicPr>
        <xdr:cNvPr id="0" name="image397.pn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39</xdr:row>
      <xdr:rowOff>0</xdr:rowOff>
    </xdr:from>
    <xdr:ext cx="323850" cy="333375"/>
    <xdr:pic>
      <xdr:nvPicPr>
        <xdr:cNvPr id="0" name="image354.pn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40</xdr:row>
      <xdr:rowOff>0</xdr:rowOff>
    </xdr:from>
    <xdr:ext cx="323850" cy="333375"/>
    <xdr:pic>
      <xdr:nvPicPr>
        <xdr:cNvPr id="0" name="image354.pn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41</xdr:row>
      <xdr:rowOff>0</xdr:rowOff>
    </xdr:from>
    <xdr:ext cx="333375" cy="333375"/>
    <xdr:pic>
      <xdr:nvPicPr>
        <xdr:cNvPr id="0" name="image407.pn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42</xdr:row>
      <xdr:rowOff>0</xdr:rowOff>
    </xdr:from>
    <xdr:ext cx="333375" cy="333375"/>
    <xdr:pic>
      <xdr:nvPicPr>
        <xdr:cNvPr id="0" name="image360.pn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43</xdr:row>
      <xdr:rowOff>0</xdr:rowOff>
    </xdr:from>
    <xdr:ext cx="333375" cy="333375"/>
    <xdr:pic>
      <xdr:nvPicPr>
        <xdr:cNvPr id="0" name="image363.pn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44</xdr:row>
      <xdr:rowOff>0</xdr:rowOff>
    </xdr:from>
    <xdr:ext cx="333375" cy="333375"/>
    <xdr:pic>
      <xdr:nvPicPr>
        <xdr:cNvPr id="0" name="image363.pn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45</xdr:row>
      <xdr:rowOff>0</xdr:rowOff>
    </xdr:from>
    <xdr:ext cx="333375" cy="333375"/>
    <xdr:pic>
      <xdr:nvPicPr>
        <xdr:cNvPr id="0" name="image363.pn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46</xdr:row>
      <xdr:rowOff>0</xdr:rowOff>
    </xdr:from>
    <xdr:ext cx="323850" cy="333375"/>
    <xdr:pic>
      <xdr:nvPicPr>
        <xdr:cNvPr id="0" name="image365.pn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47</xdr:row>
      <xdr:rowOff>0</xdr:rowOff>
    </xdr:from>
    <xdr:ext cx="333375" cy="333375"/>
    <xdr:pic>
      <xdr:nvPicPr>
        <xdr:cNvPr id="0" name="image352.pn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48</xdr:row>
      <xdr:rowOff>0</xdr:rowOff>
    </xdr:from>
    <xdr:ext cx="333375" cy="333375"/>
    <xdr:pic>
      <xdr:nvPicPr>
        <xdr:cNvPr id="0" name="image358.pn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49</xdr:row>
      <xdr:rowOff>0</xdr:rowOff>
    </xdr:from>
    <xdr:ext cx="333375" cy="333375"/>
    <xdr:pic>
      <xdr:nvPicPr>
        <xdr:cNvPr id="0" name="image412.jp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50</xdr:row>
      <xdr:rowOff>0</xdr:rowOff>
    </xdr:from>
    <xdr:ext cx="333375" cy="333375"/>
    <xdr:pic>
      <xdr:nvPicPr>
        <xdr:cNvPr id="0" name="image413.pn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51</xdr:row>
      <xdr:rowOff>0</xdr:rowOff>
    </xdr:from>
    <xdr:ext cx="333375" cy="333375"/>
    <xdr:pic>
      <xdr:nvPicPr>
        <xdr:cNvPr id="0" name="image413.pn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52</xdr:row>
      <xdr:rowOff>0</xdr:rowOff>
    </xdr:from>
    <xdr:ext cx="333375" cy="333375"/>
    <xdr:pic>
      <xdr:nvPicPr>
        <xdr:cNvPr id="0" name="image362.pn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53</xdr:row>
      <xdr:rowOff>0</xdr:rowOff>
    </xdr:from>
    <xdr:ext cx="333375" cy="333375"/>
    <xdr:pic>
      <xdr:nvPicPr>
        <xdr:cNvPr id="0" name="image374.pn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54</xdr:row>
      <xdr:rowOff>0</xdr:rowOff>
    </xdr:from>
    <xdr:ext cx="333375" cy="333375"/>
    <xdr:pic>
      <xdr:nvPicPr>
        <xdr:cNvPr id="0" name="image368.pn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55</xdr:row>
      <xdr:rowOff>0</xdr:rowOff>
    </xdr:from>
    <xdr:ext cx="333375" cy="333375"/>
    <xdr:pic>
      <xdr:nvPicPr>
        <xdr:cNvPr id="0" name="image355.pn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56</xdr:row>
      <xdr:rowOff>0</xdr:rowOff>
    </xdr:from>
    <xdr:ext cx="333375" cy="333375"/>
    <xdr:pic>
      <xdr:nvPicPr>
        <xdr:cNvPr id="0" name="image401.pn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57</xdr:row>
      <xdr:rowOff>0</xdr:rowOff>
    </xdr:from>
    <xdr:ext cx="333375" cy="333375"/>
    <xdr:pic>
      <xdr:nvPicPr>
        <xdr:cNvPr id="0" name="image133.jp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58</xdr:row>
      <xdr:rowOff>0</xdr:rowOff>
    </xdr:from>
    <xdr:ext cx="333375" cy="333375"/>
    <xdr:pic>
      <xdr:nvPicPr>
        <xdr:cNvPr id="0" name="image361.jp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59</xdr:row>
      <xdr:rowOff>0</xdr:rowOff>
    </xdr:from>
    <xdr:ext cx="333375" cy="333375"/>
    <xdr:pic>
      <xdr:nvPicPr>
        <xdr:cNvPr id="0" name="image417.jp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60</xdr:row>
      <xdr:rowOff>0</xdr:rowOff>
    </xdr:from>
    <xdr:ext cx="333375" cy="333375"/>
    <xdr:pic>
      <xdr:nvPicPr>
        <xdr:cNvPr id="0" name="image420.pn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61</xdr:row>
      <xdr:rowOff>0</xdr:rowOff>
    </xdr:from>
    <xdr:ext cx="333375" cy="333375"/>
    <xdr:pic>
      <xdr:nvPicPr>
        <xdr:cNvPr id="0" name="image356.pn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62</xdr:row>
      <xdr:rowOff>0</xdr:rowOff>
    </xdr:from>
    <xdr:ext cx="333375" cy="333375"/>
    <xdr:pic>
      <xdr:nvPicPr>
        <xdr:cNvPr id="0" name="image367.pn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63</xdr:row>
      <xdr:rowOff>0</xdr:rowOff>
    </xdr:from>
    <xdr:ext cx="333375" cy="333375"/>
    <xdr:pic>
      <xdr:nvPicPr>
        <xdr:cNvPr id="0" name="image367.pn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64</xdr:row>
      <xdr:rowOff>0</xdr:rowOff>
    </xdr:from>
    <xdr:ext cx="333375" cy="333375"/>
    <xdr:pic>
      <xdr:nvPicPr>
        <xdr:cNvPr id="0" name="image404.png"/>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65</xdr:row>
      <xdr:rowOff>0</xdr:rowOff>
    </xdr:from>
    <xdr:ext cx="333375" cy="333375"/>
    <xdr:pic>
      <xdr:nvPicPr>
        <xdr:cNvPr id="0" name="image364.png"/>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0</xdr:colOff>
      <xdr:row>66</xdr:row>
      <xdr:rowOff>0</xdr:rowOff>
    </xdr:from>
    <xdr:ext cx="333375" cy="333375"/>
    <xdr:pic>
      <xdr:nvPicPr>
        <xdr:cNvPr id="0" name="image371.png"/>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0</xdr:colOff>
      <xdr:row>67</xdr:row>
      <xdr:rowOff>0</xdr:rowOff>
    </xdr:from>
    <xdr:ext cx="333375" cy="333375"/>
    <xdr:pic>
      <xdr:nvPicPr>
        <xdr:cNvPr id="0" name="image405.pn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68</xdr:row>
      <xdr:rowOff>0</xdr:rowOff>
    </xdr:from>
    <xdr:ext cx="333375" cy="333375"/>
    <xdr:pic>
      <xdr:nvPicPr>
        <xdr:cNvPr id="0" name="image398.jpg"/>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69</xdr:row>
      <xdr:rowOff>0</xdr:rowOff>
    </xdr:from>
    <xdr:ext cx="333375" cy="333375"/>
    <xdr:pic>
      <xdr:nvPicPr>
        <xdr:cNvPr id="0" name="image398.jpg"/>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70</xdr:row>
      <xdr:rowOff>0</xdr:rowOff>
    </xdr:from>
    <xdr:ext cx="333375" cy="333375"/>
    <xdr:pic>
      <xdr:nvPicPr>
        <xdr:cNvPr id="0" name="image359.png"/>
        <xdr:cNvPicPr preferRelativeResize="0"/>
      </xdr:nvPicPr>
      <xdr:blipFill>
        <a:blip cstate="print" r:embed="rId49"/>
        <a:stretch>
          <a:fillRect/>
        </a:stretch>
      </xdr:blipFill>
      <xdr:spPr>
        <a:prstGeom prst="rect">
          <a:avLst/>
        </a:prstGeom>
        <a:noFill/>
      </xdr:spPr>
    </xdr:pic>
    <xdr:clientData fLocksWithSheet="0"/>
  </xdr:oneCellAnchor>
  <xdr:oneCellAnchor>
    <xdr:from>
      <xdr:col>0</xdr:col>
      <xdr:colOff>0</xdr:colOff>
      <xdr:row>71</xdr:row>
      <xdr:rowOff>0</xdr:rowOff>
    </xdr:from>
    <xdr:ext cx="333375" cy="333375"/>
    <xdr:pic>
      <xdr:nvPicPr>
        <xdr:cNvPr id="0" name="image384.png"/>
        <xdr:cNvPicPr preferRelativeResize="0"/>
      </xdr:nvPicPr>
      <xdr:blipFill>
        <a:blip cstate="print" r:embed="rId50"/>
        <a:stretch>
          <a:fillRect/>
        </a:stretch>
      </xdr:blipFill>
      <xdr:spPr>
        <a:prstGeom prst="rect">
          <a:avLst/>
        </a:prstGeom>
        <a:noFill/>
      </xdr:spPr>
    </xdr:pic>
    <xdr:clientData fLocksWithSheet="0"/>
  </xdr:oneCellAnchor>
  <xdr:oneCellAnchor>
    <xdr:from>
      <xdr:col>0</xdr:col>
      <xdr:colOff>0</xdr:colOff>
      <xdr:row>72</xdr:row>
      <xdr:rowOff>0</xdr:rowOff>
    </xdr:from>
    <xdr:ext cx="333375" cy="333375"/>
    <xdr:pic>
      <xdr:nvPicPr>
        <xdr:cNvPr id="0" name="image382.png"/>
        <xdr:cNvPicPr preferRelativeResize="0"/>
      </xdr:nvPicPr>
      <xdr:blipFill>
        <a:blip cstate="print" r:embed="rId51"/>
        <a:stretch>
          <a:fillRect/>
        </a:stretch>
      </xdr:blipFill>
      <xdr:spPr>
        <a:prstGeom prst="rect">
          <a:avLst/>
        </a:prstGeom>
        <a:noFill/>
      </xdr:spPr>
    </xdr:pic>
    <xdr:clientData fLocksWithSheet="0"/>
  </xdr:oneCellAnchor>
  <xdr:oneCellAnchor>
    <xdr:from>
      <xdr:col>0</xdr:col>
      <xdr:colOff>0</xdr:colOff>
      <xdr:row>73</xdr:row>
      <xdr:rowOff>0</xdr:rowOff>
    </xdr:from>
    <xdr:ext cx="333375" cy="333375"/>
    <xdr:pic>
      <xdr:nvPicPr>
        <xdr:cNvPr id="0" name="image369.png"/>
        <xdr:cNvPicPr preferRelativeResize="0"/>
      </xdr:nvPicPr>
      <xdr:blipFill>
        <a:blip cstate="print" r:embed="rId52"/>
        <a:stretch>
          <a:fillRect/>
        </a:stretch>
      </xdr:blipFill>
      <xdr:spPr>
        <a:prstGeom prst="rect">
          <a:avLst/>
        </a:prstGeom>
        <a:noFill/>
      </xdr:spPr>
    </xdr:pic>
    <xdr:clientData fLocksWithSheet="0"/>
  </xdr:oneCellAnchor>
  <xdr:oneCellAnchor>
    <xdr:from>
      <xdr:col>0</xdr:col>
      <xdr:colOff>0</xdr:colOff>
      <xdr:row>74</xdr:row>
      <xdr:rowOff>0</xdr:rowOff>
    </xdr:from>
    <xdr:ext cx="333375" cy="333375"/>
    <xdr:pic>
      <xdr:nvPicPr>
        <xdr:cNvPr id="0" name="image378.png"/>
        <xdr:cNvPicPr preferRelativeResize="0"/>
      </xdr:nvPicPr>
      <xdr:blipFill>
        <a:blip cstate="print" r:embed="rId53"/>
        <a:stretch>
          <a:fillRect/>
        </a:stretch>
      </xdr:blipFill>
      <xdr:spPr>
        <a:prstGeom prst="rect">
          <a:avLst/>
        </a:prstGeom>
        <a:noFill/>
      </xdr:spPr>
    </xdr:pic>
    <xdr:clientData fLocksWithSheet="0"/>
  </xdr:oneCellAnchor>
  <xdr:oneCellAnchor>
    <xdr:from>
      <xdr:col>0</xdr:col>
      <xdr:colOff>0</xdr:colOff>
      <xdr:row>75</xdr:row>
      <xdr:rowOff>0</xdr:rowOff>
    </xdr:from>
    <xdr:ext cx="333375" cy="333375"/>
    <xdr:pic>
      <xdr:nvPicPr>
        <xdr:cNvPr id="0" name="image375.png"/>
        <xdr:cNvPicPr preferRelativeResize="0"/>
      </xdr:nvPicPr>
      <xdr:blipFill>
        <a:blip cstate="print" r:embed="rId54"/>
        <a:stretch>
          <a:fillRect/>
        </a:stretch>
      </xdr:blipFill>
      <xdr:spPr>
        <a:prstGeom prst="rect">
          <a:avLst/>
        </a:prstGeom>
        <a:noFill/>
      </xdr:spPr>
    </xdr:pic>
    <xdr:clientData fLocksWithSheet="0"/>
  </xdr:oneCellAnchor>
  <xdr:oneCellAnchor>
    <xdr:from>
      <xdr:col>0</xdr:col>
      <xdr:colOff>0</xdr:colOff>
      <xdr:row>76</xdr:row>
      <xdr:rowOff>0</xdr:rowOff>
    </xdr:from>
    <xdr:ext cx="333375" cy="333375"/>
    <xdr:pic>
      <xdr:nvPicPr>
        <xdr:cNvPr id="0" name="image372.png"/>
        <xdr:cNvPicPr preferRelativeResize="0"/>
      </xdr:nvPicPr>
      <xdr:blipFill>
        <a:blip cstate="print" r:embed="rId55"/>
        <a:stretch>
          <a:fillRect/>
        </a:stretch>
      </xdr:blipFill>
      <xdr:spPr>
        <a:prstGeom prst="rect">
          <a:avLst/>
        </a:prstGeom>
        <a:noFill/>
      </xdr:spPr>
    </xdr:pic>
    <xdr:clientData fLocksWithSheet="0"/>
  </xdr:oneCellAnchor>
  <xdr:oneCellAnchor>
    <xdr:from>
      <xdr:col>0</xdr:col>
      <xdr:colOff>0</xdr:colOff>
      <xdr:row>77</xdr:row>
      <xdr:rowOff>0</xdr:rowOff>
    </xdr:from>
    <xdr:ext cx="333375" cy="333375"/>
    <xdr:pic>
      <xdr:nvPicPr>
        <xdr:cNvPr id="0" name="image373.png"/>
        <xdr:cNvPicPr preferRelativeResize="0"/>
      </xdr:nvPicPr>
      <xdr:blipFill>
        <a:blip cstate="print" r:embed="rId56"/>
        <a:stretch>
          <a:fillRect/>
        </a:stretch>
      </xdr:blipFill>
      <xdr:spPr>
        <a:prstGeom prst="rect">
          <a:avLst/>
        </a:prstGeom>
        <a:noFill/>
      </xdr:spPr>
    </xdr:pic>
    <xdr:clientData fLocksWithSheet="0"/>
  </xdr:oneCellAnchor>
  <xdr:oneCellAnchor>
    <xdr:from>
      <xdr:col>0</xdr:col>
      <xdr:colOff>0</xdr:colOff>
      <xdr:row>78</xdr:row>
      <xdr:rowOff>0</xdr:rowOff>
    </xdr:from>
    <xdr:ext cx="333375" cy="333375"/>
    <xdr:pic>
      <xdr:nvPicPr>
        <xdr:cNvPr id="0" name="image370.png"/>
        <xdr:cNvPicPr preferRelativeResize="0"/>
      </xdr:nvPicPr>
      <xdr:blipFill>
        <a:blip cstate="print" r:embed="rId57"/>
        <a:stretch>
          <a:fillRect/>
        </a:stretch>
      </xdr:blipFill>
      <xdr:spPr>
        <a:prstGeom prst="rect">
          <a:avLst/>
        </a:prstGeom>
        <a:noFill/>
      </xdr:spPr>
    </xdr:pic>
    <xdr:clientData fLocksWithSheet="0"/>
  </xdr:oneCellAnchor>
  <xdr:oneCellAnchor>
    <xdr:from>
      <xdr:col>0</xdr:col>
      <xdr:colOff>0</xdr:colOff>
      <xdr:row>79</xdr:row>
      <xdr:rowOff>0</xdr:rowOff>
    </xdr:from>
    <xdr:ext cx="333375" cy="333375"/>
    <xdr:pic>
      <xdr:nvPicPr>
        <xdr:cNvPr id="0" name="image385.png"/>
        <xdr:cNvPicPr preferRelativeResize="0"/>
      </xdr:nvPicPr>
      <xdr:blipFill>
        <a:blip cstate="print" r:embed="rId58"/>
        <a:stretch>
          <a:fillRect/>
        </a:stretch>
      </xdr:blipFill>
      <xdr:spPr>
        <a:prstGeom prst="rect">
          <a:avLst/>
        </a:prstGeom>
        <a:noFill/>
      </xdr:spPr>
    </xdr:pic>
    <xdr:clientData fLocksWithSheet="0"/>
  </xdr:oneCellAnchor>
  <xdr:oneCellAnchor>
    <xdr:from>
      <xdr:col>0</xdr:col>
      <xdr:colOff>0</xdr:colOff>
      <xdr:row>80</xdr:row>
      <xdr:rowOff>0</xdr:rowOff>
    </xdr:from>
    <xdr:ext cx="333375" cy="333375"/>
    <xdr:pic>
      <xdr:nvPicPr>
        <xdr:cNvPr id="0" name="image383.png"/>
        <xdr:cNvPicPr preferRelativeResize="0"/>
      </xdr:nvPicPr>
      <xdr:blipFill>
        <a:blip cstate="print" r:embed="rId59"/>
        <a:stretch>
          <a:fillRect/>
        </a:stretch>
      </xdr:blipFill>
      <xdr:spPr>
        <a:prstGeom prst="rect">
          <a:avLst/>
        </a:prstGeom>
        <a:noFill/>
      </xdr:spPr>
    </xdr:pic>
    <xdr:clientData fLocksWithSheet="0"/>
  </xdr:oneCellAnchor>
  <xdr:oneCellAnchor>
    <xdr:from>
      <xdr:col>0</xdr:col>
      <xdr:colOff>0</xdr:colOff>
      <xdr:row>81</xdr:row>
      <xdr:rowOff>0</xdr:rowOff>
    </xdr:from>
    <xdr:ext cx="333375" cy="333375"/>
    <xdr:pic>
      <xdr:nvPicPr>
        <xdr:cNvPr id="0" name="image383.png"/>
        <xdr:cNvPicPr preferRelativeResize="0"/>
      </xdr:nvPicPr>
      <xdr:blipFill>
        <a:blip cstate="print" r:embed="rId59"/>
        <a:stretch>
          <a:fillRect/>
        </a:stretch>
      </xdr:blipFill>
      <xdr:spPr>
        <a:prstGeom prst="rect">
          <a:avLst/>
        </a:prstGeom>
        <a:noFill/>
      </xdr:spPr>
    </xdr:pic>
    <xdr:clientData fLocksWithSheet="0"/>
  </xdr:oneCellAnchor>
  <xdr:oneCellAnchor>
    <xdr:from>
      <xdr:col>0</xdr:col>
      <xdr:colOff>0</xdr:colOff>
      <xdr:row>82</xdr:row>
      <xdr:rowOff>0</xdr:rowOff>
    </xdr:from>
    <xdr:ext cx="333375" cy="333375"/>
    <xdr:pic>
      <xdr:nvPicPr>
        <xdr:cNvPr id="0" name="image386.png"/>
        <xdr:cNvPicPr preferRelativeResize="0"/>
      </xdr:nvPicPr>
      <xdr:blipFill>
        <a:blip cstate="print" r:embed="rId60"/>
        <a:stretch>
          <a:fillRect/>
        </a:stretch>
      </xdr:blipFill>
      <xdr:spPr>
        <a:prstGeom prst="rect">
          <a:avLst/>
        </a:prstGeom>
        <a:noFill/>
      </xdr:spPr>
    </xdr:pic>
    <xdr:clientData fLocksWithSheet="0"/>
  </xdr:oneCellAnchor>
  <xdr:oneCellAnchor>
    <xdr:from>
      <xdr:col>0</xdr:col>
      <xdr:colOff>0</xdr:colOff>
      <xdr:row>83</xdr:row>
      <xdr:rowOff>0</xdr:rowOff>
    </xdr:from>
    <xdr:ext cx="333375" cy="333375"/>
    <xdr:pic>
      <xdr:nvPicPr>
        <xdr:cNvPr id="0" name="image386.png"/>
        <xdr:cNvPicPr preferRelativeResize="0"/>
      </xdr:nvPicPr>
      <xdr:blipFill>
        <a:blip cstate="print" r:embed="rId60"/>
        <a:stretch>
          <a:fillRect/>
        </a:stretch>
      </xdr:blipFill>
      <xdr:spPr>
        <a:prstGeom prst="rect">
          <a:avLst/>
        </a:prstGeom>
        <a:noFill/>
      </xdr:spPr>
    </xdr:pic>
    <xdr:clientData fLocksWithSheet="0"/>
  </xdr:oneCellAnchor>
  <xdr:oneCellAnchor>
    <xdr:from>
      <xdr:col>0</xdr:col>
      <xdr:colOff>0</xdr:colOff>
      <xdr:row>84</xdr:row>
      <xdr:rowOff>0</xdr:rowOff>
    </xdr:from>
    <xdr:ext cx="323850" cy="333375"/>
    <xdr:pic>
      <xdr:nvPicPr>
        <xdr:cNvPr id="0" name="image377.png"/>
        <xdr:cNvPicPr preferRelativeResize="0"/>
      </xdr:nvPicPr>
      <xdr:blipFill>
        <a:blip cstate="print" r:embed="rId61"/>
        <a:stretch>
          <a:fillRect/>
        </a:stretch>
      </xdr:blipFill>
      <xdr:spPr>
        <a:prstGeom prst="rect">
          <a:avLst/>
        </a:prstGeom>
        <a:noFill/>
      </xdr:spPr>
    </xdr:pic>
    <xdr:clientData fLocksWithSheet="0"/>
  </xdr:oneCellAnchor>
  <xdr:oneCellAnchor>
    <xdr:from>
      <xdr:col>0</xdr:col>
      <xdr:colOff>0</xdr:colOff>
      <xdr:row>85</xdr:row>
      <xdr:rowOff>0</xdr:rowOff>
    </xdr:from>
    <xdr:ext cx="333375" cy="333375"/>
    <xdr:pic>
      <xdr:nvPicPr>
        <xdr:cNvPr id="0" name="image381.png"/>
        <xdr:cNvPicPr preferRelativeResize="0"/>
      </xdr:nvPicPr>
      <xdr:blipFill>
        <a:blip cstate="print" r:embed="rId62"/>
        <a:stretch>
          <a:fillRect/>
        </a:stretch>
      </xdr:blipFill>
      <xdr:spPr>
        <a:prstGeom prst="rect">
          <a:avLst/>
        </a:prstGeom>
        <a:noFill/>
      </xdr:spPr>
    </xdr:pic>
    <xdr:clientData fLocksWithSheet="0"/>
  </xdr:oneCellAnchor>
  <xdr:oneCellAnchor>
    <xdr:from>
      <xdr:col>0</xdr:col>
      <xdr:colOff>0</xdr:colOff>
      <xdr:row>86</xdr:row>
      <xdr:rowOff>0</xdr:rowOff>
    </xdr:from>
    <xdr:ext cx="333375" cy="333375"/>
    <xdr:pic>
      <xdr:nvPicPr>
        <xdr:cNvPr id="0" name="image390.png"/>
        <xdr:cNvPicPr preferRelativeResize="0"/>
      </xdr:nvPicPr>
      <xdr:blipFill>
        <a:blip cstate="print" r:embed="rId63"/>
        <a:stretch>
          <a:fillRect/>
        </a:stretch>
      </xdr:blipFill>
      <xdr:spPr>
        <a:prstGeom prst="rect">
          <a:avLst/>
        </a:prstGeom>
        <a:noFill/>
      </xdr:spPr>
    </xdr:pic>
    <xdr:clientData fLocksWithSheet="0"/>
  </xdr:oneCellAnchor>
  <xdr:oneCellAnchor>
    <xdr:from>
      <xdr:col>0</xdr:col>
      <xdr:colOff>0</xdr:colOff>
      <xdr:row>87</xdr:row>
      <xdr:rowOff>0</xdr:rowOff>
    </xdr:from>
    <xdr:ext cx="333375" cy="333375"/>
    <xdr:pic>
      <xdr:nvPicPr>
        <xdr:cNvPr id="0" name="image390.png"/>
        <xdr:cNvPicPr preferRelativeResize="0"/>
      </xdr:nvPicPr>
      <xdr:blipFill>
        <a:blip cstate="print" r:embed="rId63"/>
        <a:stretch>
          <a:fillRect/>
        </a:stretch>
      </xdr:blipFill>
      <xdr:spPr>
        <a:prstGeom prst="rect">
          <a:avLst/>
        </a:prstGeom>
        <a:noFill/>
      </xdr:spPr>
    </xdr:pic>
    <xdr:clientData fLocksWithSheet="0"/>
  </xdr:oneCellAnchor>
  <xdr:oneCellAnchor>
    <xdr:from>
      <xdr:col>0</xdr:col>
      <xdr:colOff>0</xdr:colOff>
      <xdr:row>88</xdr:row>
      <xdr:rowOff>0</xdr:rowOff>
    </xdr:from>
    <xdr:ext cx="333375" cy="333375"/>
    <xdr:pic>
      <xdr:nvPicPr>
        <xdr:cNvPr id="0" name="image389.png"/>
        <xdr:cNvPicPr preferRelativeResize="0"/>
      </xdr:nvPicPr>
      <xdr:blipFill>
        <a:blip cstate="print" r:embed="rId64"/>
        <a:stretch>
          <a:fillRect/>
        </a:stretch>
      </xdr:blipFill>
      <xdr:spPr>
        <a:prstGeom prst="rect">
          <a:avLst/>
        </a:prstGeom>
        <a:noFill/>
      </xdr:spPr>
    </xdr:pic>
    <xdr:clientData fLocksWithSheet="0"/>
  </xdr:oneCellAnchor>
  <xdr:oneCellAnchor>
    <xdr:from>
      <xdr:col>0</xdr:col>
      <xdr:colOff>0</xdr:colOff>
      <xdr:row>89</xdr:row>
      <xdr:rowOff>0</xdr:rowOff>
    </xdr:from>
    <xdr:ext cx="333375" cy="333375"/>
    <xdr:pic>
      <xdr:nvPicPr>
        <xdr:cNvPr id="0" name="image380.jpg"/>
        <xdr:cNvPicPr preferRelativeResize="0"/>
      </xdr:nvPicPr>
      <xdr:blipFill>
        <a:blip cstate="print" r:embed="rId65"/>
        <a:stretch>
          <a:fillRect/>
        </a:stretch>
      </xdr:blipFill>
      <xdr:spPr>
        <a:prstGeom prst="rect">
          <a:avLst/>
        </a:prstGeom>
        <a:noFill/>
      </xdr:spPr>
    </xdr:pic>
    <xdr:clientData fLocksWithSheet="0"/>
  </xdr:oneCellAnchor>
  <xdr:oneCellAnchor>
    <xdr:from>
      <xdr:col>0</xdr:col>
      <xdr:colOff>0</xdr:colOff>
      <xdr:row>90</xdr:row>
      <xdr:rowOff>0</xdr:rowOff>
    </xdr:from>
    <xdr:ext cx="333375" cy="333375"/>
    <xdr:pic>
      <xdr:nvPicPr>
        <xdr:cNvPr id="0" name="image380.jpg"/>
        <xdr:cNvPicPr preferRelativeResize="0"/>
      </xdr:nvPicPr>
      <xdr:blipFill>
        <a:blip cstate="print" r:embed="rId65"/>
        <a:stretch>
          <a:fillRect/>
        </a:stretch>
      </xdr:blipFill>
      <xdr:spPr>
        <a:prstGeom prst="rect">
          <a:avLst/>
        </a:prstGeom>
        <a:noFill/>
      </xdr:spPr>
    </xdr:pic>
    <xdr:clientData fLocksWithSheet="0"/>
  </xdr:oneCellAnchor>
  <xdr:oneCellAnchor>
    <xdr:from>
      <xdr:col>0</xdr:col>
      <xdr:colOff>0</xdr:colOff>
      <xdr:row>91</xdr:row>
      <xdr:rowOff>0</xdr:rowOff>
    </xdr:from>
    <xdr:ext cx="333375" cy="333375"/>
    <xdr:pic>
      <xdr:nvPicPr>
        <xdr:cNvPr id="0" name="image411.jpg"/>
        <xdr:cNvPicPr preferRelativeResize="0"/>
      </xdr:nvPicPr>
      <xdr:blipFill>
        <a:blip cstate="print" r:embed="rId66"/>
        <a:stretch>
          <a:fillRect/>
        </a:stretch>
      </xdr:blipFill>
      <xdr:spPr>
        <a:prstGeom prst="rect">
          <a:avLst/>
        </a:prstGeom>
        <a:noFill/>
      </xdr:spPr>
    </xdr:pic>
    <xdr:clientData fLocksWithSheet="0"/>
  </xdr:oneCellAnchor>
  <xdr:oneCellAnchor>
    <xdr:from>
      <xdr:col>0</xdr:col>
      <xdr:colOff>0</xdr:colOff>
      <xdr:row>92</xdr:row>
      <xdr:rowOff>0</xdr:rowOff>
    </xdr:from>
    <xdr:ext cx="333375" cy="333375"/>
    <xdr:pic>
      <xdr:nvPicPr>
        <xdr:cNvPr id="0" name="image421.png"/>
        <xdr:cNvPicPr preferRelativeResize="0"/>
      </xdr:nvPicPr>
      <xdr:blipFill>
        <a:blip cstate="print" r:embed="rId67"/>
        <a:stretch>
          <a:fillRect/>
        </a:stretch>
      </xdr:blipFill>
      <xdr:spPr>
        <a:prstGeom prst="rect">
          <a:avLst/>
        </a:prstGeom>
        <a:noFill/>
      </xdr:spPr>
    </xdr:pic>
    <xdr:clientData fLocksWithSheet="0"/>
  </xdr:oneCellAnchor>
  <xdr:oneCellAnchor>
    <xdr:from>
      <xdr:col>0</xdr:col>
      <xdr:colOff>0</xdr:colOff>
      <xdr:row>93</xdr:row>
      <xdr:rowOff>0</xdr:rowOff>
    </xdr:from>
    <xdr:ext cx="333375" cy="333375"/>
    <xdr:pic>
      <xdr:nvPicPr>
        <xdr:cNvPr id="0" name="image421.png"/>
        <xdr:cNvPicPr preferRelativeResize="0"/>
      </xdr:nvPicPr>
      <xdr:blipFill>
        <a:blip cstate="print" r:embed="rId67"/>
        <a:stretch>
          <a:fillRect/>
        </a:stretch>
      </xdr:blipFill>
      <xdr:spPr>
        <a:prstGeom prst="rect">
          <a:avLst/>
        </a:prstGeom>
        <a:noFill/>
      </xdr:spPr>
    </xdr:pic>
    <xdr:clientData fLocksWithSheet="0"/>
  </xdr:oneCellAnchor>
  <xdr:oneCellAnchor>
    <xdr:from>
      <xdr:col>0</xdr:col>
      <xdr:colOff>0</xdr:colOff>
      <xdr:row>94</xdr:row>
      <xdr:rowOff>0</xdr:rowOff>
    </xdr:from>
    <xdr:ext cx="323850" cy="333375"/>
    <xdr:pic>
      <xdr:nvPicPr>
        <xdr:cNvPr id="0" name="image396.png"/>
        <xdr:cNvPicPr preferRelativeResize="0"/>
      </xdr:nvPicPr>
      <xdr:blipFill>
        <a:blip cstate="print" r:embed="rId68"/>
        <a:stretch>
          <a:fillRect/>
        </a:stretch>
      </xdr:blipFill>
      <xdr:spPr>
        <a:prstGeom prst="rect">
          <a:avLst/>
        </a:prstGeom>
        <a:noFill/>
      </xdr:spPr>
    </xdr:pic>
    <xdr:clientData fLocksWithSheet="0"/>
  </xdr:oneCellAnchor>
  <xdr:oneCellAnchor>
    <xdr:from>
      <xdr:col>0</xdr:col>
      <xdr:colOff>0</xdr:colOff>
      <xdr:row>95</xdr:row>
      <xdr:rowOff>0</xdr:rowOff>
    </xdr:from>
    <xdr:ext cx="323850" cy="333375"/>
    <xdr:pic>
      <xdr:nvPicPr>
        <xdr:cNvPr id="0" name="image396.png"/>
        <xdr:cNvPicPr preferRelativeResize="0"/>
      </xdr:nvPicPr>
      <xdr:blipFill>
        <a:blip cstate="print" r:embed="rId68"/>
        <a:stretch>
          <a:fillRect/>
        </a:stretch>
      </xdr:blipFill>
      <xdr:spPr>
        <a:prstGeom prst="rect">
          <a:avLst/>
        </a:prstGeom>
        <a:noFill/>
      </xdr:spPr>
    </xdr:pic>
    <xdr:clientData fLocksWithSheet="0"/>
  </xdr:oneCellAnchor>
  <xdr:oneCellAnchor>
    <xdr:from>
      <xdr:col>0</xdr:col>
      <xdr:colOff>0</xdr:colOff>
      <xdr:row>96</xdr:row>
      <xdr:rowOff>0</xdr:rowOff>
    </xdr:from>
    <xdr:ext cx="323850" cy="333375"/>
    <xdr:pic>
      <xdr:nvPicPr>
        <xdr:cNvPr id="0" name="image396.png"/>
        <xdr:cNvPicPr preferRelativeResize="0"/>
      </xdr:nvPicPr>
      <xdr:blipFill>
        <a:blip cstate="print" r:embed="rId68"/>
        <a:stretch>
          <a:fillRect/>
        </a:stretch>
      </xdr:blipFill>
      <xdr:spPr>
        <a:prstGeom prst="rect">
          <a:avLst/>
        </a:prstGeom>
        <a:noFill/>
      </xdr:spPr>
    </xdr:pic>
    <xdr:clientData fLocksWithSheet="0"/>
  </xdr:oneCellAnchor>
  <xdr:oneCellAnchor>
    <xdr:from>
      <xdr:col>0</xdr:col>
      <xdr:colOff>0</xdr:colOff>
      <xdr:row>97</xdr:row>
      <xdr:rowOff>0</xdr:rowOff>
    </xdr:from>
    <xdr:ext cx="333375" cy="333375"/>
    <xdr:pic>
      <xdr:nvPicPr>
        <xdr:cNvPr id="0" name="image391.png"/>
        <xdr:cNvPicPr preferRelativeResize="0"/>
      </xdr:nvPicPr>
      <xdr:blipFill>
        <a:blip cstate="print" r:embed="rId69"/>
        <a:stretch>
          <a:fillRect/>
        </a:stretch>
      </xdr:blipFill>
      <xdr:spPr>
        <a:prstGeom prst="rect">
          <a:avLst/>
        </a:prstGeom>
        <a:noFill/>
      </xdr:spPr>
    </xdr:pic>
    <xdr:clientData fLocksWithSheet="0"/>
  </xdr:oneCellAnchor>
  <xdr:oneCellAnchor>
    <xdr:from>
      <xdr:col>0</xdr:col>
      <xdr:colOff>0</xdr:colOff>
      <xdr:row>98</xdr:row>
      <xdr:rowOff>0</xdr:rowOff>
    </xdr:from>
    <xdr:ext cx="333375" cy="333375"/>
    <xdr:pic>
      <xdr:nvPicPr>
        <xdr:cNvPr id="0" name="image392.png"/>
        <xdr:cNvPicPr preferRelativeResize="0"/>
      </xdr:nvPicPr>
      <xdr:blipFill>
        <a:blip cstate="print" r:embed="rId70"/>
        <a:stretch>
          <a:fillRect/>
        </a:stretch>
      </xdr:blipFill>
      <xdr:spPr>
        <a:prstGeom prst="rect">
          <a:avLst/>
        </a:prstGeom>
        <a:noFill/>
      </xdr:spPr>
    </xdr:pic>
    <xdr:clientData fLocksWithSheet="0"/>
  </xdr:oneCellAnchor>
  <xdr:oneCellAnchor>
    <xdr:from>
      <xdr:col>0</xdr:col>
      <xdr:colOff>0</xdr:colOff>
      <xdr:row>99</xdr:row>
      <xdr:rowOff>0</xdr:rowOff>
    </xdr:from>
    <xdr:ext cx="333375" cy="333375"/>
    <xdr:pic>
      <xdr:nvPicPr>
        <xdr:cNvPr id="0" name="image578.png"/>
        <xdr:cNvPicPr preferRelativeResize="0"/>
      </xdr:nvPicPr>
      <xdr:blipFill>
        <a:blip cstate="print" r:embed="rId71"/>
        <a:stretch>
          <a:fillRect/>
        </a:stretch>
      </xdr:blipFill>
      <xdr:spPr>
        <a:prstGeom prst="rect">
          <a:avLst/>
        </a:prstGeom>
        <a:noFill/>
      </xdr:spPr>
    </xdr:pic>
    <xdr:clientData fLocksWithSheet="0"/>
  </xdr:oneCellAnchor>
  <xdr:oneCellAnchor>
    <xdr:from>
      <xdr:col>0</xdr:col>
      <xdr:colOff>0</xdr:colOff>
      <xdr:row>100</xdr:row>
      <xdr:rowOff>0</xdr:rowOff>
    </xdr:from>
    <xdr:ext cx="333375" cy="333375"/>
    <xdr:pic>
      <xdr:nvPicPr>
        <xdr:cNvPr id="0" name="image395.png"/>
        <xdr:cNvPicPr preferRelativeResize="0"/>
      </xdr:nvPicPr>
      <xdr:blipFill>
        <a:blip cstate="print" r:embed="rId72"/>
        <a:stretch>
          <a:fillRect/>
        </a:stretch>
      </xdr:blipFill>
      <xdr:spPr>
        <a:prstGeom prst="rect">
          <a:avLst/>
        </a:prstGeom>
        <a:noFill/>
      </xdr:spPr>
    </xdr:pic>
    <xdr:clientData fLocksWithSheet="0"/>
  </xdr:oneCellAnchor>
  <xdr:oneCellAnchor>
    <xdr:from>
      <xdr:col>0</xdr:col>
      <xdr:colOff>0</xdr:colOff>
      <xdr:row>101</xdr:row>
      <xdr:rowOff>0</xdr:rowOff>
    </xdr:from>
    <xdr:ext cx="333375" cy="333375"/>
    <xdr:pic>
      <xdr:nvPicPr>
        <xdr:cNvPr id="0" name="image397.pn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102</xdr:row>
      <xdr:rowOff>0</xdr:rowOff>
    </xdr:from>
    <xdr:ext cx="333375" cy="333375"/>
    <xdr:pic>
      <xdr:nvPicPr>
        <xdr:cNvPr id="0" name="image397.pn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103</xdr:row>
      <xdr:rowOff>0</xdr:rowOff>
    </xdr:from>
    <xdr:ext cx="333375" cy="333375"/>
    <xdr:pic>
      <xdr:nvPicPr>
        <xdr:cNvPr id="0" name="image393.jpg"/>
        <xdr:cNvPicPr preferRelativeResize="0"/>
      </xdr:nvPicPr>
      <xdr:blipFill>
        <a:blip cstate="print" r:embed="rId73"/>
        <a:stretch>
          <a:fillRect/>
        </a:stretch>
      </xdr:blipFill>
      <xdr:spPr>
        <a:prstGeom prst="rect">
          <a:avLst/>
        </a:prstGeom>
        <a:noFill/>
      </xdr:spPr>
    </xdr:pic>
    <xdr:clientData fLocksWithSheet="0"/>
  </xdr:oneCellAnchor>
  <xdr:oneCellAnchor>
    <xdr:from>
      <xdr:col>0</xdr:col>
      <xdr:colOff>0</xdr:colOff>
      <xdr:row>104</xdr:row>
      <xdr:rowOff>0</xdr:rowOff>
    </xdr:from>
    <xdr:ext cx="333375" cy="333375"/>
    <xdr:pic>
      <xdr:nvPicPr>
        <xdr:cNvPr id="0" name="image393.jpg"/>
        <xdr:cNvPicPr preferRelativeResize="0"/>
      </xdr:nvPicPr>
      <xdr:blipFill>
        <a:blip cstate="print" r:embed="rId73"/>
        <a:stretch>
          <a:fillRect/>
        </a:stretch>
      </xdr:blipFill>
      <xdr:spPr>
        <a:prstGeom prst="rect">
          <a:avLst/>
        </a:prstGeom>
        <a:noFill/>
      </xdr:spPr>
    </xdr:pic>
    <xdr:clientData fLocksWithSheet="0"/>
  </xdr:oneCellAnchor>
  <xdr:oneCellAnchor>
    <xdr:from>
      <xdr:col>0</xdr:col>
      <xdr:colOff>0</xdr:colOff>
      <xdr:row>105</xdr:row>
      <xdr:rowOff>0</xdr:rowOff>
    </xdr:from>
    <xdr:ext cx="333375" cy="333375"/>
    <xdr:pic>
      <xdr:nvPicPr>
        <xdr:cNvPr id="0" name="image394.png"/>
        <xdr:cNvPicPr preferRelativeResize="0"/>
      </xdr:nvPicPr>
      <xdr:blipFill>
        <a:blip cstate="print" r:embed="rId74"/>
        <a:stretch>
          <a:fillRect/>
        </a:stretch>
      </xdr:blipFill>
      <xdr:spPr>
        <a:prstGeom prst="rect">
          <a:avLst/>
        </a:prstGeom>
        <a:noFill/>
      </xdr:spPr>
    </xdr:pic>
    <xdr:clientData fLocksWithSheet="0"/>
  </xdr:oneCellAnchor>
  <xdr:oneCellAnchor>
    <xdr:from>
      <xdr:col>0</xdr:col>
      <xdr:colOff>0</xdr:colOff>
      <xdr:row>106</xdr:row>
      <xdr:rowOff>0</xdr:rowOff>
    </xdr:from>
    <xdr:ext cx="333375" cy="333375"/>
    <xdr:pic>
      <xdr:nvPicPr>
        <xdr:cNvPr id="0" name="image418.png"/>
        <xdr:cNvPicPr preferRelativeResize="0"/>
      </xdr:nvPicPr>
      <xdr:blipFill>
        <a:blip cstate="print" r:embed="rId75"/>
        <a:stretch>
          <a:fillRect/>
        </a:stretch>
      </xdr:blipFill>
      <xdr:spPr>
        <a:prstGeom prst="rect">
          <a:avLst/>
        </a:prstGeom>
        <a:noFill/>
      </xdr:spPr>
    </xdr:pic>
    <xdr:clientData fLocksWithSheet="0"/>
  </xdr:oneCellAnchor>
  <xdr:oneCellAnchor>
    <xdr:from>
      <xdr:col>0</xdr:col>
      <xdr:colOff>0</xdr:colOff>
      <xdr:row>107</xdr:row>
      <xdr:rowOff>0</xdr:rowOff>
    </xdr:from>
    <xdr:ext cx="333375" cy="333375"/>
    <xdr:pic>
      <xdr:nvPicPr>
        <xdr:cNvPr id="0" name="image418.png"/>
        <xdr:cNvPicPr preferRelativeResize="0"/>
      </xdr:nvPicPr>
      <xdr:blipFill>
        <a:blip cstate="print" r:embed="rId75"/>
        <a:stretch>
          <a:fillRect/>
        </a:stretch>
      </xdr:blipFill>
      <xdr:spPr>
        <a:prstGeom prst="rect">
          <a:avLst/>
        </a:prstGeom>
        <a:noFill/>
      </xdr:spPr>
    </xdr:pic>
    <xdr:clientData fLocksWithSheet="0"/>
  </xdr:oneCellAnchor>
  <xdr:oneCellAnchor>
    <xdr:from>
      <xdr:col>0</xdr:col>
      <xdr:colOff>0</xdr:colOff>
      <xdr:row>108</xdr:row>
      <xdr:rowOff>0</xdr:rowOff>
    </xdr:from>
    <xdr:ext cx="333375" cy="333375"/>
    <xdr:pic>
      <xdr:nvPicPr>
        <xdr:cNvPr id="0" name="image418.png"/>
        <xdr:cNvPicPr preferRelativeResize="0"/>
      </xdr:nvPicPr>
      <xdr:blipFill>
        <a:blip cstate="print" r:embed="rId75"/>
        <a:stretch>
          <a:fillRect/>
        </a:stretch>
      </xdr:blipFill>
      <xdr:spPr>
        <a:prstGeom prst="rect">
          <a:avLst/>
        </a:prstGeom>
        <a:noFill/>
      </xdr:spPr>
    </xdr:pic>
    <xdr:clientData fLocksWithSheet="0"/>
  </xdr:oneCellAnchor>
  <xdr:oneCellAnchor>
    <xdr:from>
      <xdr:col>0</xdr:col>
      <xdr:colOff>0</xdr:colOff>
      <xdr:row>109</xdr:row>
      <xdr:rowOff>0</xdr:rowOff>
    </xdr:from>
    <xdr:ext cx="333375" cy="333375"/>
    <xdr:pic>
      <xdr:nvPicPr>
        <xdr:cNvPr id="0" name="image400.png"/>
        <xdr:cNvPicPr preferRelativeResize="0"/>
      </xdr:nvPicPr>
      <xdr:blipFill>
        <a:blip cstate="print" r:embed="rId76"/>
        <a:stretch>
          <a:fillRect/>
        </a:stretch>
      </xdr:blipFill>
      <xdr:spPr>
        <a:prstGeom prst="rect">
          <a:avLst/>
        </a:prstGeom>
        <a:noFill/>
      </xdr:spPr>
    </xdr:pic>
    <xdr:clientData fLocksWithSheet="0"/>
  </xdr:oneCellAnchor>
  <xdr:oneCellAnchor>
    <xdr:from>
      <xdr:col>0</xdr:col>
      <xdr:colOff>0</xdr:colOff>
      <xdr:row>110</xdr:row>
      <xdr:rowOff>0</xdr:rowOff>
    </xdr:from>
    <xdr:ext cx="333375" cy="333375"/>
    <xdr:pic>
      <xdr:nvPicPr>
        <xdr:cNvPr id="0" name="image400.png"/>
        <xdr:cNvPicPr preferRelativeResize="0"/>
      </xdr:nvPicPr>
      <xdr:blipFill>
        <a:blip cstate="print" r:embed="rId76"/>
        <a:stretch>
          <a:fillRect/>
        </a:stretch>
      </xdr:blipFill>
      <xdr:spPr>
        <a:prstGeom prst="rect">
          <a:avLst/>
        </a:prstGeom>
        <a:noFill/>
      </xdr:spPr>
    </xdr:pic>
    <xdr:clientData fLocksWithSheet="0"/>
  </xdr:oneCellAnchor>
  <xdr:oneCellAnchor>
    <xdr:from>
      <xdr:col>0</xdr:col>
      <xdr:colOff>0</xdr:colOff>
      <xdr:row>111</xdr:row>
      <xdr:rowOff>0</xdr:rowOff>
    </xdr:from>
    <xdr:ext cx="333375" cy="333375"/>
    <xdr:pic>
      <xdr:nvPicPr>
        <xdr:cNvPr id="0" name="image400.png"/>
        <xdr:cNvPicPr preferRelativeResize="0"/>
      </xdr:nvPicPr>
      <xdr:blipFill>
        <a:blip cstate="print" r:embed="rId76"/>
        <a:stretch>
          <a:fillRect/>
        </a:stretch>
      </xdr:blipFill>
      <xdr:spPr>
        <a:prstGeom prst="rect">
          <a:avLst/>
        </a:prstGeom>
        <a:noFill/>
      </xdr:spPr>
    </xdr:pic>
    <xdr:clientData fLocksWithSheet="0"/>
  </xdr:oneCellAnchor>
  <xdr:oneCellAnchor>
    <xdr:from>
      <xdr:col>0</xdr:col>
      <xdr:colOff>0</xdr:colOff>
      <xdr:row>112</xdr:row>
      <xdr:rowOff>0</xdr:rowOff>
    </xdr:from>
    <xdr:ext cx="333375" cy="333375"/>
    <xdr:pic>
      <xdr:nvPicPr>
        <xdr:cNvPr id="0" name="image576.png"/>
        <xdr:cNvPicPr preferRelativeResize="0"/>
      </xdr:nvPicPr>
      <xdr:blipFill>
        <a:blip cstate="print" r:embed="rId77"/>
        <a:stretch>
          <a:fillRect/>
        </a:stretch>
      </xdr:blipFill>
      <xdr:spPr>
        <a:prstGeom prst="rect">
          <a:avLst/>
        </a:prstGeom>
        <a:noFill/>
      </xdr:spPr>
    </xdr:pic>
    <xdr:clientData fLocksWithSheet="0"/>
  </xdr:oneCellAnchor>
  <xdr:oneCellAnchor>
    <xdr:from>
      <xdr:col>0</xdr:col>
      <xdr:colOff>0</xdr:colOff>
      <xdr:row>113</xdr:row>
      <xdr:rowOff>0</xdr:rowOff>
    </xdr:from>
    <xdr:ext cx="333375" cy="333375"/>
    <xdr:pic>
      <xdr:nvPicPr>
        <xdr:cNvPr id="0" name="image576.png"/>
        <xdr:cNvPicPr preferRelativeResize="0"/>
      </xdr:nvPicPr>
      <xdr:blipFill>
        <a:blip cstate="print" r:embed="rId77"/>
        <a:stretch>
          <a:fillRect/>
        </a:stretch>
      </xdr:blipFill>
      <xdr:spPr>
        <a:prstGeom prst="rect">
          <a:avLst/>
        </a:prstGeom>
        <a:noFill/>
      </xdr:spPr>
    </xdr:pic>
    <xdr:clientData fLocksWithSheet="0"/>
  </xdr:oneCellAnchor>
  <xdr:oneCellAnchor>
    <xdr:from>
      <xdr:col>0</xdr:col>
      <xdr:colOff>0</xdr:colOff>
      <xdr:row>114</xdr:row>
      <xdr:rowOff>0</xdr:rowOff>
    </xdr:from>
    <xdr:ext cx="333375" cy="333375"/>
    <xdr:pic>
      <xdr:nvPicPr>
        <xdr:cNvPr id="0" name="image576.png"/>
        <xdr:cNvPicPr preferRelativeResize="0"/>
      </xdr:nvPicPr>
      <xdr:blipFill>
        <a:blip cstate="print" r:embed="rId77"/>
        <a:stretch>
          <a:fillRect/>
        </a:stretch>
      </xdr:blipFill>
      <xdr:spPr>
        <a:prstGeom prst="rect">
          <a:avLst/>
        </a:prstGeom>
        <a:noFill/>
      </xdr:spPr>
    </xdr:pic>
    <xdr:clientData fLocksWithSheet="0"/>
  </xdr:oneCellAnchor>
  <xdr:oneCellAnchor>
    <xdr:from>
      <xdr:col>0</xdr:col>
      <xdr:colOff>0</xdr:colOff>
      <xdr:row>115</xdr:row>
      <xdr:rowOff>0</xdr:rowOff>
    </xdr:from>
    <xdr:ext cx="323850" cy="333375"/>
    <xdr:pic>
      <xdr:nvPicPr>
        <xdr:cNvPr id="0" name="image406.png"/>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116</xdr:row>
      <xdr:rowOff>0</xdr:rowOff>
    </xdr:from>
    <xdr:ext cx="323850" cy="333375"/>
    <xdr:pic>
      <xdr:nvPicPr>
        <xdr:cNvPr id="0" name="image406.png"/>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117</xdr:row>
      <xdr:rowOff>0</xdr:rowOff>
    </xdr:from>
    <xdr:ext cx="323850" cy="333375"/>
    <xdr:pic>
      <xdr:nvPicPr>
        <xdr:cNvPr id="0" name="image406.png"/>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118</xdr:row>
      <xdr:rowOff>0</xdr:rowOff>
    </xdr:from>
    <xdr:ext cx="323850" cy="333375"/>
    <xdr:pic>
      <xdr:nvPicPr>
        <xdr:cNvPr id="0" name="image406.png"/>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119</xdr:row>
      <xdr:rowOff>0</xdr:rowOff>
    </xdr:from>
    <xdr:ext cx="323850" cy="333375"/>
    <xdr:pic>
      <xdr:nvPicPr>
        <xdr:cNvPr id="0" name="image406.png"/>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120</xdr:row>
      <xdr:rowOff>0</xdr:rowOff>
    </xdr:from>
    <xdr:ext cx="323850" cy="333375"/>
    <xdr:pic>
      <xdr:nvPicPr>
        <xdr:cNvPr id="0" name="image399.png"/>
        <xdr:cNvPicPr preferRelativeResize="0"/>
      </xdr:nvPicPr>
      <xdr:blipFill>
        <a:blip cstate="print" r:embed="rId79"/>
        <a:stretch>
          <a:fillRect/>
        </a:stretch>
      </xdr:blipFill>
      <xdr:spPr>
        <a:prstGeom prst="rect">
          <a:avLst/>
        </a:prstGeom>
        <a:noFill/>
      </xdr:spPr>
    </xdr:pic>
    <xdr:clientData fLocksWithSheet="0"/>
  </xdr:oneCellAnchor>
  <xdr:oneCellAnchor>
    <xdr:from>
      <xdr:col>0</xdr:col>
      <xdr:colOff>0</xdr:colOff>
      <xdr:row>121</xdr:row>
      <xdr:rowOff>0</xdr:rowOff>
    </xdr:from>
    <xdr:ext cx="323850" cy="333375"/>
    <xdr:pic>
      <xdr:nvPicPr>
        <xdr:cNvPr id="0" name="image399.png"/>
        <xdr:cNvPicPr preferRelativeResize="0"/>
      </xdr:nvPicPr>
      <xdr:blipFill>
        <a:blip cstate="print" r:embed="rId79"/>
        <a:stretch>
          <a:fillRect/>
        </a:stretch>
      </xdr:blipFill>
      <xdr:spPr>
        <a:prstGeom prst="rect">
          <a:avLst/>
        </a:prstGeom>
        <a:noFill/>
      </xdr:spPr>
    </xdr:pic>
    <xdr:clientData fLocksWithSheet="0"/>
  </xdr:oneCellAnchor>
  <xdr:oneCellAnchor>
    <xdr:from>
      <xdr:col>0</xdr:col>
      <xdr:colOff>0</xdr:colOff>
      <xdr:row>122</xdr:row>
      <xdr:rowOff>0</xdr:rowOff>
    </xdr:from>
    <xdr:ext cx="333375" cy="333375"/>
    <xdr:pic>
      <xdr:nvPicPr>
        <xdr:cNvPr id="0" name="image419.png"/>
        <xdr:cNvPicPr preferRelativeResize="0"/>
      </xdr:nvPicPr>
      <xdr:blipFill>
        <a:blip cstate="print" r:embed="rId80"/>
        <a:stretch>
          <a:fillRect/>
        </a:stretch>
      </xdr:blipFill>
      <xdr:spPr>
        <a:prstGeom prst="rect">
          <a:avLst/>
        </a:prstGeom>
        <a:noFill/>
      </xdr:spPr>
    </xdr:pic>
    <xdr:clientData fLocksWithSheet="0"/>
  </xdr:oneCellAnchor>
  <xdr:oneCellAnchor>
    <xdr:from>
      <xdr:col>0</xdr:col>
      <xdr:colOff>0</xdr:colOff>
      <xdr:row>123</xdr:row>
      <xdr:rowOff>0</xdr:rowOff>
    </xdr:from>
    <xdr:ext cx="333375" cy="333375"/>
    <xdr:pic>
      <xdr:nvPicPr>
        <xdr:cNvPr id="0" name="image419.png"/>
        <xdr:cNvPicPr preferRelativeResize="0"/>
      </xdr:nvPicPr>
      <xdr:blipFill>
        <a:blip cstate="print" r:embed="rId80"/>
        <a:stretch>
          <a:fillRect/>
        </a:stretch>
      </xdr:blipFill>
      <xdr:spPr>
        <a:prstGeom prst="rect">
          <a:avLst/>
        </a:prstGeom>
        <a:noFill/>
      </xdr:spPr>
    </xdr:pic>
    <xdr:clientData fLocksWithSheet="0"/>
  </xdr:oneCellAnchor>
  <xdr:oneCellAnchor>
    <xdr:from>
      <xdr:col>0</xdr:col>
      <xdr:colOff>0</xdr:colOff>
      <xdr:row>124</xdr:row>
      <xdr:rowOff>0</xdr:rowOff>
    </xdr:from>
    <xdr:ext cx="333375" cy="333375"/>
    <xdr:pic>
      <xdr:nvPicPr>
        <xdr:cNvPr id="0" name="image433.png"/>
        <xdr:cNvPicPr preferRelativeResize="0"/>
      </xdr:nvPicPr>
      <xdr:blipFill>
        <a:blip cstate="print" r:embed="rId81"/>
        <a:stretch>
          <a:fillRect/>
        </a:stretch>
      </xdr:blipFill>
      <xdr:spPr>
        <a:prstGeom prst="rect">
          <a:avLst/>
        </a:prstGeom>
        <a:noFill/>
      </xdr:spPr>
    </xdr:pic>
    <xdr:clientData fLocksWithSheet="0"/>
  </xdr:oneCellAnchor>
  <xdr:oneCellAnchor>
    <xdr:from>
      <xdr:col>0</xdr:col>
      <xdr:colOff>0</xdr:colOff>
      <xdr:row>125</xdr:row>
      <xdr:rowOff>0</xdr:rowOff>
    </xdr:from>
    <xdr:ext cx="333375" cy="333375"/>
    <xdr:pic>
      <xdr:nvPicPr>
        <xdr:cNvPr id="0" name="image433.png"/>
        <xdr:cNvPicPr preferRelativeResize="0"/>
      </xdr:nvPicPr>
      <xdr:blipFill>
        <a:blip cstate="print" r:embed="rId81"/>
        <a:stretch>
          <a:fillRect/>
        </a:stretch>
      </xdr:blipFill>
      <xdr:spPr>
        <a:prstGeom prst="rect">
          <a:avLst/>
        </a:prstGeom>
        <a:noFill/>
      </xdr:spPr>
    </xdr:pic>
    <xdr:clientData fLocksWithSheet="0"/>
  </xdr:oneCellAnchor>
  <xdr:oneCellAnchor>
    <xdr:from>
      <xdr:col>0</xdr:col>
      <xdr:colOff>0</xdr:colOff>
      <xdr:row>126</xdr:row>
      <xdr:rowOff>0</xdr:rowOff>
    </xdr:from>
    <xdr:ext cx="333375" cy="333375"/>
    <xdr:pic>
      <xdr:nvPicPr>
        <xdr:cNvPr id="0" name="image433.png"/>
        <xdr:cNvPicPr preferRelativeResize="0"/>
      </xdr:nvPicPr>
      <xdr:blipFill>
        <a:blip cstate="print" r:embed="rId81"/>
        <a:stretch>
          <a:fillRect/>
        </a:stretch>
      </xdr:blipFill>
      <xdr:spPr>
        <a:prstGeom prst="rect">
          <a:avLst/>
        </a:prstGeom>
        <a:noFill/>
      </xdr:spPr>
    </xdr:pic>
    <xdr:clientData fLocksWithSheet="0"/>
  </xdr:oneCellAnchor>
  <xdr:oneCellAnchor>
    <xdr:from>
      <xdr:col>0</xdr:col>
      <xdr:colOff>0</xdr:colOff>
      <xdr:row>127</xdr:row>
      <xdr:rowOff>0</xdr:rowOff>
    </xdr:from>
    <xdr:ext cx="333375" cy="333375"/>
    <xdr:pic>
      <xdr:nvPicPr>
        <xdr:cNvPr id="0" name="image433.png"/>
        <xdr:cNvPicPr preferRelativeResize="0"/>
      </xdr:nvPicPr>
      <xdr:blipFill>
        <a:blip cstate="print" r:embed="rId81"/>
        <a:stretch>
          <a:fillRect/>
        </a:stretch>
      </xdr:blipFill>
      <xdr:spPr>
        <a:prstGeom prst="rect">
          <a:avLst/>
        </a:prstGeom>
        <a:noFill/>
      </xdr:spPr>
    </xdr:pic>
    <xdr:clientData fLocksWithSheet="0"/>
  </xdr:oneCellAnchor>
  <xdr:oneCellAnchor>
    <xdr:from>
      <xdr:col>0</xdr:col>
      <xdr:colOff>0</xdr:colOff>
      <xdr:row>128</xdr:row>
      <xdr:rowOff>0</xdr:rowOff>
    </xdr:from>
    <xdr:ext cx="333375" cy="333375"/>
    <xdr:pic>
      <xdr:nvPicPr>
        <xdr:cNvPr id="0" name="image433.png"/>
        <xdr:cNvPicPr preferRelativeResize="0"/>
      </xdr:nvPicPr>
      <xdr:blipFill>
        <a:blip cstate="print" r:embed="rId81"/>
        <a:stretch>
          <a:fillRect/>
        </a:stretch>
      </xdr:blipFill>
      <xdr:spPr>
        <a:prstGeom prst="rect">
          <a:avLst/>
        </a:prstGeom>
        <a:noFill/>
      </xdr:spPr>
    </xdr:pic>
    <xdr:clientData fLocksWithSheet="0"/>
  </xdr:oneCellAnchor>
  <xdr:oneCellAnchor>
    <xdr:from>
      <xdr:col>0</xdr:col>
      <xdr:colOff>0</xdr:colOff>
      <xdr:row>129</xdr:row>
      <xdr:rowOff>0</xdr:rowOff>
    </xdr:from>
    <xdr:ext cx="333375" cy="333375"/>
    <xdr:pic>
      <xdr:nvPicPr>
        <xdr:cNvPr id="0" name="image433.png"/>
        <xdr:cNvPicPr preferRelativeResize="0"/>
      </xdr:nvPicPr>
      <xdr:blipFill>
        <a:blip cstate="print" r:embed="rId81"/>
        <a:stretch>
          <a:fillRect/>
        </a:stretch>
      </xdr:blipFill>
      <xdr:spPr>
        <a:prstGeom prst="rect">
          <a:avLst/>
        </a:prstGeom>
        <a:noFill/>
      </xdr:spPr>
    </xdr:pic>
    <xdr:clientData fLocksWithSheet="0"/>
  </xdr:oneCellAnchor>
  <xdr:oneCellAnchor>
    <xdr:from>
      <xdr:col>0</xdr:col>
      <xdr:colOff>0</xdr:colOff>
      <xdr:row>130</xdr:row>
      <xdr:rowOff>0</xdr:rowOff>
    </xdr:from>
    <xdr:ext cx="323850" cy="333375"/>
    <xdr:pic>
      <xdr:nvPicPr>
        <xdr:cNvPr id="0" name="image415.png"/>
        <xdr:cNvPicPr preferRelativeResize="0"/>
      </xdr:nvPicPr>
      <xdr:blipFill>
        <a:blip cstate="print" r:embed="rId82"/>
        <a:stretch>
          <a:fillRect/>
        </a:stretch>
      </xdr:blipFill>
      <xdr:spPr>
        <a:prstGeom prst="rect">
          <a:avLst/>
        </a:prstGeom>
        <a:noFill/>
      </xdr:spPr>
    </xdr:pic>
    <xdr:clientData fLocksWithSheet="0"/>
  </xdr:oneCellAnchor>
  <xdr:oneCellAnchor>
    <xdr:from>
      <xdr:col>0</xdr:col>
      <xdr:colOff>0</xdr:colOff>
      <xdr:row>131</xdr:row>
      <xdr:rowOff>0</xdr:rowOff>
    </xdr:from>
    <xdr:ext cx="323850" cy="333375"/>
    <xdr:pic>
      <xdr:nvPicPr>
        <xdr:cNvPr id="0" name="image415.png"/>
        <xdr:cNvPicPr preferRelativeResize="0"/>
      </xdr:nvPicPr>
      <xdr:blipFill>
        <a:blip cstate="print" r:embed="rId82"/>
        <a:stretch>
          <a:fillRect/>
        </a:stretch>
      </xdr:blipFill>
      <xdr:spPr>
        <a:prstGeom prst="rect">
          <a:avLst/>
        </a:prstGeom>
        <a:noFill/>
      </xdr:spPr>
    </xdr:pic>
    <xdr:clientData fLocksWithSheet="0"/>
  </xdr:oneCellAnchor>
  <xdr:oneCellAnchor>
    <xdr:from>
      <xdr:col>0</xdr:col>
      <xdr:colOff>0</xdr:colOff>
      <xdr:row>132</xdr:row>
      <xdr:rowOff>0</xdr:rowOff>
    </xdr:from>
    <xdr:ext cx="333375" cy="333375"/>
    <xdr:pic>
      <xdr:nvPicPr>
        <xdr:cNvPr id="0" name="image491.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133</xdr:row>
      <xdr:rowOff>0</xdr:rowOff>
    </xdr:from>
    <xdr:ext cx="333375" cy="333375"/>
    <xdr:pic>
      <xdr:nvPicPr>
        <xdr:cNvPr id="0" name="image491.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134</xdr:row>
      <xdr:rowOff>0</xdr:rowOff>
    </xdr:from>
    <xdr:ext cx="333375" cy="333375"/>
    <xdr:pic>
      <xdr:nvPicPr>
        <xdr:cNvPr id="0" name="image491.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135</xdr:row>
      <xdr:rowOff>0</xdr:rowOff>
    </xdr:from>
    <xdr:ext cx="333375" cy="333375"/>
    <xdr:pic>
      <xdr:nvPicPr>
        <xdr:cNvPr id="0" name="image491.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136</xdr:row>
      <xdr:rowOff>0</xdr:rowOff>
    </xdr:from>
    <xdr:ext cx="333375" cy="333375"/>
    <xdr:pic>
      <xdr:nvPicPr>
        <xdr:cNvPr id="0" name="image491.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137</xdr:row>
      <xdr:rowOff>0</xdr:rowOff>
    </xdr:from>
    <xdr:ext cx="333375" cy="333375"/>
    <xdr:pic>
      <xdr:nvPicPr>
        <xdr:cNvPr id="0" name="image491.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138</xdr:row>
      <xdr:rowOff>0</xdr:rowOff>
    </xdr:from>
    <xdr:ext cx="333375" cy="333375"/>
    <xdr:pic>
      <xdr:nvPicPr>
        <xdr:cNvPr id="0" name="image491.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139</xdr:row>
      <xdr:rowOff>0</xdr:rowOff>
    </xdr:from>
    <xdr:ext cx="333375" cy="333375"/>
    <xdr:pic>
      <xdr:nvPicPr>
        <xdr:cNvPr id="0" name="image491.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140</xdr:row>
      <xdr:rowOff>0</xdr:rowOff>
    </xdr:from>
    <xdr:ext cx="333375" cy="333375"/>
    <xdr:pic>
      <xdr:nvPicPr>
        <xdr:cNvPr id="0" name="image491.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141</xdr:row>
      <xdr:rowOff>0</xdr:rowOff>
    </xdr:from>
    <xdr:ext cx="333375" cy="333375"/>
    <xdr:pic>
      <xdr:nvPicPr>
        <xdr:cNvPr id="0" name="image491.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142</xdr:row>
      <xdr:rowOff>0</xdr:rowOff>
    </xdr:from>
    <xdr:ext cx="333375" cy="333375"/>
    <xdr:pic>
      <xdr:nvPicPr>
        <xdr:cNvPr id="0" name="image491.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143</xdr:row>
      <xdr:rowOff>0</xdr:rowOff>
    </xdr:from>
    <xdr:ext cx="333375" cy="333375"/>
    <xdr:pic>
      <xdr:nvPicPr>
        <xdr:cNvPr id="0" name="image491.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144</xdr:row>
      <xdr:rowOff>0</xdr:rowOff>
    </xdr:from>
    <xdr:ext cx="333375" cy="333375"/>
    <xdr:pic>
      <xdr:nvPicPr>
        <xdr:cNvPr id="0" name="image491.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145</xdr:row>
      <xdr:rowOff>0</xdr:rowOff>
    </xdr:from>
    <xdr:ext cx="333375" cy="333375"/>
    <xdr:pic>
      <xdr:nvPicPr>
        <xdr:cNvPr id="0" name="image491.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146</xdr:row>
      <xdr:rowOff>0</xdr:rowOff>
    </xdr:from>
    <xdr:ext cx="323850" cy="333375"/>
    <xdr:pic>
      <xdr:nvPicPr>
        <xdr:cNvPr id="0" name="image409.png"/>
        <xdr:cNvPicPr preferRelativeResize="0"/>
      </xdr:nvPicPr>
      <xdr:blipFill>
        <a:blip cstate="print" r:embed="rId84"/>
        <a:stretch>
          <a:fillRect/>
        </a:stretch>
      </xdr:blipFill>
      <xdr:spPr>
        <a:prstGeom prst="rect">
          <a:avLst/>
        </a:prstGeom>
        <a:noFill/>
      </xdr:spPr>
    </xdr:pic>
    <xdr:clientData fLocksWithSheet="0"/>
  </xdr:oneCellAnchor>
  <xdr:oneCellAnchor>
    <xdr:from>
      <xdr:col>0</xdr:col>
      <xdr:colOff>0</xdr:colOff>
      <xdr:row>147</xdr:row>
      <xdr:rowOff>0</xdr:rowOff>
    </xdr:from>
    <xdr:ext cx="333375" cy="333375"/>
    <xdr:pic>
      <xdr:nvPicPr>
        <xdr:cNvPr id="0" name="image410.png"/>
        <xdr:cNvPicPr preferRelativeResize="0"/>
      </xdr:nvPicPr>
      <xdr:blipFill>
        <a:blip cstate="print" r:embed="rId85"/>
        <a:stretch>
          <a:fillRect/>
        </a:stretch>
      </xdr:blipFill>
      <xdr:spPr>
        <a:prstGeom prst="rect">
          <a:avLst/>
        </a:prstGeom>
        <a:noFill/>
      </xdr:spPr>
    </xdr:pic>
    <xdr:clientData fLocksWithSheet="0"/>
  </xdr:oneCellAnchor>
  <xdr:oneCellAnchor>
    <xdr:from>
      <xdr:col>0</xdr:col>
      <xdr:colOff>0</xdr:colOff>
      <xdr:row>148</xdr:row>
      <xdr:rowOff>0</xdr:rowOff>
    </xdr:from>
    <xdr:ext cx="323850" cy="333375"/>
    <xdr:pic>
      <xdr:nvPicPr>
        <xdr:cNvPr id="0" name="image409.png"/>
        <xdr:cNvPicPr preferRelativeResize="0"/>
      </xdr:nvPicPr>
      <xdr:blipFill>
        <a:blip cstate="print" r:embed="rId84"/>
        <a:stretch>
          <a:fillRect/>
        </a:stretch>
      </xdr:blipFill>
      <xdr:spPr>
        <a:prstGeom prst="rect">
          <a:avLst/>
        </a:prstGeom>
        <a:noFill/>
      </xdr:spPr>
    </xdr:pic>
    <xdr:clientData fLocksWithSheet="0"/>
  </xdr:oneCellAnchor>
  <xdr:oneCellAnchor>
    <xdr:from>
      <xdr:col>0</xdr:col>
      <xdr:colOff>0</xdr:colOff>
      <xdr:row>149</xdr:row>
      <xdr:rowOff>0</xdr:rowOff>
    </xdr:from>
    <xdr:ext cx="333375" cy="333375"/>
    <xdr:pic>
      <xdr:nvPicPr>
        <xdr:cNvPr id="0" name="image410.png"/>
        <xdr:cNvPicPr preferRelativeResize="0"/>
      </xdr:nvPicPr>
      <xdr:blipFill>
        <a:blip cstate="print" r:embed="rId85"/>
        <a:stretch>
          <a:fillRect/>
        </a:stretch>
      </xdr:blipFill>
      <xdr:spPr>
        <a:prstGeom prst="rect">
          <a:avLst/>
        </a:prstGeom>
        <a:noFill/>
      </xdr:spPr>
    </xdr:pic>
    <xdr:clientData fLocksWithSheet="0"/>
  </xdr:oneCellAnchor>
  <xdr:oneCellAnchor>
    <xdr:from>
      <xdr:col>0</xdr:col>
      <xdr:colOff>0</xdr:colOff>
      <xdr:row>150</xdr:row>
      <xdr:rowOff>0</xdr:rowOff>
    </xdr:from>
    <xdr:ext cx="333375" cy="333375"/>
    <xdr:pic>
      <xdr:nvPicPr>
        <xdr:cNvPr id="0" name="image438.pn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151</xdr:row>
      <xdr:rowOff>0</xdr:rowOff>
    </xdr:from>
    <xdr:ext cx="333375" cy="333375"/>
    <xdr:pic>
      <xdr:nvPicPr>
        <xdr:cNvPr id="0" name="image438.pn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152</xdr:row>
      <xdr:rowOff>0</xdr:rowOff>
    </xdr:from>
    <xdr:ext cx="333375" cy="333375"/>
    <xdr:pic>
      <xdr:nvPicPr>
        <xdr:cNvPr id="0" name="image438.pn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153</xdr:row>
      <xdr:rowOff>0</xdr:rowOff>
    </xdr:from>
    <xdr:ext cx="333375" cy="333375"/>
    <xdr:pic>
      <xdr:nvPicPr>
        <xdr:cNvPr id="0" name="image438.pn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154</xdr:row>
      <xdr:rowOff>0</xdr:rowOff>
    </xdr:from>
    <xdr:ext cx="333375" cy="333375"/>
    <xdr:pic>
      <xdr:nvPicPr>
        <xdr:cNvPr id="0" name="image438.pn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155</xdr:row>
      <xdr:rowOff>0</xdr:rowOff>
    </xdr:from>
    <xdr:ext cx="333375" cy="333375"/>
    <xdr:pic>
      <xdr:nvPicPr>
        <xdr:cNvPr id="0" name="image438.pn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156</xdr:row>
      <xdr:rowOff>0</xdr:rowOff>
    </xdr:from>
    <xdr:ext cx="323850" cy="333375"/>
    <xdr:pic>
      <xdr:nvPicPr>
        <xdr:cNvPr id="0" name="image416.png"/>
        <xdr:cNvPicPr preferRelativeResize="0"/>
      </xdr:nvPicPr>
      <xdr:blipFill>
        <a:blip cstate="print" r:embed="rId87"/>
        <a:stretch>
          <a:fillRect/>
        </a:stretch>
      </xdr:blipFill>
      <xdr:spPr>
        <a:prstGeom prst="rect">
          <a:avLst/>
        </a:prstGeom>
        <a:noFill/>
      </xdr:spPr>
    </xdr:pic>
    <xdr:clientData fLocksWithSheet="0"/>
  </xdr:oneCellAnchor>
  <xdr:oneCellAnchor>
    <xdr:from>
      <xdr:col>0</xdr:col>
      <xdr:colOff>0</xdr:colOff>
      <xdr:row>157</xdr:row>
      <xdr:rowOff>0</xdr:rowOff>
    </xdr:from>
    <xdr:ext cx="323850" cy="333375"/>
    <xdr:pic>
      <xdr:nvPicPr>
        <xdr:cNvPr id="0" name="image416.png"/>
        <xdr:cNvPicPr preferRelativeResize="0"/>
      </xdr:nvPicPr>
      <xdr:blipFill>
        <a:blip cstate="print" r:embed="rId87"/>
        <a:stretch>
          <a:fillRect/>
        </a:stretch>
      </xdr:blipFill>
      <xdr:spPr>
        <a:prstGeom prst="rect">
          <a:avLst/>
        </a:prstGeom>
        <a:noFill/>
      </xdr:spPr>
    </xdr:pic>
    <xdr:clientData fLocksWithSheet="0"/>
  </xdr:oneCellAnchor>
  <xdr:oneCellAnchor>
    <xdr:from>
      <xdr:col>0</xdr:col>
      <xdr:colOff>0</xdr:colOff>
      <xdr:row>158</xdr:row>
      <xdr:rowOff>0</xdr:rowOff>
    </xdr:from>
    <xdr:ext cx="323850" cy="333375"/>
    <xdr:pic>
      <xdr:nvPicPr>
        <xdr:cNvPr id="0" name="image416.png"/>
        <xdr:cNvPicPr preferRelativeResize="0"/>
      </xdr:nvPicPr>
      <xdr:blipFill>
        <a:blip cstate="print" r:embed="rId87"/>
        <a:stretch>
          <a:fillRect/>
        </a:stretch>
      </xdr:blipFill>
      <xdr:spPr>
        <a:prstGeom prst="rect">
          <a:avLst/>
        </a:prstGeom>
        <a:noFill/>
      </xdr:spPr>
    </xdr:pic>
    <xdr:clientData fLocksWithSheet="0"/>
  </xdr:oneCellAnchor>
  <xdr:oneCellAnchor>
    <xdr:from>
      <xdr:col>0</xdr:col>
      <xdr:colOff>0</xdr:colOff>
      <xdr:row>159</xdr:row>
      <xdr:rowOff>0</xdr:rowOff>
    </xdr:from>
    <xdr:ext cx="323850" cy="333375"/>
    <xdr:pic>
      <xdr:nvPicPr>
        <xdr:cNvPr id="0" name="image416.png"/>
        <xdr:cNvPicPr preferRelativeResize="0"/>
      </xdr:nvPicPr>
      <xdr:blipFill>
        <a:blip cstate="print" r:embed="rId87"/>
        <a:stretch>
          <a:fillRect/>
        </a:stretch>
      </xdr:blipFill>
      <xdr:spPr>
        <a:prstGeom prst="rect">
          <a:avLst/>
        </a:prstGeom>
        <a:noFill/>
      </xdr:spPr>
    </xdr:pic>
    <xdr:clientData fLocksWithSheet="0"/>
  </xdr:oneCellAnchor>
  <xdr:oneCellAnchor>
    <xdr:from>
      <xdr:col>0</xdr:col>
      <xdr:colOff>0</xdr:colOff>
      <xdr:row>160</xdr:row>
      <xdr:rowOff>0</xdr:rowOff>
    </xdr:from>
    <xdr:ext cx="323850" cy="333375"/>
    <xdr:pic>
      <xdr:nvPicPr>
        <xdr:cNvPr id="0" name="image416.png"/>
        <xdr:cNvPicPr preferRelativeResize="0"/>
      </xdr:nvPicPr>
      <xdr:blipFill>
        <a:blip cstate="print" r:embed="rId87"/>
        <a:stretch>
          <a:fillRect/>
        </a:stretch>
      </xdr:blipFill>
      <xdr:spPr>
        <a:prstGeom prst="rect">
          <a:avLst/>
        </a:prstGeom>
        <a:noFill/>
      </xdr:spPr>
    </xdr:pic>
    <xdr:clientData fLocksWithSheet="0"/>
  </xdr:oneCellAnchor>
  <xdr:oneCellAnchor>
    <xdr:from>
      <xdr:col>0</xdr:col>
      <xdr:colOff>0</xdr:colOff>
      <xdr:row>161</xdr:row>
      <xdr:rowOff>0</xdr:rowOff>
    </xdr:from>
    <xdr:ext cx="333375" cy="333375"/>
    <xdr:pic>
      <xdr:nvPicPr>
        <xdr:cNvPr id="0" name="image414.png"/>
        <xdr:cNvPicPr preferRelativeResize="0"/>
      </xdr:nvPicPr>
      <xdr:blipFill>
        <a:blip cstate="print" r:embed="rId88"/>
        <a:stretch>
          <a:fillRect/>
        </a:stretch>
      </xdr:blipFill>
      <xdr:spPr>
        <a:prstGeom prst="rect">
          <a:avLst/>
        </a:prstGeom>
        <a:noFill/>
      </xdr:spPr>
    </xdr:pic>
    <xdr:clientData fLocksWithSheet="0"/>
  </xdr:oneCellAnchor>
  <xdr:oneCellAnchor>
    <xdr:from>
      <xdr:col>0</xdr:col>
      <xdr:colOff>0</xdr:colOff>
      <xdr:row>162</xdr:row>
      <xdr:rowOff>0</xdr:rowOff>
    </xdr:from>
    <xdr:ext cx="333375" cy="333375"/>
    <xdr:pic>
      <xdr:nvPicPr>
        <xdr:cNvPr id="0" name="image414.png"/>
        <xdr:cNvPicPr preferRelativeResize="0"/>
      </xdr:nvPicPr>
      <xdr:blipFill>
        <a:blip cstate="print" r:embed="rId88"/>
        <a:stretch>
          <a:fillRect/>
        </a:stretch>
      </xdr:blipFill>
      <xdr:spPr>
        <a:prstGeom prst="rect">
          <a:avLst/>
        </a:prstGeom>
        <a:noFill/>
      </xdr:spPr>
    </xdr:pic>
    <xdr:clientData fLocksWithSheet="0"/>
  </xdr:oneCellAnchor>
  <xdr:oneCellAnchor>
    <xdr:from>
      <xdr:col>0</xdr:col>
      <xdr:colOff>0</xdr:colOff>
      <xdr:row>163</xdr:row>
      <xdr:rowOff>0</xdr:rowOff>
    </xdr:from>
    <xdr:ext cx="323850" cy="333375"/>
    <xdr:pic>
      <xdr:nvPicPr>
        <xdr:cNvPr id="0" name="image424.png"/>
        <xdr:cNvPicPr preferRelativeResize="0"/>
      </xdr:nvPicPr>
      <xdr:blipFill>
        <a:blip cstate="print" r:embed="rId89"/>
        <a:stretch>
          <a:fillRect/>
        </a:stretch>
      </xdr:blipFill>
      <xdr:spPr>
        <a:prstGeom prst="rect">
          <a:avLst/>
        </a:prstGeom>
        <a:noFill/>
      </xdr:spPr>
    </xdr:pic>
    <xdr:clientData fLocksWithSheet="0"/>
  </xdr:oneCellAnchor>
  <xdr:oneCellAnchor>
    <xdr:from>
      <xdr:col>0</xdr:col>
      <xdr:colOff>0</xdr:colOff>
      <xdr:row>164</xdr:row>
      <xdr:rowOff>0</xdr:rowOff>
    </xdr:from>
    <xdr:ext cx="333375" cy="333375"/>
    <xdr:pic>
      <xdr:nvPicPr>
        <xdr:cNvPr id="0" name="image425.png"/>
        <xdr:cNvPicPr preferRelativeResize="0"/>
      </xdr:nvPicPr>
      <xdr:blipFill>
        <a:blip cstate="print" r:embed="rId90"/>
        <a:stretch>
          <a:fillRect/>
        </a:stretch>
      </xdr:blipFill>
      <xdr:spPr>
        <a:prstGeom prst="rect">
          <a:avLst/>
        </a:prstGeom>
        <a:noFill/>
      </xdr:spPr>
    </xdr:pic>
    <xdr:clientData fLocksWithSheet="0"/>
  </xdr:oneCellAnchor>
  <xdr:oneCellAnchor>
    <xdr:from>
      <xdr:col>0</xdr:col>
      <xdr:colOff>0</xdr:colOff>
      <xdr:row>165</xdr:row>
      <xdr:rowOff>0</xdr:rowOff>
    </xdr:from>
    <xdr:ext cx="333375" cy="333375"/>
    <xdr:pic>
      <xdr:nvPicPr>
        <xdr:cNvPr id="0" name="image423.png"/>
        <xdr:cNvPicPr preferRelativeResize="0"/>
      </xdr:nvPicPr>
      <xdr:blipFill>
        <a:blip cstate="print" r:embed="rId91"/>
        <a:stretch>
          <a:fillRect/>
        </a:stretch>
      </xdr:blipFill>
      <xdr:spPr>
        <a:prstGeom prst="rect">
          <a:avLst/>
        </a:prstGeom>
        <a:noFill/>
      </xdr:spPr>
    </xdr:pic>
    <xdr:clientData fLocksWithSheet="0"/>
  </xdr:oneCellAnchor>
  <xdr:oneCellAnchor>
    <xdr:from>
      <xdr:col>0</xdr:col>
      <xdr:colOff>0</xdr:colOff>
      <xdr:row>166</xdr:row>
      <xdr:rowOff>0</xdr:rowOff>
    </xdr:from>
    <xdr:ext cx="333375" cy="333375"/>
    <xdr:pic>
      <xdr:nvPicPr>
        <xdr:cNvPr id="0" name="image423.png"/>
        <xdr:cNvPicPr preferRelativeResize="0"/>
      </xdr:nvPicPr>
      <xdr:blipFill>
        <a:blip cstate="print" r:embed="rId91"/>
        <a:stretch>
          <a:fillRect/>
        </a:stretch>
      </xdr:blipFill>
      <xdr:spPr>
        <a:prstGeom prst="rect">
          <a:avLst/>
        </a:prstGeom>
        <a:noFill/>
      </xdr:spPr>
    </xdr:pic>
    <xdr:clientData fLocksWithSheet="0"/>
  </xdr:oneCellAnchor>
  <xdr:oneCellAnchor>
    <xdr:from>
      <xdr:col>0</xdr:col>
      <xdr:colOff>0</xdr:colOff>
      <xdr:row>167</xdr:row>
      <xdr:rowOff>0</xdr:rowOff>
    </xdr:from>
    <xdr:ext cx="333375" cy="333375"/>
    <xdr:pic>
      <xdr:nvPicPr>
        <xdr:cNvPr id="0" name="image423.png"/>
        <xdr:cNvPicPr preferRelativeResize="0"/>
      </xdr:nvPicPr>
      <xdr:blipFill>
        <a:blip cstate="print" r:embed="rId91"/>
        <a:stretch>
          <a:fillRect/>
        </a:stretch>
      </xdr:blipFill>
      <xdr:spPr>
        <a:prstGeom prst="rect">
          <a:avLst/>
        </a:prstGeom>
        <a:noFill/>
      </xdr:spPr>
    </xdr:pic>
    <xdr:clientData fLocksWithSheet="0"/>
  </xdr:oneCellAnchor>
  <xdr:oneCellAnchor>
    <xdr:from>
      <xdr:col>0</xdr:col>
      <xdr:colOff>0</xdr:colOff>
      <xdr:row>168</xdr:row>
      <xdr:rowOff>0</xdr:rowOff>
    </xdr:from>
    <xdr:ext cx="333375" cy="333375"/>
    <xdr:pic>
      <xdr:nvPicPr>
        <xdr:cNvPr id="0" name="image423.png"/>
        <xdr:cNvPicPr preferRelativeResize="0"/>
      </xdr:nvPicPr>
      <xdr:blipFill>
        <a:blip cstate="print" r:embed="rId91"/>
        <a:stretch>
          <a:fillRect/>
        </a:stretch>
      </xdr:blipFill>
      <xdr:spPr>
        <a:prstGeom prst="rect">
          <a:avLst/>
        </a:prstGeom>
        <a:noFill/>
      </xdr:spPr>
    </xdr:pic>
    <xdr:clientData fLocksWithSheet="0"/>
  </xdr:oneCellAnchor>
  <xdr:oneCellAnchor>
    <xdr:from>
      <xdr:col>0</xdr:col>
      <xdr:colOff>0</xdr:colOff>
      <xdr:row>169</xdr:row>
      <xdr:rowOff>0</xdr:rowOff>
    </xdr:from>
    <xdr:ext cx="333375" cy="333375"/>
    <xdr:pic>
      <xdr:nvPicPr>
        <xdr:cNvPr id="0" name="image423.png"/>
        <xdr:cNvPicPr preferRelativeResize="0"/>
      </xdr:nvPicPr>
      <xdr:blipFill>
        <a:blip cstate="print" r:embed="rId91"/>
        <a:stretch>
          <a:fillRect/>
        </a:stretch>
      </xdr:blipFill>
      <xdr:spPr>
        <a:prstGeom prst="rect">
          <a:avLst/>
        </a:prstGeom>
        <a:noFill/>
      </xdr:spPr>
    </xdr:pic>
    <xdr:clientData fLocksWithSheet="0"/>
  </xdr:oneCellAnchor>
  <xdr:oneCellAnchor>
    <xdr:from>
      <xdr:col>0</xdr:col>
      <xdr:colOff>0</xdr:colOff>
      <xdr:row>170</xdr:row>
      <xdr:rowOff>0</xdr:rowOff>
    </xdr:from>
    <xdr:ext cx="333375" cy="333375"/>
    <xdr:pic>
      <xdr:nvPicPr>
        <xdr:cNvPr id="0" name="image427.png"/>
        <xdr:cNvPicPr preferRelativeResize="0"/>
      </xdr:nvPicPr>
      <xdr:blipFill>
        <a:blip cstate="print" r:embed="rId92"/>
        <a:stretch>
          <a:fillRect/>
        </a:stretch>
      </xdr:blipFill>
      <xdr:spPr>
        <a:prstGeom prst="rect">
          <a:avLst/>
        </a:prstGeom>
        <a:noFill/>
      </xdr:spPr>
    </xdr:pic>
    <xdr:clientData fLocksWithSheet="0"/>
  </xdr:oneCellAnchor>
  <xdr:oneCellAnchor>
    <xdr:from>
      <xdr:col>0</xdr:col>
      <xdr:colOff>0</xdr:colOff>
      <xdr:row>171</xdr:row>
      <xdr:rowOff>0</xdr:rowOff>
    </xdr:from>
    <xdr:ext cx="333375" cy="333375"/>
    <xdr:pic>
      <xdr:nvPicPr>
        <xdr:cNvPr id="0" name="image427.png"/>
        <xdr:cNvPicPr preferRelativeResize="0"/>
      </xdr:nvPicPr>
      <xdr:blipFill>
        <a:blip cstate="print" r:embed="rId92"/>
        <a:stretch>
          <a:fillRect/>
        </a:stretch>
      </xdr:blipFill>
      <xdr:spPr>
        <a:prstGeom prst="rect">
          <a:avLst/>
        </a:prstGeom>
        <a:noFill/>
      </xdr:spPr>
    </xdr:pic>
    <xdr:clientData fLocksWithSheet="0"/>
  </xdr:oneCellAnchor>
  <xdr:oneCellAnchor>
    <xdr:from>
      <xdr:col>0</xdr:col>
      <xdr:colOff>0</xdr:colOff>
      <xdr:row>172</xdr:row>
      <xdr:rowOff>0</xdr:rowOff>
    </xdr:from>
    <xdr:ext cx="333375" cy="333375"/>
    <xdr:pic>
      <xdr:nvPicPr>
        <xdr:cNvPr id="0" name="image427.png"/>
        <xdr:cNvPicPr preferRelativeResize="0"/>
      </xdr:nvPicPr>
      <xdr:blipFill>
        <a:blip cstate="print" r:embed="rId92"/>
        <a:stretch>
          <a:fillRect/>
        </a:stretch>
      </xdr:blipFill>
      <xdr:spPr>
        <a:prstGeom prst="rect">
          <a:avLst/>
        </a:prstGeom>
        <a:noFill/>
      </xdr:spPr>
    </xdr:pic>
    <xdr:clientData fLocksWithSheet="0"/>
  </xdr:oneCellAnchor>
  <xdr:oneCellAnchor>
    <xdr:from>
      <xdr:col>0</xdr:col>
      <xdr:colOff>0</xdr:colOff>
      <xdr:row>173</xdr:row>
      <xdr:rowOff>0</xdr:rowOff>
    </xdr:from>
    <xdr:ext cx="333375" cy="333375"/>
    <xdr:pic>
      <xdr:nvPicPr>
        <xdr:cNvPr id="0" name="image427.png"/>
        <xdr:cNvPicPr preferRelativeResize="0"/>
      </xdr:nvPicPr>
      <xdr:blipFill>
        <a:blip cstate="print" r:embed="rId92"/>
        <a:stretch>
          <a:fillRect/>
        </a:stretch>
      </xdr:blipFill>
      <xdr:spPr>
        <a:prstGeom prst="rect">
          <a:avLst/>
        </a:prstGeom>
        <a:noFill/>
      </xdr:spPr>
    </xdr:pic>
    <xdr:clientData fLocksWithSheet="0"/>
  </xdr:oneCellAnchor>
  <xdr:oneCellAnchor>
    <xdr:from>
      <xdr:col>0</xdr:col>
      <xdr:colOff>0</xdr:colOff>
      <xdr:row>174</xdr:row>
      <xdr:rowOff>0</xdr:rowOff>
    </xdr:from>
    <xdr:ext cx="333375" cy="333375"/>
    <xdr:pic>
      <xdr:nvPicPr>
        <xdr:cNvPr id="0" name="image427.png"/>
        <xdr:cNvPicPr preferRelativeResize="0"/>
      </xdr:nvPicPr>
      <xdr:blipFill>
        <a:blip cstate="print" r:embed="rId92"/>
        <a:stretch>
          <a:fillRect/>
        </a:stretch>
      </xdr:blipFill>
      <xdr:spPr>
        <a:prstGeom prst="rect">
          <a:avLst/>
        </a:prstGeom>
        <a:noFill/>
      </xdr:spPr>
    </xdr:pic>
    <xdr:clientData fLocksWithSheet="0"/>
  </xdr:oneCellAnchor>
  <xdr:oneCellAnchor>
    <xdr:from>
      <xdr:col>0</xdr:col>
      <xdr:colOff>0</xdr:colOff>
      <xdr:row>175</xdr:row>
      <xdr:rowOff>0</xdr:rowOff>
    </xdr:from>
    <xdr:ext cx="333375" cy="333375"/>
    <xdr:pic>
      <xdr:nvPicPr>
        <xdr:cNvPr id="0" name="image427.png"/>
        <xdr:cNvPicPr preferRelativeResize="0"/>
      </xdr:nvPicPr>
      <xdr:blipFill>
        <a:blip cstate="print" r:embed="rId92"/>
        <a:stretch>
          <a:fillRect/>
        </a:stretch>
      </xdr:blipFill>
      <xdr:spPr>
        <a:prstGeom prst="rect">
          <a:avLst/>
        </a:prstGeom>
        <a:noFill/>
      </xdr:spPr>
    </xdr:pic>
    <xdr:clientData fLocksWithSheet="0"/>
  </xdr:oneCellAnchor>
  <xdr:oneCellAnchor>
    <xdr:from>
      <xdr:col>0</xdr:col>
      <xdr:colOff>0</xdr:colOff>
      <xdr:row>176</xdr:row>
      <xdr:rowOff>0</xdr:rowOff>
    </xdr:from>
    <xdr:ext cx="333375" cy="333375"/>
    <xdr:pic>
      <xdr:nvPicPr>
        <xdr:cNvPr id="0" name="image428.png"/>
        <xdr:cNvPicPr preferRelativeResize="0"/>
      </xdr:nvPicPr>
      <xdr:blipFill>
        <a:blip cstate="print" r:embed="rId93"/>
        <a:stretch>
          <a:fillRect/>
        </a:stretch>
      </xdr:blipFill>
      <xdr:spPr>
        <a:prstGeom prst="rect">
          <a:avLst/>
        </a:prstGeom>
        <a:noFill/>
      </xdr:spPr>
    </xdr:pic>
    <xdr:clientData fLocksWithSheet="0"/>
  </xdr:oneCellAnchor>
  <xdr:oneCellAnchor>
    <xdr:from>
      <xdr:col>0</xdr:col>
      <xdr:colOff>0</xdr:colOff>
      <xdr:row>177</xdr:row>
      <xdr:rowOff>0</xdr:rowOff>
    </xdr:from>
    <xdr:ext cx="333375" cy="333375"/>
    <xdr:pic>
      <xdr:nvPicPr>
        <xdr:cNvPr id="0" name="image428.png"/>
        <xdr:cNvPicPr preferRelativeResize="0"/>
      </xdr:nvPicPr>
      <xdr:blipFill>
        <a:blip cstate="print" r:embed="rId93"/>
        <a:stretch>
          <a:fillRect/>
        </a:stretch>
      </xdr:blipFill>
      <xdr:spPr>
        <a:prstGeom prst="rect">
          <a:avLst/>
        </a:prstGeom>
        <a:noFill/>
      </xdr:spPr>
    </xdr:pic>
    <xdr:clientData fLocksWithSheet="0"/>
  </xdr:oneCellAnchor>
  <xdr:oneCellAnchor>
    <xdr:from>
      <xdr:col>0</xdr:col>
      <xdr:colOff>0</xdr:colOff>
      <xdr:row>178</xdr:row>
      <xdr:rowOff>0</xdr:rowOff>
    </xdr:from>
    <xdr:ext cx="333375" cy="333375"/>
    <xdr:pic>
      <xdr:nvPicPr>
        <xdr:cNvPr id="0" name="image428.png"/>
        <xdr:cNvPicPr preferRelativeResize="0"/>
      </xdr:nvPicPr>
      <xdr:blipFill>
        <a:blip cstate="print" r:embed="rId93"/>
        <a:stretch>
          <a:fillRect/>
        </a:stretch>
      </xdr:blipFill>
      <xdr:spPr>
        <a:prstGeom prst="rect">
          <a:avLst/>
        </a:prstGeom>
        <a:noFill/>
      </xdr:spPr>
    </xdr:pic>
    <xdr:clientData fLocksWithSheet="0"/>
  </xdr:oneCellAnchor>
  <xdr:oneCellAnchor>
    <xdr:from>
      <xdr:col>0</xdr:col>
      <xdr:colOff>0</xdr:colOff>
      <xdr:row>179</xdr:row>
      <xdr:rowOff>0</xdr:rowOff>
    </xdr:from>
    <xdr:ext cx="333375" cy="333375"/>
    <xdr:pic>
      <xdr:nvPicPr>
        <xdr:cNvPr id="0" name="image428.png"/>
        <xdr:cNvPicPr preferRelativeResize="0"/>
      </xdr:nvPicPr>
      <xdr:blipFill>
        <a:blip cstate="print" r:embed="rId93"/>
        <a:stretch>
          <a:fillRect/>
        </a:stretch>
      </xdr:blipFill>
      <xdr:spPr>
        <a:prstGeom prst="rect">
          <a:avLst/>
        </a:prstGeom>
        <a:noFill/>
      </xdr:spPr>
    </xdr:pic>
    <xdr:clientData fLocksWithSheet="0"/>
  </xdr:oneCellAnchor>
  <xdr:oneCellAnchor>
    <xdr:from>
      <xdr:col>0</xdr:col>
      <xdr:colOff>0</xdr:colOff>
      <xdr:row>180</xdr:row>
      <xdr:rowOff>0</xdr:rowOff>
    </xdr:from>
    <xdr:ext cx="333375" cy="333375"/>
    <xdr:pic>
      <xdr:nvPicPr>
        <xdr:cNvPr id="0" name="image430.png"/>
        <xdr:cNvPicPr preferRelativeResize="0"/>
      </xdr:nvPicPr>
      <xdr:blipFill>
        <a:blip cstate="print" r:embed="rId94"/>
        <a:stretch>
          <a:fillRect/>
        </a:stretch>
      </xdr:blipFill>
      <xdr:spPr>
        <a:prstGeom prst="rect">
          <a:avLst/>
        </a:prstGeom>
        <a:noFill/>
      </xdr:spPr>
    </xdr:pic>
    <xdr:clientData fLocksWithSheet="0"/>
  </xdr:oneCellAnchor>
  <xdr:oneCellAnchor>
    <xdr:from>
      <xdr:col>0</xdr:col>
      <xdr:colOff>0</xdr:colOff>
      <xdr:row>181</xdr:row>
      <xdr:rowOff>0</xdr:rowOff>
    </xdr:from>
    <xdr:ext cx="333375" cy="333375"/>
    <xdr:pic>
      <xdr:nvPicPr>
        <xdr:cNvPr id="0" name="image430.png"/>
        <xdr:cNvPicPr preferRelativeResize="0"/>
      </xdr:nvPicPr>
      <xdr:blipFill>
        <a:blip cstate="print" r:embed="rId94"/>
        <a:stretch>
          <a:fillRect/>
        </a:stretch>
      </xdr:blipFill>
      <xdr:spPr>
        <a:prstGeom prst="rect">
          <a:avLst/>
        </a:prstGeom>
        <a:noFill/>
      </xdr:spPr>
    </xdr:pic>
    <xdr:clientData fLocksWithSheet="0"/>
  </xdr:oneCellAnchor>
  <xdr:oneCellAnchor>
    <xdr:from>
      <xdr:col>0</xdr:col>
      <xdr:colOff>0</xdr:colOff>
      <xdr:row>182</xdr:row>
      <xdr:rowOff>0</xdr:rowOff>
    </xdr:from>
    <xdr:ext cx="333375" cy="333375"/>
    <xdr:pic>
      <xdr:nvPicPr>
        <xdr:cNvPr id="0" name="image422.png"/>
        <xdr:cNvPicPr preferRelativeResize="0"/>
      </xdr:nvPicPr>
      <xdr:blipFill>
        <a:blip cstate="print" r:embed="rId95"/>
        <a:stretch>
          <a:fillRect/>
        </a:stretch>
      </xdr:blipFill>
      <xdr:spPr>
        <a:prstGeom prst="rect">
          <a:avLst/>
        </a:prstGeom>
        <a:noFill/>
      </xdr:spPr>
    </xdr:pic>
    <xdr:clientData fLocksWithSheet="0"/>
  </xdr:oneCellAnchor>
  <xdr:oneCellAnchor>
    <xdr:from>
      <xdr:col>0</xdr:col>
      <xdr:colOff>0</xdr:colOff>
      <xdr:row>183</xdr:row>
      <xdr:rowOff>0</xdr:rowOff>
    </xdr:from>
    <xdr:ext cx="333375" cy="333375"/>
    <xdr:pic>
      <xdr:nvPicPr>
        <xdr:cNvPr id="0" name="image422.png"/>
        <xdr:cNvPicPr preferRelativeResize="0"/>
      </xdr:nvPicPr>
      <xdr:blipFill>
        <a:blip cstate="print" r:embed="rId95"/>
        <a:stretch>
          <a:fillRect/>
        </a:stretch>
      </xdr:blipFill>
      <xdr:spPr>
        <a:prstGeom prst="rect">
          <a:avLst/>
        </a:prstGeom>
        <a:noFill/>
      </xdr:spPr>
    </xdr:pic>
    <xdr:clientData fLocksWithSheet="0"/>
  </xdr:oneCellAnchor>
  <xdr:oneCellAnchor>
    <xdr:from>
      <xdr:col>0</xdr:col>
      <xdr:colOff>0</xdr:colOff>
      <xdr:row>184</xdr:row>
      <xdr:rowOff>0</xdr:rowOff>
    </xdr:from>
    <xdr:ext cx="333375" cy="333375"/>
    <xdr:pic>
      <xdr:nvPicPr>
        <xdr:cNvPr id="0" name="image422.png"/>
        <xdr:cNvPicPr preferRelativeResize="0"/>
      </xdr:nvPicPr>
      <xdr:blipFill>
        <a:blip cstate="print" r:embed="rId95"/>
        <a:stretch>
          <a:fillRect/>
        </a:stretch>
      </xdr:blipFill>
      <xdr:spPr>
        <a:prstGeom prst="rect">
          <a:avLst/>
        </a:prstGeom>
        <a:noFill/>
      </xdr:spPr>
    </xdr:pic>
    <xdr:clientData fLocksWithSheet="0"/>
  </xdr:oneCellAnchor>
  <xdr:oneCellAnchor>
    <xdr:from>
      <xdr:col>0</xdr:col>
      <xdr:colOff>0</xdr:colOff>
      <xdr:row>185</xdr:row>
      <xdr:rowOff>0</xdr:rowOff>
    </xdr:from>
    <xdr:ext cx="333375" cy="333375"/>
    <xdr:pic>
      <xdr:nvPicPr>
        <xdr:cNvPr id="0" name="image422.png"/>
        <xdr:cNvPicPr preferRelativeResize="0"/>
      </xdr:nvPicPr>
      <xdr:blipFill>
        <a:blip cstate="print" r:embed="rId95"/>
        <a:stretch>
          <a:fillRect/>
        </a:stretch>
      </xdr:blipFill>
      <xdr:spPr>
        <a:prstGeom prst="rect">
          <a:avLst/>
        </a:prstGeom>
        <a:noFill/>
      </xdr:spPr>
    </xdr:pic>
    <xdr:clientData fLocksWithSheet="0"/>
  </xdr:oneCellAnchor>
  <xdr:oneCellAnchor>
    <xdr:from>
      <xdr:col>0</xdr:col>
      <xdr:colOff>0</xdr:colOff>
      <xdr:row>186</xdr:row>
      <xdr:rowOff>0</xdr:rowOff>
    </xdr:from>
    <xdr:ext cx="333375" cy="333375"/>
    <xdr:pic>
      <xdr:nvPicPr>
        <xdr:cNvPr id="0" name="image422.png"/>
        <xdr:cNvPicPr preferRelativeResize="0"/>
      </xdr:nvPicPr>
      <xdr:blipFill>
        <a:blip cstate="print" r:embed="rId95"/>
        <a:stretch>
          <a:fillRect/>
        </a:stretch>
      </xdr:blipFill>
      <xdr:spPr>
        <a:prstGeom prst="rect">
          <a:avLst/>
        </a:prstGeom>
        <a:noFill/>
      </xdr:spPr>
    </xdr:pic>
    <xdr:clientData fLocksWithSheet="0"/>
  </xdr:oneCellAnchor>
  <xdr:oneCellAnchor>
    <xdr:from>
      <xdr:col>0</xdr:col>
      <xdr:colOff>0</xdr:colOff>
      <xdr:row>187</xdr:row>
      <xdr:rowOff>0</xdr:rowOff>
    </xdr:from>
    <xdr:ext cx="333375" cy="333375"/>
    <xdr:pic>
      <xdr:nvPicPr>
        <xdr:cNvPr id="0" name="image422.png"/>
        <xdr:cNvPicPr preferRelativeResize="0"/>
      </xdr:nvPicPr>
      <xdr:blipFill>
        <a:blip cstate="print" r:embed="rId95"/>
        <a:stretch>
          <a:fillRect/>
        </a:stretch>
      </xdr:blipFill>
      <xdr:spPr>
        <a:prstGeom prst="rect">
          <a:avLst/>
        </a:prstGeom>
        <a:noFill/>
      </xdr:spPr>
    </xdr:pic>
    <xdr:clientData fLocksWithSheet="0"/>
  </xdr:oneCellAnchor>
  <xdr:oneCellAnchor>
    <xdr:from>
      <xdr:col>0</xdr:col>
      <xdr:colOff>0</xdr:colOff>
      <xdr:row>188</xdr:row>
      <xdr:rowOff>0</xdr:rowOff>
    </xdr:from>
    <xdr:ext cx="333375" cy="333375"/>
    <xdr:pic>
      <xdr:nvPicPr>
        <xdr:cNvPr id="0" name="image422.png"/>
        <xdr:cNvPicPr preferRelativeResize="0"/>
      </xdr:nvPicPr>
      <xdr:blipFill>
        <a:blip cstate="print" r:embed="rId95"/>
        <a:stretch>
          <a:fillRect/>
        </a:stretch>
      </xdr:blipFill>
      <xdr:spPr>
        <a:prstGeom prst="rect">
          <a:avLst/>
        </a:prstGeom>
        <a:noFill/>
      </xdr:spPr>
    </xdr:pic>
    <xdr:clientData fLocksWithSheet="0"/>
  </xdr:oneCellAnchor>
  <xdr:oneCellAnchor>
    <xdr:from>
      <xdr:col>0</xdr:col>
      <xdr:colOff>0</xdr:colOff>
      <xdr:row>189</xdr:row>
      <xdr:rowOff>0</xdr:rowOff>
    </xdr:from>
    <xdr:ext cx="333375" cy="333375"/>
    <xdr:pic>
      <xdr:nvPicPr>
        <xdr:cNvPr id="0" name="image431.png"/>
        <xdr:cNvPicPr preferRelativeResize="0"/>
      </xdr:nvPicPr>
      <xdr:blipFill>
        <a:blip cstate="print" r:embed="rId96"/>
        <a:stretch>
          <a:fillRect/>
        </a:stretch>
      </xdr:blipFill>
      <xdr:spPr>
        <a:prstGeom prst="rect">
          <a:avLst/>
        </a:prstGeom>
        <a:noFill/>
      </xdr:spPr>
    </xdr:pic>
    <xdr:clientData fLocksWithSheet="0"/>
  </xdr:oneCellAnchor>
  <xdr:oneCellAnchor>
    <xdr:from>
      <xdr:col>0</xdr:col>
      <xdr:colOff>0</xdr:colOff>
      <xdr:row>190</xdr:row>
      <xdr:rowOff>0</xdr:rowOff>
    </xdr:from>
    <xdr:ext cx="333375" cy="333375"/>
    <xdr:pic>
      <xdr:nvPicPr>
        <xdr:cNvPr id="0" name="image431.png"/>
        <xdr:cNvPicPr preferRelativeResize="0"/>
      </xdr:nvPicPr>
      <xdr:blipFill>
        <a:blip cstate="print" r:embed="rId96"/>
        <a:stretch>
          <a:fillRect/>
        </a:stretch>
      </xdr:blipFill>
      <xdr:spPr>
        <a:prstGeom prst="rect">
          <a:avLst/>
        </a:prstGeom>
        <a:noFill/>
      </xdr:spPr>
    </xdr:pic>
    <xdr:clientData fLocksWithSheet="0"/>
  </xdr:oneCellAnchor>
  <xdr:oneCellAnchor>
    <xdr:from>
      <xdr:col>0</xdr:col>
      <xdr:colOff>0</xdr:colOff>
      <xdr:row>191</xdr:row>
      <xdr:rowOff>0</xdr:rowOff>
    </xdr:from>
    <xdr:ext cx="333375" cy="333375"/>
    <xdr:pic>
      <xdr:nvPicPr>
        <xdr:cNvPr id="0" name="image429.png"/>
        <xdr:cNvPicPr preferRelativeResize="0"/>
      </xdr:nvPicPr>
      <xdr:blipFill>
        <a:blip cstate="print" r:embed="rId97"/>
        <a:stretch>
          <a:fillRect/>
        </a:stretch>
      </xdr:blipFill>
      <xdr:spPr>
        <a:prstGeom prst="rect">
          <a:avLst/>
        </a:prstGeom>
        <a:noFill/>
      </xdr:spPr>
    </xdr:pic>
    <xdr:clientData fLocksWithSheet="0"/>
  </xdr:oneCellAnchor>
  <xdr:oneCellAnchor>
    <xdr:from>
      <xdr:col>0</xdr:col>
      <xdr:colOff>0</xdr:colOff>
      <xdr:row>192</xdr:row>
      <xdr:rowOff>0</xdr:rowOff>
    </xdr:from>
    <xdr:ext cx="333375" cy="333375"/>
    <xdr:pic>
      <xdr:nvPicPr>
        <xdr:cNvPr id="0" name="image429.png"/>
        <xdr:cNvPicPr preferRelativeResize="0"/>
      </xdr:nvPicPr>
      <xdr:blipFill>
        <a:blip cstate="print" r:embed="rId97"/>
        <a:stretch>
          <a:fillRect/>
        </a:stretch>
      </xdr:blipFill>
      <xdr:spPr>
        <a:prstGeom prst="rect">
          <a:avLst/>
        </a:prstGeom>
        <a:noFill/>
      </xdr:spPr>
    </xdr:pic>
    <xdr:clientData fLocksWithSheet="0"/>
  </xdr:oneCellAnchor>
  <xdr:oneCellAnchor>
    <xdr:from>
      <xdr:col>0</xdr:col>
      <xdr:colOff>0</xdr:colOff>
      <xdr:row>193</xdr:row>
      <xdr:rowOff>0</xdr:rowOff>
    </xdr:from>
    <xdr:ext cx="333375" cy="333375"/>
    <xdr:pic>
      <xdr:nvPicPr>
        <xdr:cNvPr id="0" name="image450.png"/>
        <xdr:cNvPicPr preferRelativeResize="0"/>
      </xdr:nvPicPr>
      <xdr:blipFill>
        <a:blip cstate="print" r:embed="rId98"/>
        <a:stretch>
          <a:fillRect/>
        </a:stretch>
      </xdr:blipFill>
      <xdr:spPr>
        <a:prstGeom prst="rect">
          <a:avLst/>
        </a:prstGeom>
        <a:noFill/>
      </xdr:spPr>
    </xdr:pic>
    <xdr:clientData fLocksWithSheet="0"/>
  </xdr:oneCellAnchor>
  <xdr:oneCellAnchor>
    <xdr:from>
      <xdr:col>0</xdr:col>
      <xdr:colOff>0</xdr:colOff>
      <xdr:row>194</xdr:row>
      <xdr:rowOff>0</xdr:rowOff>
    </xdr:from>
    <xdr:ext cx="333375" cy="333375"/>
    <xdr:pic>
      <xdr:nvPicPr>
        <xdr:cNvPr id="0" name="image450.png"/>
        <xdr:cNvPicPr preferRelativeResize="0"/>
      </xdr:nvPicPr>
      <xdr:blipFill>
        <a:blip cstate="print" r:embed="rId98"/>
        <a:stretch>
          <a:fillRect/>
        </a:stretch>
      </xdr:blipFill>
      <xdr:spPr>
        <a:prstGeom prst="rect">
          <a:avLst/>
        </a:prstGeom>
        <a:noFill/>
      </xdr:spPr>
    </xdr:pic>
    <xdr:clientData fLocksWithSheet="0"/>
  </xdr:oneCellAnchor>
  <xdr:oneCellAnchor>
    <xdr:from>
      <xdr:col>0</xdr:col>
      <xdr:colOff>0</xdr:colOff>
      <xdr:row>195</xdr:row>
      <xdr:rowOff>0</xdr:rowOff>
    </xdr:from>
    <xdr:ext cx="333375" cy="333375"/>
    <xdr:pic>
      <xdr:nvPicPr>
        <xdr:cNvPr id="0" name="image450.png"/>
        <xdr:cNvPicPr preferRelativeResize="0"/>
      </xdr:nvPicPr>
      <xdr:blipFill>
        <a:blip cstate="print" r:embed="rId98"/>
        <a:stretch>
          <a:fillRect/>
        </a:stretch>
      </xdr:blipFill>
      <xdr:spPr>
        <a:prstGeom prst="rect">
          <a:avLst/>
        </a:prstGeom>
        <a:noFill/>
      </xdr:spPr>
    </xdr:pic>
    <xdr:clientData fLocksWithSheet="0"/>
  </xdr:oneCellAnchor>
  <xdr:oneCellAnchor>
    <xdr:from>
      <xdr:col>0</xdr:col>
      <xdr:colOff>0</xdr:colOff>
      <xdr:row>196</xdr:row>
      <xdr:rowOff>0</xdr:rowOff>
    </xdr:from>
    <xdr:ext cx="323850" cy="333375"/>
    <xdr:pic>
      <xdr:nvPicPr>
        <xdr:cNvPr id="0" name="image434.png"/>
        <xdr:cNvPicPr preferRelativeResize="0"/>
      </xdr:nvPicPr>
      <xdr:blipFill>
        <a:blip cstate="print" r:embed="rId99"/>
        <a:stretch>
          <a:fillRect/>
        </a:stretch>
      </xdr:blipFill>
      <xdr:spPr>
        <a:prstGeom prst="rect">
          <a:avLst/>
        </a:prstGeom>
        <a:noFill/>
      </xdr:spPr>
    </xdr:pic>
    <xdr:clientData fLocksWithSheet="0"/>
  </xdr:oneCellAnchor>
  <xdr:oneCellAnchor>
    <xdr:from>
      <xdr:col>0</xdr:col>
      <xdr:colOff>0</xdr:colOff>
      <xdr:row>197</xdr:row>
      <xdr:rowOff>0</xdr:rowOff>
    </xdr:from>
    <xdr:ext cx="323850" cy="333375"/>
    <xdr:pic>
      <xdr:nvPicPr>
        <xdr:cNvPr id="0" name="image434.png"/>
        <xdr:cNvPicPr preferRelativeResize="0"/>
      </xdr:nvPicPr>
      <xdr:blipFill>
        <a:blip cstate="print" r:embed="rId99"/>
        <a:stretch>
          <a:fillRect/>
        </a:stretch>
      </xdr:blipFill>
      <xdr:spPr>
        <a:prstGeom prst="rect">
          <a:avLst/>
        </a:prstGeom>
        <a:noFill/>
      </xdr:spPr>
    </xdr:pic>
    <xdr:clientData fLocksWithSheet="0"/>
  </xdr:oneCellAnchor>
  <xdr:oneCellAnchor>
    <xdr:from>
      <xdr:col>0</xdr:col>
      <xdr:colOff>0</xdr:colOff>
      <xdr:row>198</xdr:row>
      <xdr:rowOff>0</xdr:rowOff>
    </xdr:from>
    <xdr:ext cx="323850" cy="333375"/>
    <xdr:pic>
      <xdr:nvPicPr>
        <xdr:cNvPr id="0" name="image434.png"/>
        <xdr:cNvPicPr preferRelativeResize="0"/>
      </xdr:nvPicPr>
      <xdr:blipFill>
        <a:blip cstate="print" r:embed="rId99"/>
        <a:stretch>
          <a:fillRect/>
        </a:stretch>
      </xdr:blipFill>
      <xdr:spPr>
        <a:prstGeom prst="rect">
          <a:avLst/>
        </a:prstGeom>
        <a:noFill/>
      </xdr:spPr>
    </xdr:pic>
    <xdr:clientData fLocksWithSheet="0"/>
  </xdr:oneCellAnchor>
  <xdr:oneCellAnchor>
    <xdr:from>
      <xdr:col>0</xdr:col>
      <xdr:colOff>0</xdr:colOff>
      <xdr:row>199</xdr:row>
      <xdr:rowOff>0</xdr:rowOff>
    </xdr:from>
    <xdr:ext cx="333375" cy="333375"/>
    <xdr:pic>
      <xdr:nvPicPr>
        <xdr:cNvPr id="0" name="image432.png"/>
        <xdr:cNvPicPr preferRelativeResize="0"/>
      </xdr:nvPicPr>
      <xdr:blipFill>
        <a:blip cstate="print" r:embed="rId100"/>
        <a:stretch>
          <a:fillRect/>
        </a:stretch>
      </xdr:blipFill>
      <xdr:spPr>
        <a:prstGeom prst="rect">
          <a:avLst/>
        </a:prstGeom>
        <a:noFill/>
      </xdr:spPr>
    </xdr:pic>
    <xdr:clientData fLocksWithSheet="0"/>
  </xdr:oneCellAnchor>
  <xdr:oneCellAnchor>
    <xdr:from>
      <xdr:col>0</xdr:col>
      <xdr:colOff>0</xdr:colOff>
      <xdr:row>200</xdr:row>
      <xdr:rowOff>0</xdr:rowOff>
    </xdr:from>
    <xdr:ext cx="333375" cy="333375"/>
    <xdr:pic>
      <xdr:nvPicPr>
        <xdr:cNvPr id="0" name="image432.png"/>
        <xdr:cNvPicPr preferRelativeResize="0"/>
      </xdr:nvPicPr>
      <xdr:blipFill>
        <a:blip cstate="print" r:embed="rId100"/>
        <a:stretch>
          <a:fillRect/>
        </a:stretch>
      </xdr:blipFill>
      <xdr:spPr>
        <a:prstGeom prst="rect">
          <a:avLst/>
        </a:prstGeom>
        <a:noFill/>
      </xdr:spPr>
    </xdr:pic>
    <xdr:clientData fLocksWithSheet="0"/>
  </xdr:oneCellAnchor>
  <xdr:oneCellAnchor>
    <xdr:from>
      <xdr:col>0</xdr:col>
      <xdr:colOff>0</xdr:colOff>
      <xdr:row>201</xdr:row>
      <xdr:rowOff>0</xdr:rowOff>
    </xdr:from>
    <xdr:ext cx="333375" cy="333375"/>
    <xdr:pic>
      <xdr:nvPicPr>
        <xdr:cNvPr id="0" name="image432.png"/>
        <xdr:cNvPicPr preferRelativeResize="0"/>
      </xdr:nvPicPr>
      <xdr:blipFill>
        <a:blip cstate="print" r:embed="rId100"/>
        <a:stretch>
          <a:fillRect/>
        </a:stretch>
      </xdr:blipFill>
      <xdr:spPr>
        <a:prstGeom prst="rect">
          <a:avLst/>
        </a:prstGeom>
        <a:noFill/>
      </xdr:spPr>
    </xdr:pic>
    <xdr:clientData fLocksWithSheet="0"/>
  </xdr:oneCellAnchor>
  <xdr:oneCellAnchor>
    <xdr:from>
      <xdr:col>0</xdr:col>
      <xdr:colOff>0</xdr:colOff>
      <xdr:row>202</xdr:row>
      <xdr:rowOff>0</xdr:rowOff>
    </xdr:from>
    <xdr:ext cx="333375" cy="333375"/>
    <xdr:pic>
      <xdr:nvPicPr>
        <xdr:cNvPr id="0" name="image432.png"/>
        <xdr:cNvPicPr preferRelativeResize="0"/>
      </xdr:nvPicPr>
      <xdr:blipFill>
        <a:blip cstate="print" r:embed="rId100"/>
        <a:stretch>
          <a:fillRect/>
        </a:stretch>
      </xdr:blipFill>
      <xdr:spPr>
        <a:prstGeom prst="rect">
          <a:avLst/>
        </a:prstGeom>
        <a:noFill/>
      </xdr:spPr>
    </xdr:pic>
    <xdr:clientData fLocksWithSheet="0"/>
  </xdr:oneCellAnchor>
  <xdr:oneCellAnchor>
    <xdr:from>
      <xdr:col>0</xdr:col>
      <xdr:colOff>0</xdr:colOff>
      <xdr:row>203</xdr:row>
      <xdr:rowOff>0</xdr:rowOff>
    </xdr:from>
    <xdr:ext cx="333375" cy="333375"/>
    <xdr:pic>
      <xdr:nvPicPr>
        <xdr:cNvPr id="0" name="image432.png"/>
        <xdr:cNvPicPr preferRelativeResize="0"/>
      </xdr:nvPicPr>
      <xdr:blipFill>
        <a:blip cstate="print" r:embed="rId100"/>
        <a:stretch>
          <a:fillRect/>
        </a:stretch>
      </xdr:blipFill>
      <xdr:spPr>
        <a:prstGeom prst="rect">
          <a:avLst/>
        </a:prstGeom>
        <a:noFill/>
      </xdr:spPr>
    </xdr:pic>
    <xdr:clientData fLocksWithSheet="0"/>
  </xdr:oneCellAnchor>
  <xdr:oneCellAnchor>
    <xdr:from>
      <xdr:col>0</xdr:col>
      <xdr:colOff>0</xdr:colOff>
      <xdr:row>204</xdr:row>
      <xdr:rowOff>0</xdr:rowOff>
    </xdr:from>
    <xdr:ext cx="333375" cy="333375"/>
    <xdr:pic>
      <xdr:nvPicPr>
        <xdr:cNvPr id="0" name="image456.png"/>
        <xdr:cNvPicPr preferRelativeResize="0"/>
      </xdr:nvPicPr>
      <xdr:blipFill>
        <a:blip cstate="print" r:embed="rId101"/>
        <a:stretch>
          <a:fillRect/>
        </a:stretch>
      </xdr:blipFill>
      <xdr:spPr>
        <a:prstGeom prst="rect">
          <a:avLst/>
        </a:prstGeom>
        <a:noFill/>
      </xdr:spPr>
    </xdr:pic>
    <xdr:clientData fLocksWithSheet="0"/>
  </xdr:oneCellAnchor>
  <xdr:oneCellAnchor>
    <xdr:from>
      <xdr:col>0</xdr:col>
      <xdr:colOff>0</xdr:colOff>
      <xdr:row>205</xdr:row>
      <xdr:rowOff>0</xdr:rowOff>
    </xdr:from>
    <xdr:ext cx="333375" cy="333375"/>
    <xdr:pic>
      <xdr:nvPicPr>
        <xdr:cNvPr id="0" name="image456.png"/>
        <xdr:cNvPicPr preferRelativeResize="0"/>
      </xdr:nvPicPr>
      <xdr:blipFill>
        <a:blip cstate="print" r:embed="rId101"/>
        <a:stretch>
          <a:fillRect/>
        </a:stretch>
      </xdr:blipFill>
      <xdr:spPr>
        <a:prstGeom prst="rect">
          <a:avLst/>
        </a:prstGeom>
        <a:noFill/>
      </xdr:spPr>
    </xdr:pic>
    <xdr:clientData fLocksWithSheet="0"/>
  </xdr:oneCellAnchor>
  <xdr:oneCellAnchor>
    <xdr:from>
      <xdr:col>0</xdr:col>
      <xdr:colOff>0</xdr:colOff>
      <xdr:row>206</xdr:row>
      <xdr:rowOff>0</xdr:rowOff>
    </xdr:from>
    <xdr:ext cx="333375" cy="333375"/>
    <xdr:pic>
      <xdr:nvPicPr>
        <xdr:cNvPr id="0" name="image456.png"/>
        <xdr:cNvPicPr preferRelativeResize="0"/>
      </xdr:nvPicPr>
      <xdr:blipFill>
        <a:blip cstate="print" r:embed="rId101"/>
        <a:stretch>
          <a:fillRect/>
        </a:stretch>
      </xdr:blipFill>
      <xdr:spPr>
        <a:prstGeom prst="rect">
          <a:avLst/>
        </a:prstGeom>
        <a:noFill/>
      </xdr:spPr>
    </xdr:pic>
    <xdr:clientData fLocksWithSheet="0"/>
  </xdr:oneCellAnchor>
  <xdr:oneCellAnchor>
    <xdr:from>
      <xdr:col>0</xdr:col>
      <xdr:colOff>0</xdr:colOff>
      <xdr:row>207</xdr:row>
      <xdr:rowOff>0</xdr:rowOff>
    </xdr:from>
    <xdr:ext cx="333375" cy="333375"/>
    <xdr:pic>
      <xdr:nvPicPr>
        <xdr:cNvPr id="0" name="image456.png"/>
        <xdr:cNvPicPr preferRelativeResize="0"/>
      </xdr:nvPicPr>
      <xdr:blipFill>
        <a:blip cstate="print" r:embed="rId10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381000" cy="381000"/>
    <xdr:pic>
      <xdr:nvPicPr>
        <xdr:cNvPr id="0" name="image407.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381000" cy="381000"/>
    <xdr:pic>
      <xdr:nvPicPr>
        <xdr:cNvPr id="0" name="image44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xdr:row>
      <xdr:rowOff>0</xdr:rowOff>
    </xdr:from>
    <xdr:ext cx="381000" cy="381000"/>
    <xdr:pic>
      <xdr:nvPicPr>
        <xdr:cNvPr id="0" name="image360.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0</xdr:rowOff>
    </xdr:from>
    <xdr:ext cx="381000" cy="381000"/>
    <xdr:pic>
      <xdr:nvPicPr>
        <xdr:cNvPr id="0" name="image344.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xdr:row>
      <xdr:rowOff>0</xdr:rowOff>
    </xdr:from>
    <xdr:ext cx="381000" cy="381000"/>
    <xdr:pic>
      <xdr:nvPicPr>
        <xdr:cNvPr id="0" name="image592.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xdr:row>
      <xdr:rowOff>0</xdr:rowOff>
    </xdr:from>
    <xdr:ext cx="381000" cy="381000"/>
    <xdr:pic>
      <xdr:nvPicPr>
        <xdr:cNvPr id="0" name="image412.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xdr:row>
      <xdr:rowOff>0</xdr:rowOff>
    </xdr:from>
    <xdr:ext cx="381000" cy="381000"/>
    <xdr:pic>
      <xdr:nvPicPr>
        <xdr:cNvPr id="0" name="image146.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xdr:row>
      <xdr:rowOff>0</xdr:rowOff>
    </xdr:from>
    <xdr:ext cx="381000" cy="381000"/>
    <xdr:pic>
      <xdr:nvPicPr>
        <xdr:cNvPr id="0" name="image374.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9</xdr:row>
      <xdr:rowOff>0</xdr:rowOff>
    </xdr:from>
    <xdr:ext cx="381000" cy="381000"/>
    <xdr:pic>
      <xdr:nvPicPr>
        <xdr:cNvPr id="0" name="image363.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10</xdr:row>
      <xdr:rowOff>0</xdr:rowOff>
    </xdr:from>
    <xdr:ext cx="381000" cy="381000"/>
    <xdr:pic>
      <xdr:nvPicPr>
        <xdr:cNvPr id="0" name="image428.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11</xdr:row>
      <xdr:rowOff>0</xdr:rowOff>
    </xdr:from>
    <xdr:ext cx="381000" cy="381000"/>
    <xdr:pic>
      <xdr:nvPicPr>
        <xdr:cNvPr id="0" name="image349.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12</xdr:row>
      <xdr:rowOff>0</xdr:rowOff>
    </xdr:from>
    <xdr:ext cx="381000" cy="381000"/>
    <xdr:pic>
      <xdr:nvPicPr>
        <xdr:cNvPr id="0" name="image157.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13</xdr:row>
      <xdr:rowOff>0</xdr:rowOff>
    </xdr:from>
    <xdr:ext cx="381000" cy="381000"/>
    <xdr:pic>
      <xdr:nvPicPr>
        <xdr:cNvPr id="0" name="image161.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14</xdr:row>
      <xdr:rowOff>0</xdr:rowOff>
    </xdr:from>
    <xdr:ext cx="381000" cy="381000"/>
    <xdr:pic>
      <xdr:nvPicPr>
        <xdr:cNvPr id="0" name="image215.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15</xdr:row>
      <xdr:rowOff>0</xdr:rowOff>
    </xdr:from>
    <xdr:ext cx="381000" cy="381000"/>
    <xdr:pic>
      <xdr:nvPicPr>
        <xdr:cNvPr id="0" name="image334.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16</xdr:row>
      <xdr:rowOff>0</xdr:rowOff>
    </xdr:from>
    <xdr:ext cx="371475" cy="381000"/>
    <xdr:pic>
      <xdr:nvPicPr>
        <xdr:cNvPr id="0" name="image424.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17</xdr:row>
      <xdr:rowOff>0</xdr:rowOff>
    </xdr:from>
    <xdr:ext cx="371475" cy="381000"/>
    <xdr:pic>
      <xdr:nvPicPr>
        <xdr:cNvPr id="0" name="image415.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18</xdr:row>
      <xdr:rowOff>0</xdr:rowOff>
    </xdr:from>
    <xdr:ext cx="381000" cy="381000"/>
    <xdr:pic>
      <xdr:nvPicPr>
        <xdr:cNvPr id="0" name="image246.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19</xdr:row>
      <xdr:rowOff>0</xdr:rowOff>
    </xdr:from>
    <xdr:ext cx="381000" cy="381000"/>
    <xdr:pic>
      <xdr:nvPicPr>
        <xdr:cNvPr id="0" name="image150.jp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20</xdr:row>
      <xdr:rowOff>0</xdr:rowOff>
    </xdr:from>
    <xdr:ext cx="371475" cy="381000"/>
    <xdr:pic>
      <xdr:nvPicPr>
        <xdr:cNvPr id="0" name="image396.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21</xdr:row>
      <xdr:rowOff>0</xdr:rowOff>
    </xdr:from>
    <xdr:ext cx="381000" cy="381000"/>
    <xdr:pic>
      <xdr:nvPicPr>
        <xdr:cNvPr id="0" name="image422.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22</xdr:row>
      <xdr:rowOff>0</xdr:rowOff>
    </xdr:from>
    <xdr:ext cx="381000" cy="381000"/>
    <xdr:pic>
      <xdr:nvPicPr>
        <xdr:cNvPr id="0" name="image286.jp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23</xdr:row>
      <xdr:rowOff>0</xdr:rowOff>
    </xdr:from>
    <xdr:ext cx="381000" cy="381000"/>
    <xdr:pic>
      <xdr:nvPicPr>
        <xdr:cNvPr id="0" name="image366.pn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24</xdr:row>
      <xdr:rowOff>0</xdr:rowOff>
    </xdr:from>
    <xdr:ext cx="381000" cy="381000"/>
    <xdr:pic>
      <xdr:nvPicPr>
        <xdr:cNvPr id="0" name="image211.jp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25</xdr:row>
      <xdr:rowOff>0</xdr:rowOff>
    </xdr:from>
    <xdr:ext cx="381000" cy="381000"/>
    <xdr:pic>
      <xdr:nvPicPr>
        <xdr:cNvPr id="0" name="image456.pn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26</xdr:row>
      <xdr:rowOff>0</xdr:rowOff>
    </xdr:from>
    <xdr:ext cx="381000" cy="381000"/>
    <xdr:pic>
      <xdr:nvPicPr>
        <xdr:cNvPr id="0" name="image126.jp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27</xdr:row>
      <xdr:rowOff>0</xdr:rowOff>
    </xdr:from>
    <xdr:ext cx="381000" cy="381000"/>
    <xdr:pic>
      <xdr:nvPicPr>
        <xdr:cNvPr id="0" name="image307.pn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28</xdr:row>
      <xdr:rowOff>0</xdr:rowOff>
    </xdr:from>
    <xdr:ext cx="371475" cy="381000"/>
    <xdr:pic>
      <xdr:nvPicPr>
        <xdr:cNvPr id="0" name="image338.pn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29</xdr:row>
      <xdr:rowOff>0</xdr:rowOff>
    </xdr:from>
    <xdr:ext cx="381000" cy="381000"/>
    <xdr:pic>
      <xdr:nvPicPr>
        <xdr:cNvPr id="0" name="image470.jp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30</xdr:row>
      <xdr:rowOff>0</xdr:rowOff>
    </xdr:from>
    <xdr:ext cx="381000" cy="381000"/>
    <xdr:pic>
      <xdr:nvPicPr>
        <xdr:cNvPr id="0" name="image306.jp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31</xdr:row>
      <xdr:rowOff>0</xdr:rowOff>
    </xdr:from>
    <xdr:ext cx="381000" cy="381000"/>
    <xdr:pic>
      <xdr:nvPicPr>
        <xdr:cNvPr id="0" name="image349.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32</xdr:row>
      <xdr:rowOff>0</xdr:rowOff>
    </xdr:from>
    <xdr:ext cx="381000" cy="381000"/>
    <xdr:pic>
      <xdr:nvPicPr>
        <xdr:cNvPr id="0" name="image345.pn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33</xdr:row>
      <xdr:rowOff>0</xdr:rowOff>
    </xdr:from>
    <xdr:ext cx="381000" cy="381000"/>
    <xdr:pic>
      <xdr:nvPicPr>
        <xdr:cNvPr id="0" name="image379.pn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34</xdr:row>
      <xdr:rowOff>0</xdr:rowOff>
    </xdr:from>
    <xdr:ext cx="381000" cy="381000"/>
    <xdr:pic>
      <xdr:nvPicPr>
        <xdr:cNvPr id="0" name="image435.jp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35</xdr:row>
      <xdr:rowOff>0</xdr:rowOff>
    </xdr:from>
    <xdr:ext cx="371475" cy="381000"/>
    <xdr:pic>
      <xdr:nvPicPr>
        <xdr:cNvPr id="0" name="image354.pn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36</xdr:row>
      <xdr:rowOff>0</xdr:rowOff>
    </xdr:from>
    <xdr:ext cx="371475" cy="381000"/>
    <xdr:pic>
      <xdr:nvPicPr>
        <xdr:cNvPr id="0" name="image434.pn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37</xdr:row>
      <xdr:rowOff>0</xdr:rowOff>
    </xdr:from>
    <xdr:ext cx="381000" cy="381000"/>
    <xdr:pic>
      <xdr:nvPicPr>
        <xdr:cNvPr id="0" name="image228.jp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38</xdr:row>
      <xdr:rowOff>0</xdr:rowOff>
    </xdr:from>
    <xdr:ext cx="381000" cy="381000"/>
    <xdr:pic>
      <xdr:nvPicPr>
        <xdr:cNvPr id="0" name="image337.pn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39</xdr:row>
      <xdr:rowOff>0</xdr:rowOff>
    </xdr:from>
    <xdr:ext cx="371475" cy="381000"/>
    <xdr:pic>
      <xdr:nvPicPr>
        <xdr:cNvPr id="0" name="image406.pn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40</xdr:row>
      <xdr:rowOff>0</xdr:rowOff>
    </xdr:from>
    <xdr:ext cx="381000" cy="381000"/>
    <xdr:pic>
      <xdr:nvPicPr>
        <xdr:cNvPr id="0" name="image438.pn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41</xdr:row>
      <xdr:rowOff>0</xdr:rowOff>
    </xdr:from>
    <xdr:ext cx="381000" cy="381000"/>
    <xdr:pic>
      <xdr:nvPicPr>
        <xdr:cNvPr id="0" name="image348.pn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42</xdr:row>
      <xdr:rowOff>0</xdr:rowOff>
    </xdr:from>
    <xdr:ext cx="381000" cy="381000"/>
    <xdr:pic>
      <xdr:nvPicPr>
        <xdr:cNvPr id="0" name="image168.jp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43</xdr:row>
      <xdr:rowOff>0</xdr:rowOff>
    </xdr:from>
    <xdr:ext cx="381000" cy="381000"/>
    <xdr:pic>
      <xdr:nvPicPr>
        <xdr:cNvPr id="0" name="image403.jp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44</xdr:row>
      <xdr:rowOff>0</xdr:rowOff>
    </xdr:from>
    <xdr:ext cx="381000" cy="381000"/>
    <xdr:pic>
      <xdr:nvPicPr>
        <xdr:cNvPr id="0" name="image390.pn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45</xdr:row>
      <xdr:rowOff>0</xdr:rowOff>
    </xdr:from>
    <xdr:ext cx="381000" cy="381000"/>
    <xdr:pic>
      <xdr:nvPicPr>
        <xdr:cNvPr id="0" name="image444.jpg"/>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46</xdr:row>
      <xdr:rowOff>0</xdr:rowOff>
    </xdr:from>
    <xdr:ext cx="381000" cy="381000"/>
    <xdr:pic>
      <xdr:nvPicPr>
        <xdr:cNvPr id="0" name="image419.png"/>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0</xdr:colOff>
      <xdr:row>47</xdr:row>
      <xdr:rowOff>0</xdr:rowOff>
    </xdr:from>
    <xdr:ext cx="371475" cy="381000"/>
    <xdr:pic>
      <xdr:nvPicPr>
        <xdr:cNvPr id="0" name="image416.png"/>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0</xdr:colOff>
      <xdr:row>48</xdr:row>
      <xdr:rowOff>0</xdr:rowOff>
    </xdr:from>
    <xdr:ext cx="381000" cy="381000"/>
    <xdr:pic>
      <xdr:nvPicPr>
        <xdr:cNvPr id="0" name="image141.jp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49</xdr:row>
      <xdr:rowOff>0</xdr:rowOff>
    </xdr:from>
    <xdr:ext cx="381000" cy="381000"/>
    <xdr:pic>
      <xdr:nvPicPr>
        <xdr:cNvPr id="0" name="image108.jpg"/>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50</xdr:row>
      <xdr:rowOff>0</xdr:rowOff>
    </xdr:from>
    <xdr:ext cx="381000" cy="381000"/>
    <xdr:pic>
      <xdr:nvPicPr>
        <xdr:cNvPr id="0" name="image400.png"/>
        <xdr:cNvPicPr preferRelativeResize="0"/>
      </xdr:nvPicPr>
      <xdr:blipFill>
        <a:blip cstate="print" r:embed="rId49"/>
        <a:stretch>
          <a:fillRect/>
        </a:stretch>
      </xdr:blipFill>
      <xdr:spPr>
        <a:prstGeom prst="rect">
          <a:avLst/>
        </a:prstGeom>
        <a:noFill/>
      </xdr:spPr>
    </xdr:pic>
    <xdr:clientData fLocksWithSheet="0"/>
  </xdr:oneCellAnchor>
  <xdr:oneCellAnchor>
    <xdr:from>
      <xdr:col>0</xdr:col>
      <xdr:colOff>0</xdr:colOff>
      <xdr:row>51</xdr:row>
      <xdr:rowOff>0</xdr:rowOff>
    </xdr:from>
    <xdr:ext cx="381000" cy="381000"/>
    <xdr:pic>
      <xdr:nvPicPr>
        <xdr:cNvPr id="0" name="image432.png"/>
        <xdr:cNvPicPr preferRelativeResize="0"/>
      </xdr:nvPicPr>
      <xdr:blipFill>
        <a:blip cstate="print" r:embed="rId50"/>
        <a:stretch>
          <a:fillRect/>
        </a:stretch>
      </xdr:blipFill>
      <xdr:spPr>
        <a:prstGeom prst="rect">
          <a:avLst/>
        </a:prstGeom>
        <a:noFill/>
      </xdr:spPr>
    </xdr:pic>
    <xdr:clientData fLocksWithSheet="0"/>
  </xdr:oneCellAnchor>
  <xdr:oneCellAnchor>
    <xdr:from>
      <xdr:col>0</xdr:col>
      <xdr:colOff>0</xdr:colOff>
      <xdr:row>52</xdr:row>
      <xdr:rowOff>0</xdr:rowOff>
    </xdr:from>
    <xdr:ext cx="381000" cy="381000"/>
    <xdr:pic>
      <xdr:nvPicPr>
        <xdr:cNvPr id="0" name="image376.png"/>
        <xdr:cNvPicPr preferRelativeResize="0"/>
      </xdr:nvPicPr>
      <xdr:blipFill>
        <a:blip cstate="print" r:embed="rId51"/>
        <a:stretch>
          <a:fillRect/>
        </a:stretch>
      </xdr:blipFill>
      <xdr:spPr>
        <a:prstGeom prst="rect">
          <a:avLst/>
        </a:prstGeom>
        <a:noFill/>
      </xdr:spPr>
    </xdr:pic>
    <xdr:clientData fLocksWithSheet="0"/>
  </xdr:oneCellAnchor>
  <xdr:oneCellAnchor>
    <xdr:from>
      <xdr:col>0</xdr:col>
      <xdr:colOff>0</xdr:colOff>
      <xdr:row>53</xdr:row>
      <xdr:rowOff>0</xdr:rowOff>
    </xdr:from>
    <xdr:ext cx="381000" cy="381000"/>
    <xdr:pic>
      <xdr:nvPicPr>
        <xdr:cNvPr id="0" name="image285.jpg"/>
        <xdr:cNvPicPr preferRelativeResize="0"/>
      </xdr:nvPicPr>
      <xdr:blipFill>
        <a:blip cstate="print" r:embed="rId52"/>
        <a:stretch>
          <a:fillRect/>
        </a:stretch>
      </xdr:blipFill>
      <xdr:spPr>
        <a:prstGeom prst="rect">
          <a:avLst/>
        </a:prstGeom>
        <a:noFill/>
      </xdr:spPr>
    </xdr:pic>
    <xdr:clientData fLocksWithSheet="0"/>
  </xdr:oneCellAnchor>
  <xdr:oneCellAnchor>
    <xdr:from>
      <xdr:col>0</xdr:col>
      <xdr:colOff>0</xdr:colOff>
      <xdr:row>54</xdr:row>
      <xdr:rowOff>0</xdr:rowOff>
    </xdr:from>
    <xdr:ext cx="381000" cy="381000"/>
    <xdr:pic>
      <xdr:nvPicPr>
        <xdr:cNvPr id="0" name="image414.png"/>
        <xdr:cNvPicPr preferRelativeResize="0"/>
      </xdr:nvPicPr>
      <xdr:blipFill>
        <a:blip cstate="print" r:embed="rId53"/>
        <a:stretch>
          <a:fillRect/>
        </a:stretch>
      </xdr:blipFill>
      <xdr:spPr>
        <a:prstGeom prst="rect">
          <a:avLst/>
        </a:prstGeom>
        <a:noFill/>
      </xdr:spPr>
    </xdr:pic>
    <xdr:clientData fLocksWithSheet="0"/>
  </xdr:oneCellAnchor>
  <xdr:oneCellAnchor>
    <xdr:from>
      <xdr:col>0</xdr:col>
      <xdr:colOff>0</xdr:colOff>
      <xdr:row>55</xdr:row>
      <xdr:rowOff>0</xdr:rowOff>
    </xdr:from>
    <xdr:ext cx="381000" cy="381000"/>
    <xdr:pic>
      <xdr:nvPicPr>
        <xdr:cNvPr id="0" name="image376.png"/>
        <xdr:cNvPicPr preferRelativeResize="0"/>
      </xdr:nvPicPr>
      <xdr:blipFill>
        <a:blip cstate="print" r:embed="rId51"/>
        <a:stretch>
          <a:fillRect/>
        </a:stretch>
      </xdr:blipFill>
      <xdr:spPr>
        <a:prstGeom prst="rect">
          <a:avLst/>
        </a:prstGeom>
        <a:noFill/>
      </xdr:spPr>
    </xdr:pic>
    <xdr:clientData fLocksWithSheet="0"/>
  </xdr:oneCellAnchor>
  <xdr:oneCellAnchor>
    <xdr:from>
      <xdr:col>0</xdr:col>
      <xdr:colOff>0</xdr:colOff>
      <xdr:row>56</xdr:row>
      <xdr:rowOff>0</xdr:rowOff>
    </xdr:from>
    <xdr:ext cx="381000" cy="381000"/>
    <xdr:pic>
      <xdr:nvPicPr>
        <xdr:cNvPr id="0" name="image206.jpg"/>
        <xdr:cNvPicPr preferRelativeResize="0"/>
      </xdr:nvPicPr>
      <xdr:blipFill>
        <a:blip cstate="print" r:embed="rId54"/>
        <a:stretch>
          <a:fillRect/>
        </a:stretch>
      </xdr:blipFill>
      <xdr:spPr>
        <a:prstGeom prst="rect">
          <a:avLst/>
        </a:prstGeom>
        <a:noFill/>
      </xdr:spPr>
    </xdr:pic>
    <xdr:clientData fLocksWithSheet="0"/>
  </xdr:oneCellAnchor>
  <xdr:oneCellAnchor>
    <xdr:from>
      <xdr:col>0</xdr:col>
      <xdr:colOff>0</xdr:colOff>
      <xdr:row>57</xdr:row>
      <xdr:rowOff>0</xdr:rowOff>
    </xdr:from>
    <xdr:ext cx="381000" cy="381000"/>
    <xdr:pic>
      <xdr:nvPicPr>
        <xdr:cNvPr id="0" name="image491.png"/>
        <xdr:cNvPicPr preferRelativeResize="0"/>
      </xdr:nvPicPr>
      <xdr:blipFill>
        <a:blip cstate="print" r:embed="rId5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190500" cy="190500"/>
    <xdr:pic>
      <xdr:nvPicPr>
        <xdr:cNvPr id="0" name="image44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190500" cy="190500"/>
    <xdr:pic>
      <xdr:nvPicPr>
        <xdr:cNvPr id="0" name="image449.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xdr:row>
      <xdr:rowOff>0</xdr:rowOff>
    </xdr:from>
    <xdr:ext cx="190500" cy="190500"/>
    <xdr:pic>
      <xdr:nvPicPr>
        <xdr:cNvPr id="0" name="image447.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xdr:row>
      <xdr:rowOff>0</xdr:rowOff>
    </xdr:from>
    <xdr:ext cx="342900" cy="114300"/>
    <xdr:pic>
      <xdr:nvPicPr>
        <xdr:cNvPr id="0" name="image437.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xdr:row>
      <xdr:rowOff>0</xdr:rowOff>
    </xdr:from>
    <xdr:ext cx="180975" cy="190500"/>
    <xdr:pic>
      <xdr:nvPicPr>
        <xdr:cNvPr id="0" name="image502.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3</xdr:row>
      <xdr:rowOff>0</xdr:rowOff>
    </xdr:from>
    <xdr:ext cx="333375" cy="333375"/>
    <xdr:pic>
      <xdr:nvPicPr>
        <xdr:cNvPr id="0" name="image441.jp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3</xdr:row>
      <xdr:rowOff>0</xdr:rowOff>
    </xdr:from>
    <xdr:ext cx="333375" cy="333375"/>
    <xdr:pic>
      <xdr:nvPicPr>
        <xdr:cNvPr id="0" name="image440.jp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3</xdr:row>
      <xdr:rowOff>0</xdr:rowOff>
    </xdr:from>
    <xdr:ext cx="333375" cy="333375"/>
    <xdr:pic>
      <xdr:nvPicPr>
        <xdr:cNvPr id="0" name="image436.jp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3</xdr:row>
      <xdr:rowOff>0</xdr:rowOff>
    </xdr:from>
    <xdr:ext cx="333375" cy="333375"/>
    <xdr:pic>
      <xdr:nvPicPr>
        <xdr:cNvPr id="0" name="image445.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4</xdr:row>
      <xdr:rowOff>0</xdr:rowOff>
    </xdr:from>
    <xdr:ext cx="333375" cy="333375"/>
    <xdr:pic>
      <xdr:nvPicPr>
        <xdr:cNvPr id="0" name="image439.jp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4</xdr:row>
      <xdr:rowOff>0</xdr:rowOff>
    </xdr:from>
    <xdr:ext cx="333375" cy="333375"/>
    <xdr:pic>
      <xdr:nvPicPr>
        <xdr:cNvPr id="0" name="image440.jp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4</xdr:row>
      <xdr:rowOff>0</xdr:rowOff>
    </xdr:from>
    <xdr:ext cx="333375" cy="333375"/>
    <xdr:pic>
      <xdr:nvPicPr>
        <xdr:cNvPr id="0" name="image436.jp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4</xdr:row>
      <xdr:rowOff>0</xdr:rowOff>
    </xdr:from>
    <xdr:ext cx="333375" cy="333375"/>
    <xdr:pic>
      <xdr:nvPicPr>
        <xdr:cNvPr id="0" name="image445.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5</xdr:row>
      <xdr:rowOff>0</xdr:rowOff>
    </xdr:from>
    <xdr:ext cx="333375" cy="333375"/>
    <xdr:pic>
      <xdr:nvPicPr>
        <xdr:cNvPr id="0" name="image441.jp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5</xdr:row>
      <xdr:rowOff>0</xdr:rowOff>
    </xdr:from>
    <xdr:ext cx="333375" cy="333375"/>
    <xdr:pic>
      <xdr:nvPicPr>
        <xdr:cNvPr id="0" name="image440.jp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5</xdr:row>
      <xdr:rowOff>0</xdr:rowOff>
    </xdr:from>
    <xdr:ext cx="333375" cy="333375"/>
    <xdr:pic>
      <xdr:nvPicPr>
        <xdr:cNvPr id="0" name="image446.jp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5</xdr:row>
      <xdr:rowOff>0</xdr:rowOff>
    </xdr:from>
    <xdr:ext cx="333375" cy="333375"/>
    <xdr:pic>
      <xdr:nvPicPr>
        <xdr:cNvPr id="0" name="image445.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6</xdr:row>
      <xdr:rowOff>0</xdr:rowOff>
    </xdr:from>
    <xdr:ext cx="333375" cy="333375"/>
    <xdr:pic>
      <xdr:nvPicPr>
        <xdr:cNvPr id="0" name="image441.jp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6</xdr:row>
      <xdr:rowOff>0</xdr:rowOff>
    </xdr:from>
    <xdr:ext cx="333375" cy="333375"/>
    <xdr:pic>
      <xdr:nvPicPr>
        <xdr:cNvPr id="0" name="image440.jp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6</xdr:row>
      <xdr:rowOff>0</xdr:rowOff>
    </xdr:from>
    <xdr:ext cx="333375" cy="333375"/>
    <xdr:pic>
      <xdr:nvPicPr>
        <xdr:cNvPr id="0" name="image452.jpg"/>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0</xdr:colOff>
      <xdr:row>6</xdr:row>
      <xdr:rowOff>0</xdr:rowOff>
    </xdr:from>
    <xdr:ext cx="333375" cy="333375"/>
    <xdr:pic>
      <xdr:nvPicPr>
        <xdr:cNvPr id="0" name="image457.jp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7</xdr:row>
      <xdr:rowOff>0</xdr:rowOff>
    </xdr:from>
    <xdr:ext cx="333375" cy="333375"/>
    <xdr:pic>
      <xdr:nvPicPr>
        <xdr:cNvPr id="0" name="image441.jp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7</xdr:row>
      <xdr:rowOff>0</xdr:rowOff>
    </xdr:from>
    <xdr:ext cx="333375" cy="333375"/>
    <xdr:pic>
      <xdr:nvPicPr>
        <xdr:cNvPr id="0" name="image459.jp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7</xdr:row>
      <xdr:rowOff>0</xdr:rowOff>
    </xdr:from>
    <xdr:ext cx="333375" cy="333375"/>
    <xdr:pic>
      <xdr:nvPicPr>
        <xdr:cNvPr id="0" name="image453.jp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7</xdr:row>
      <xdr:rowOff>0</xdr:rowOff>
    </xdr:from>
    <xdr:ext cx="333375" cy="333375"/>
    <xdr:pic>
      <xdr:nvPicPr>
        <xdr:cNvPr id="0" name="image451.jp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8</xdr:row>
      <xdr:rowOff>0</xdr:rowOff>
    </xdr:from>
    <xdr:ext cx="333375" cy="333375"/>
    <xdr:pic>
      <xdr:nvPicPr>
        <xdr:cNvPr id="0" name="image466.jp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8</xdr:row>
      <xdr:rowOff>0</xdr:rowOff>
    </xdr:from>
    <xdr:ext cx="333375" cy="333375"/>
    <xdr:pic>
      <xdr:nvPicPr>
        <xdr:cNvPr id="0" name="image454.jp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8</xdr:row>
      <xdr:rowOff>0</xdr:rowOff>
    </xdr:from>
    <xdr:ext cx="333375" cy="333375"/>
    <xdr:pic>
      <xdr:nvPicPr>
        <xdr:cNvPr id="0" name="image448.jp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8</xdr:row>
      <xdr:rowOff>0</xdr:rowOff>
    </xdr:from>
    <xdr:ext cx="333375" cy="333375"/>
    <xdr:pic>
      <xdr:nvPicPr>
        <xdr:cNvPr id="0" name="image445.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9</xdr:row>
      <xdr:rowOff>0</xdr:rowOff>
    </xdr:from>
    <xdr:ext cx="333375" cy="333375"/>
    <xdr:pic>
      <xdr:nvPicPr>
        <xdr:cNvPr id="0" name="image466.jp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9</xdr:row>
      <xdr:rowOff>0</xdr:rowOff>
    </xdr:from>
    <xdr:ext cx="333375" cy="333375"/>
    <xdr:pic>
      <xdr:nvPicPr>
        <xdr:cNvPr id="0" name="image454.jp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9</xdr:row>
      <xdr:rowOff>0</xdr:rowOff>
    </xdr:from>
    <xdr:ext cx="333375" cy="333375"/>
    <xdr:pic>
      <xdr:nvPicPr>
        <xdr:cNvPr id="0" name="image448.jp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9</xdr:row>
      <xdr:rowOff>0</xdr:rowOff>
    </xdr:from>
    <xdr:ext cx="333375" cy="333375"/>
    <xdr:pic>
      <xdr:nvPicPr>
        <xdr:cNvPr id="0" name="image445.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10</xdr:row>
      <xdr:rowOff>0</xdr:rowOff>
    </xdr:from>
    <xdr:ext cx="333375" cy="333375"/>
    <xdr:pic>
      <xdr:nvPicPr>
        <xdr:cNvPr id="0" name="image466.jp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10</xdr:row>
      <xdr:rowOff>0</xdr:rowOff>
    </xdr:from>
    <xdr:ext cx="333375" cy="333375"/>
    <xdr:pic>
      <xdr:nvPicPr>
        <xdr:cNvPr id="0" name="image454.jp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10</xdr:row>
      <xdr:rowOff>0</xdr:rowOff>
    </xdr:from>
    <xdr:ext cx="333375" cy="333375"/>
    <xdr:pic>
      <xdr:nvPicPr>
        <xdr:cNvPr id="0" name="image448.jp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10</xdr:row>
      <xdr:rowOff>0</xdr:rowOff>
    </xdr:from>
    <xdr:ext cx="333375" cy="333375"/>
    <xdr:pic>
      <xdr:nvPicPr>
        <xdr:cNvPr id="0" name="image445.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11</xdr:row>
      <xdr:rowOff>0</xdr:rowOff>
    </xdr:from>
    <xdr:ext cx="333375" cy="333375"/>
    <xdr:pic>
      <xdr:nvPicPr>
        <xdr:cNvPr id="0" name="image466.jp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11</xdr:row>
      <xdr:rowOff>0</xdr:rowOff>
    </xdr:from>
    <xdr:ext cx="333375" cy="333375"/>
    <xdr:pic>
      <xdr:nvPicPr>
        <xdr:cNvPr id="0" name="image454.jp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11</xdr:row>
      <xdr:rowOff>0</xdr:rowOff>
    </xdr:from>
    <xdr:ext cx="333375" cy="333375"/>
    <xdr:pic>
      <xdr:nvPicPr>
        <xdr:cNvPr id="0" name="image448.jp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11</xdr:row>
      <xdr:rowOff>0</xdr:rowOff>
    </xdr:from>
    <xdr:ext cx="333375" cy="333375"/>
    <xdr:pic>
      <xdr:nvPicPr>
        <xdr:cNvPr id="0" name="image445.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12</xdr:row>
      <xdr:rowOff>0</xdr:rowOff>
    </xdr:from>
    <xdr:ext cx="333375" cy="333375"/>
    <xdr:pic>
      <xdr:nvPicPr>
        <xdr:cNvPr id="0" name="image455.jp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12</xdr:row>
      <xdr:rowOff>0</xdr:rowOff>
    </xdr:from>
    <xdr:ext cx="333375" cy="333375"/>
    <xdr:pic>
      <xdr:nvPicPr>
        <xdr:cNvPr id="0" name="image461.jp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12</xdr:row>
      <xdr:rowOff>0</xdr:rowOff>
    </xdr:from>
    <xdr:ext cx="333375" cy="333375"/>
    <xdr:pic>
      <xdr:nvPicPr>
        <xdr:cNvPr id="0" name="image448.jp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12</xdr:row>
      <xdr:rowOff>0</xdr:rowOff>
    </xdr:from>
    <xdr:ext cx="333375" cy="333375"/>
    <xdr:pic>
      <xdr:nvPicPr>
        <xdr:cNvPr id="0" name="image458.jp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13</xdr:row>
      <xdr:rowOff>0</xdr:rowOff>
    </xdr:from>
    <xdr:ext cx="333375" cy="333375"/>
    <xdr:pic>
      <xdr:nvPicPr>
        <xdr:cNvPr id="0" name="image441.jp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13</xdr:row>
      <xdr:rowOff>0</xdr:rowOff>
    </xdr:from>
    <xdr:ext cx="333375" cy="333375"/>
    <xdr:pic>
      <xdr:nvPicPr>
        <xdr:cNvPr id="0" name="image467.jpg"/>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0</xdr:colOff>
      <xdr:row>13</xdr:row>
      <xdr:rowOff>0</xdr:rowOff>
    </xdr:from>
    <xdr:ext cx="333375" cy="333375"/>
    <xdr:pic>
      <xdr:nvPicPr>
        <xdr:cNvPr id="0" name="image448.jp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13</xdr:row>
      <xdr:rowOff>0</xdr:rowOff>
    </xdr:from>
    <xdr:ext cx="333375" cy="333375"/>
    <xdr:pic>
      <xdr:nvPicPr>
        <xdr:cNvPr id="0" name="image504.jp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14</xdr:row>
      <xdr:rowOff>0</xdr:rowOff>
    </xdr:from>
    <xdr:ext cx="333375" cy="333375"/>
    <xdr:pic>
      <xdr:nvPicPr>
        <xdr:cNvPr id="0" name="image441.jp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14</xdr:row>
      <xdr:rowOff>0</xdr:rowOff>
    </xdr:from>
    <xdr:ext cx="333375" cy="333375"/>
    <xdr:pic>
      <xdr:nvPicPr>
        <xdr:cNvPr id="0" name="image440.jp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14</xdr:row>
      <xdr:rowOff>0</xdr:rowOff>
    </xdr:from>
    <xdr:ext cx="333375" cy="333375"/>
    <xdr:pic>
      <xdr:nvPicPr>
        <xdr:cNvPr id="0" name="image464.jpg"/>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0</xdr:colOff>
      <xdr:row>14</xdr:row>
      <xdr:rowOff>0</xdr:rowOff>
    </xdr:from>
    <xdr:ext cx="333375" cy="333375"/>
    <xdr:pic>
      <xdr:nvPicPr>
        <xdr:cNvPr id="0" name="image445.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15</xdr:row>
      <xdr:rowOff>0</xdr:rowOff>
    </xdr:from>
    <xdr:ext cx="333375" cy="333375"/>
    <xdr:pic>
      <xdr:nvPicPr>
        <xdr:cNvPr id="0" name="image441.jp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15</xdr:row>
      <xdr:rowOff>0</xdr:rowOff>
    </xdr:from>
    <xdr:ext cx="333375" cy="333375"/>
    <xdr:pic>
      <xdr:nvPicPr>
        <xdr:cNvPr id="0" name="image465.jpg"/>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0</xdr:colOff>
      <xdr:row>15</xdr:row>
      <xdr:rowOff>0</xdr:rowOff>
    </xdr:from>
    <xdr:ext cx="333375" cy="333375"/>
    <xdr:pic>
      <xdr:nvPicPr>
        <xdr:cNvPr id="0" name="image460.jpg"/>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0</xdr:colOff>
      <xdr:row>15</xdr:row>
      <xdr:rowOff>0</xdr:rowOff>
    </xdr:from>
    <xdr:ext cx="333375" cy="333375"/>
    <xdr:pic>
      <xdr:nvPicPr>
        <xdr:cNvPr id="0" name="image445.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16</xdr:row>
      <xdr:rowOff>0</xdr:rowOff>
    </xdr:from>
    <xdr:ext cx="333375" cy="333375"/>
    <xdr:pic>
      <xdr:nvPicPr>
        <xdr:cNvPr id="0" name="image462.jpg"/>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0</xdr:colOff>
      <xdr:row>16</xdr:row>
      <xdr:rowOff>0</xdr:rowOff>
    </xdr:from>
    <xdr:ext cx="333375" cy="333375"/>
    <xdr:pic>
      <xdr:nvPicPr>
        <xdr:cNvPr id="0" name="image440.jp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16</xdr:row>
      <xdr:rowOff>0</xdr:rowOff>
    </xdr:from>
    <xdr:ext cx="333375" cy="333375"/>
    <xdr:pic>
      <xdr:nvPicPr>
        <xdr:cNvPr id="0" name="image448.jp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16</xdr:row>
      <xdr:rowOff>0</xdr:rowOff>
    </xdr:from>
    <xdr:ext cx="333375" cy="333375"/>
    <xdr:pic>
      <xdr:nvPicPr>
        <xdr:cNvPr id="0" name="image445.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17</xdr:row>
      <xdr:rowOff>0</xdr:rowOff>
    </xdr:from>
    <xdr:ext cx="333375" cy="333375"/>
    <xdr:pic>
      <xdr:nvPicPr>
        <xdr:cNvPr id="0" name="image462.jpg"/>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0</xdr:colOff>
      <xdr:row>17</xdr:row>
      <xdr:rowOff>0</xdr:rowOff>
    </xdr:from>
    <xdr:ext cx="333375" cy="333375"/>
    <xdr:pic>
      <xdr:nvPicPr>
        <xdr:cNvPr id="0" name="image440.jp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17</xdr:row>
      <xdr:rowOff>0</xdr:rowOff>
    </xdr:from>
    <xdr:ext cx="333375" cy="333375"/>
    <xdr:pic>
      <xdr:nvPicPr>
        <xdr:cNvPr id="0" name="image448.jp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17</xdr:row>
      <xdr:rowOff>0</xdr:rowOff>
    </xdr:from>
    <xdr:ext cx="333375" cy="333375"/>
    <xdr:pic>
      <xdr:nvPicPr>
        <xdr:cNvPr id="0" name="image445.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18</xdr:row>
      <xdr:rowOff>0</xdr:rowOff>
    </xdr:from>
    <xdr:ext cx="333375" cy="333375"/>
    <xdr:pic>
      <xdr:nvPicPr>
        <xdr:cNvPr id="0" name="image462.jpg"/>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0</xdr:colOff>
      <xdr:row>18</xdr:row>
      <xdr:rowOff>0</xdr:rowOff>
    </xdr:from>
    <xdr:ext cx="333375" cy="333375"/>
    <xdr:pic>
      <xdr:nvPicPr>
        <xdr:cNvPr id="0" name="image440.jp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18</xdr:row>
      <xdr:rowOff>0</xdr:rowOff>
    </xdr:from>
    <xdr:ext cx="333375" cy="333375"/>
    <xdr:pic>
      <xdr:nvPicPr>
        <xdr:cNvPr id="0" name="image448.jp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18</xdr:row>
      <xdr:rowOff>0</xdr:rowOff>
    </xdr:from>
    <xdr:ext cx="333375" cy="333375"/>
    <xdr:pic>
      <xdr:nvPicPr>
        <xdr:cNvPr id="0" name="image445.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19</xdr:row>
      <xdr:rowOff>0</xdr:rowOff>
    </xdr:from>
    <xdr:ext cx="333375" cy="333375"/>
    <xdr:pic>
      <xdr:nvPicPr>
        <xdr:cNvPr id="0" name="image439.jp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19</xdr:row>
      <xdr:rowOff>0</xdr:rowOff>
    </xdr:from>
    <xdr:ext cx="333375" cy="333375"/>
    <xdr:pic>
      <xdr:nvPicPr>
        <xdr:cNvPr id="0" name="image467.jpg"/>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19</xdr:row>
      <xdr:rowOff>0</xdr:rowOff>
    </xdr:from>
    <xdr:ext cx="333375" cy="333375"/>
    <xdr:pic>
      <xdr:nvPicPr>
        <xdr:cNvPr id="0" name="image504.jpg"/>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0</xdr:rowOff>
    </xdr:from>
    <xdr:ext cx="17487900" cy="101822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476250" cy="476250"/>
    <xdr:pic>
      <xdr:nvPicPr>
        <xdr:cNvPr id="0" name="image476.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476250" cy="476250"/>
    <xdr:pic>
      <xdr:nvPicPr>
        <xdr:cNvPr id="0" name="image476.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xdr:row>
      <xdr:rowOff>0</xdr:rowOff>
    </xdr:from>
    <xdr:ext cx="476250" cy="476250"/>
    <xdr:pic>
      <xdr:nvPicPr>
        <xdr:cNvPr id="0" name="image420.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4</xdr:row>
      <xdr:rowOff>0</xdr:rowOff>
    </xdr:from>
    <xdr:ext cx="476250" cy="476250"/>
    <xdr:pic>
      <xdr:nvPicPr>
        <xdr:cNvPr id="0" name="image108.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5</xdr:row>
      <xdr:rowOff>0</xdr:rowOff>
    </xdr:from>
    <xdr:ext cx="476250" cy="476250"/>
    <xdr:pic>
      <xdr:nvPicPr>
        <xdr:cNvPr id="0" name="image476.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xdr:row>
      <xdr:rowOff>0</xdr:rowOff>
    </xdr:from>
    <xdr:ext cx="476250" cy="476250"/>
    <xdr:pic>
      <xdr:nvPicPr>
        <xdr:cNvPr id="0" name="image468.jp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7</xdr:row>
      <xdr:rowOff>0</xdr:rowOff>
    </xdr:from>
    <xdr:ext cx="476250" cy="476250"/>
    <xdr:pic>
      <xdr:nvPicPr>
        <xdr:cNvPr id="0" name="image420.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476250" cy="476250"/>
    <xdr:pic>
      <xdr:nvPicPr>
        <xdr:cNvPr id="0" name="image463.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9</xdr:row>
      <xdr:rowOff>0</xdr:rowOff>
    </xdr:from>
    <xdr:ext cx="476250" cy="476250"/>
    <xdr:pic>
      <xdr:nvPicPr>
        <xdr:cNvPr id="0" name="image476.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10</xdr:row>
      <xdr:rowOff>0</xdr:rowOff>
    </xdr:from>
    <xdr:ext cx="476250" cy="476250"/>
    <xdr:pic>
      <xdr:nvPicPr>
        <xdr:cNvPr id="0" name="image383.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11</xdr:row>
      <xdr:rowOff>0</xdr:rowOff>
    </xdr:from>
    <xdr:ext cx="476250" cy="476250"/>
    <xdr:pic>
      <xdr:nvPicPr>
        <xdr:cNvPr id="0" name="image337.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12</xdr:row>
      <xdr:rowOff>0</xdr:rowOff>
    </xdr:from>
    <xdr:ext cx="476250" cy="476250"/>
    <xdr:pic>
      <xdr:nvPicPr>
        <xdr:cNvPr id="0" name="image556.jp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13</xdr:row>
      <xdr:rowOff>0</xdr:rowOff>
    </xdr:from>
    <xdr:ext cx="476250" cy="476250"/>
    <xdr:pic>
      <xdr:nvPicPr>
        <xdr:cNvPr id="0" name="image333.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14</xdr:row>
      <xdr:rowOff>0</xdr:rowOff>
    </xdr:from>
    <xdr:ext cx="476250" cy="476250"/>
    <xdr:pic>
      <xdr:nvPicPr>
        <xdr:cNvPr id="0" name="image383.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15</xdr:row>
      <xdr:rowOff>0</xdr:rowOff>
    </xdr:from>
    <xdr:ext cx="476250" cy="476250"/>
    <xdr:pic>
      <xdr:nvPicPr>
        <xdr:cNvPr id="0" name="image301.jp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16</xdr:row>
      <xdr:rowOff>0</xdr:rowOff>
    </xdr:from>
    <xdr:ext cx="476250" cy="476250"/>
    <xdr:pic>
      <xdr:nvPicPr>
        <xdr:cNvPr id="0" name="image469.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17</xdr:row>
      <xdr:rowOff>0</xdr:rowOff>
    </xdr:from>
    <xdr:ext cx="476250" cy="476250"/>
    <xdr:pic>
      <xdr:nvPicPr>
        <xdr:cNvPr id="0" name="image483.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18</xdr:row>
      <xdr:rowOff>0</xdr:rowOff>
    </xdr:from>
    <xdr:ext cx="476250" cy="476250"/>
    <xdr:pic>
      <xdr:nvPicPr>
        <xdr:cNvPr id="0" name="image472.jp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19</xdr:row>
      <xdr:rowOff>0</xdr:rowOff>
    </xdr:from>
    <xdr:ext cx="476250" cy="476250"/>
    <xdr:pic>
      <xdr:nvPicPr>
        <xdr:cNvPr id="0" name="image315.jp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20</xdr:row>
      <xdr:rowOff>0</xdr:rowOff>
    </xdr:from>
    <xdr:ext cx="476250" cy="476250"/>
    <xdr:pic>
      <xdr:nvPicPr>
        <xdr:cNvPr id="0" name="image229.jp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21</xdr:row>
      <xdr:rowOff>0</xdr:rowOff>
    </xdr:from>
    <xdr:ext cx="476250" cy="476250"/>
    <xdr:pic>
      <xdr:nvPicPr>
        <xdr:cNvPr id="0" name="image475.jp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22</xdr:row>
      <xdr:rowOff>0</xdr:rowOff>
    </xdr:from>
    <xdr:ext cx="476250" cy="476250"/>
    <xdr:pic>
      <xdr:nvPicPr>
        <xdr:cNvPr id="0" name="image473.jp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23</xdr:row>
      <xdr:rowOff>0</xdr:rowOff>
    </xdr:from>
    <xdr:ext cx="476250" cy="476250"/>
    <xdr:pic>
      <xdr:nvPicPr>
        <xdr:cNvPr id="0" name="image566.jp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24</xdr:row>
      <xdr:rowOff>0</xdr:rowOff>
    </xdr:from>
    <xdr:ext cx="476250" cy="476250"/>
    <xdr:pic>
      <xdr:nvPicPr>
        <xdr:cNvPr id="0" name="image8.jp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25</xdr:row>
      <xdr:rowOff>0</xdr:rowOff>
    </xdr:from>
    <xdr:ext cx="476250" cy="476250"/>
    <xdr:pic>
      <xdr:nvPicPr>
        <xdr:cNvPr id="0" name="image301.jp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26</xdr:row>
      <xdr:rowOff>0</xdr:rowOff>
    </xdr:from>
    <xdr:ext cx="476250" cy="476250"/>
    <xdr:pic>
      <xdr:nvPicPr>
        <xdr:cNvPr id="0" name="image471.jp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27</xdr:row>
      <xdr:rowOff>0</xdr:rowOff>
    </xdr:from>
    <xdr:ext cx="476250" cy="476250"/>
    <xdr:pic>
      <xdr:nvPicPr>
        <xdr:cNvPr id="0" name="image345.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28</xdr:row>
      <xdr:rowOff>0</xdr:rowOff>
    </xdr:from>
    <xdr:ext cx="476250" cy="476250"/>
    <xdr:pic>
      <xdr:nvPicPr>
        <xdr:cNvPr id="0" name="image315.jp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29</xdr:row>
      <xdr:rowOff>0</xdr:rowOff>
    </xdr:from>
    <xdr:ext cx="476250" cy="476250"/>
    <xdr:pic>
      <xdr:nvPicPr>
        <xdr:cNvPr id="0" name="image151.jp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30</xdr:row>
      <xdr:rowOff>0</xdr:rowOff>
    </xdr:from>
    <xdr:ext cx="476250" cy="476250"/>
    <xdr:pic>
      <xdr:nvPicPr>
        <xdr:cNvPr id="0" name="image349.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31</xdr:row>
      <xdr:rowOff>0</xdr:rowOff>
    </xdr:from>
    <xdr:ext cx="476250" cy="476250"/>
    <xdr:pic>
      <xdr:nvPicPr>
        <xdr:cNvPr id="0" name="image297.jp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32</xdr:row>
      <xdr:rowOff>0</xdr:rowOff>
    </xdr:from>
    <xdr:ext cx="476250" cy="476250"/>
    <xdr:pic>
      <xdr:nvPicPr>
        <xdr:cNvPr id="0" name="image474.jp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33</xdr:row>
      <xdr:rowOff>0</xdr:rowOff>
    </xdr:from>
    <xdr:ext cx="476250" cy="476250"/>
    <xdr:pic>
      <xdr:nvPicPr>
        <xdr:cNvPr id="0" name="image546.jp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34</xdr:row>
      <xdr:rowOff>0</xdr:rowOff>
    </xdr:from>
    <xdr:ext cx="476250" cy="476250"/>
    <xdr:pic>
      <xdr:nvPicPr>
        <xdr:cNvPr id="0" name="image253.jp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35</xdr:row>
      <xdr:rowOff>0</xdr:rowOff>
    </xdr:from>
    <xdr:ext cx="476250" cy="476250"/>
    <xdr:pic>
      <xdr:nvPicPr>
        <xdr:cNvPr id="0" name="image477.jp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36</xdr:row>
      <xdr:rowOff>0</xdr:rowOff>
    </xdr:from>
    <xdr:ext cx="476250" cy="476250"/>
    <xdr:pic>
      <xdr:nvPicPr>
        <xdr:cNvPr id="0" name="image560.jp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37</xdr:row>
      <xdr:rowOff>0</xdr:rowOff>
    </xdr:from>
    <xdr:ext cx="476250" cy="476250"/>
    <xdr:pic>
      <xdr:nvPicPr>
        <xdr:cNvPr id="0" name="image328.jp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38</xdr:row>
      <xdr:rowOff>0</xdr:rowOff>
    </xdr:from>
    <xdr:ext cx="476250" cy="476250"/>
    <xdr:pic>
      <xdr:nvPicPr>
        <xdr:cNvPr id="0" name="image108.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39</xdr:row>
      <xdr:rowOff>0</xdr:rowOff>
    </xdr:from>
    <xdr:ext cx="476250" cy="476250"/>
    <xdr:pic>
      <xdr:nvPicPr>
        <xdr:cNvPr id="0" name="image560.jp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40</xdr:row>
      <xdr:rowOff>0</xdr:rowOff>
    </xdr:from>
    <xdr:ext cx="476250" cy="476250"/>
    <xdr:pic>
      <xdr:nvPicPr>
        <xdr:cNvPr id="0" name="image471.jp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41</xdr:row>
      <xdr:rowOff>0</xdr:rowOff>
    </xdr:from>
    <xdr:ext cx="476250" cy="476250"/>
    <xdr:pic>
      <xdr:nvPicPr>
        <xdr:cNvPr id="0" name="image383.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42</xdr:row>
      <xdr:rowOff>0</xdr:rowOff>
    </xdr:from>
    <xdr:ext cx="476250" cy="476250"/>
    <xdr:pic>
      <xdr:nvPicPr>
        <xdr:cNvPr id="0" name="image211.jp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43</xdr:row>
      <xdr:rowOff>0</xdr:rowOff>
    </xdr:from>
    <xdr:ext cx="476250" cy="476250"/>
    <xdr:pic>
      <xdr:nvPicPr>
        <xdr:cNvPr id="0" name="image555.jp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44</xdr:row>
      <xdr:rowOff>0</xdr:rowOff>
    </xdr:from>
    <xdr:ext cx="476250" cy="476250"/>
    <xdr:pic>
      <xdr:nvPicPr>
        <xdr:cNvPr id="0" name="image271.jp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45</xdr:row>
      <xdr:rowOff>0</xdr:rowOff>
    </xdr:from>
    <xdr:ext cx="476250" cy="476250"/>
    <xdr:pic>
      <xdr:nvPicPr>
        <xdr:cNvPr id="0" name="image531.jp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46</xdr:row>
      <xdr:rowOff>0</xdr:rowOff>
    </xdr:from>
    <xdr:ext cx="476250" cy="476250"/>
    <xdr:pic>
      <xdr:nvPicPr>
        <xdr:cNvPr id="0" name="image530.jp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47</xdr:row>
      <xdr:rowOff>0</xdr:rowOff>
    </xdr:from>
    <xdr:ext cx="476250" cy="476250"/>
    <xdr:pic>
      <xdr:nvPicPr>
        <xdr:cNvPr id="0" name="image241.jp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48</xdr:row>
      <xdr:rowOff>0</xdr:rowOff>
    </xdr:from>
    <xdr:ext cx="476250" cy="476250"/>
    <xdr:pic>
      <xdr:nvPicPr>
        <xdr:cNvPr id="0" name="image258.jp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49</xdr:row>
      <xdr:rowOff>0</xdr:rowOff>
    </xdr:from>
    <xdr:ext cx="476250" cy="476250"/>
    <xdr:pic>
      <xdr:nvPicPr>
        <xdr:cNvPr id="0" name="image298.jp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50</xdr:row>
      <xdr:rowOff>0</xdr:rowOff>
    </xdr:from>
    <xdr:ext cx="476250" cy="476250"/>
    <xdr:pic>
      <xdr:nvPicPr>
        <xdr:cNvPr id="0" name="image557.jp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51</xdr:row>
      <xdr:rowOff>0</xdr:rowOff>
    </xdr:from>
    <xdr:ext cx="476250" cy="476250"/>
    <xdr:pic>
      <xdr:nvPicPr>
        <xdr:cNvPr id="0" name="image297.jp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52</xdr:row>
      <xdr:rowOff>0</xdr:rowOff>
    </xdr:from>
    <xdr:ext cx="476250" cy="476250"/>
    <xdr:pic>
      <xdr:nvPicPr>
        <xdr:cNvPr id="0" name="image591.jpg"/>
        <xdr:cNvPicPr preferRelativeResize="0"/>
      </xdr:nvPicPr>
      <xdr:blipFill>
        <a:blip cstate="print" r:embed="rId40"/>
        <a:stretch>
          <a:fillRect/>
        </a:stretch>
      </xdr:blipFill>
      <xdr:spPr>
        <a:prstGeom prst="rect">
          <a:avLst/>
        </a:prstGeom>
        <a:noFill/>
      </xdr:spPr>
    </xdr:pic>
    <xdr:clientData fLocksWithSheet="0"/>
  </xdr:oneCellAnchor>
  <xdr:oneCellAnchor>
    <xdr:from>
      <xdr:col>3</xdr:col>
      <xdr:colOff>0</xdr:colOff>
      <xdr:row>53</xdr:row>
      <xdr:rowOff>0</xdr:rowOff>
    </xdr:from>
    <xdr:ext cx="476250" cy="476250"/>
    <xdr:pic>
      <xdr:nvPicPr>
        <xdr:cNvPr id="0" name="image311.jp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54</xdr:row>
      <xdr:rowOff>0</xdr:rowOff>
    </xdr:from>
    <xdr:ext cx="476250" cy="476250"/>
    <xdr:pic>
      <xdr:nvPicPr>
        <xdr:cNvPr id="0" name="image490.jp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55</xdr:row>
      <xdr:rowOff>0</xdr:rowOff>
    </xdr:from>
    <xdr:ext cx="476250" cy="476250"/>
    <xdr:pic>
      <xdr:nvPicPr>
        <xdr:cNvPr id="0" name="image291.jp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56</xdr:row>
      <xdr:rowOff>0</xdr:rowOff>
    </xdr:from>
    <xdr:ext cx="476250" cy="476250"/>
    <xdr:pic>
      <xdr:nvPicPr>
        <xdr:cNvPr id="0" name="image482.jp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57</xdr:row>
      <xdr:rowOff>0</xdr:rowOff>
    </xdr:from>
    <xdr:ext cx="476250" cy="476250"/>
    <xdr:pic>
      <xdr:nvPicPr>
        <xdr:cNvPr id="0" name="image299.jp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58</xdr:row>
      <xdr:rowOff>0</xdr:rowOff>
    </xdr:from>
    <xdr:ext cx="476250" cy="476250"/>
    <xdr:pic>
      <xdr:nvPicPr>
        <xdr:cNvPr id="0" name="image481.jpg"/>
        <xdr:cNvPicPr preferRelativeResize="0"/>
      </xdr:nvPicPr>
      <xdr:blipFill>
        <a:blip cstate="print" r:embed="rId46"/>
        <a:stretch>
          <a:fillRect/>
        </a:stretch>
      </xdr:blipFill>
      <xdr:spPr>
        <a:prstGeom prst="rect">
          <a:avLst/>
        </a:prstGeom>
        <a:noFill/>
      </xdr:spPr>
    </xdr:pic>
    <xdr:clientData fLocksWithSheet="0"/>
  </xdr:oneCellAnchor>
  <xdr:oneCellAnchor>
    <xdr:from>
      <xdr:col>3</xdr:col>
      <xdr:colOff>0</xdr:colOff>
      <xdr:row>59</xdr:row>
      <xdr:rowOff>0</xdr:rowOff>
    </xdr:from>
    <xdr:ext cx="476250" cy="476250"/>
    <xdr:pic>
      <xdr:nvPicPr>
        <xdr:cNvPr id="0" name="image478.jp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60</xdr:row>
      <xdr:rowOff>0</xdr:rowOff>
    </xdr:from>
    <xdr:ext cx="476250" cy="476250"/>
    <xdr:pic>
      <xdr:nvPicPr>
        <xdr:cNvPr id="0" name="image175.jpg"/>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61</xdr:row>
      <xdr:rowOff>0</xdr:rowOff>
    </xdr:from>
    <xdr:ext cx="476250" cy="476250"/>
    <xdr:pic>
      <xdr:nvPicPr>
        <xdr:cNvPr id="0" name="image348.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62</xdr:row>
      <xdr:rowOff>0</xdr:rowOff>
    </xdr:from>
    <xdr:ext cx="476250" cy="476250"/>
    <xdr:pic>
      <xdr:nvPicPr>
        <xdr:cNvPr id="0" name="image486.jp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63</xdr:row>
      <xdr:rowOff>0</xdr:rowOff>
    </xdr:from>
    <xdr:ext cx="476250" cy="476250"/>
    <xdr:pic>
      <xdr:nvPicPr>
        <xdr:cNvPr id="0" name="image592.jp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64</xdr:row>
      <xdr:rowOff>0</xdr:rowOff>
    </xdr:from>
    <xdr:ext cx="476250" cy="476250"/>
    <xdr:pic>
      <xdr:nvPicPr>
        <xdr:cNvPr id="0" name="image557.jp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65</xdr:row>
      <xdr:rowOff>0</xdr:rowOff>
    </xdr:from>
    <xdr:ext cx="476250" cy="476250"/>
    <xdr:pic>
      <xdr:nvPicPr>
        <xdr:cNvPr id="0" name="image480.jpg"/>
        <xdr:cNvPicPr preferRelativeResize="0"/>
      </xdr:nvPicPr>
      <xdr:blipFill>
        <a:blip cstate="print" r:embed="rId52"/>
        <a:stretch>
          <a:fillRect/>
        </a:stretch>
      </xdr:blipFill>
      <xdr:spPr>
        <a:prstGeom prst="rect">
          <a:avLst/>
        </a:prstGeom>
        <a:noFill/>
      </xdr:spPr>
    </xdr:pic>
    <xdr:clientData fLocksWithSheet="0"/>
  </xdr:oneCellAnchor>
  <xdr:oneCellAnchor>
    <xdr:from>
      <xdr:col>3</xdr:col>
      <xdr:colOff>0</xdr:colOff>
      <xdr:row>66</xdr:row>
      <xdr:rowOff>0</xdr:rowOff>
    </xdr:from>
    <xdr:ext cx="476250" cy="476250"/>
    <xdr:pic>
      <xdr:nvPicPr>
        <xdr:cNvPr id="0" name="image479.jp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67</xdr:row>
      <xdr:rowOff>0</xdr:rowOff>
    </xdr:from>
    <xdr:ext cx="476250" cy="476250"/>
    <xdr:pic>
      <xdr:nvPicPr>
        <xdr:cNvPr id="0" name="image496.jpg"/>
        <xdr:cNvPicPr preferRelativeResize="0"/>
      </xdr:nvPicPr>
      <xdr:blipFill>
        <a:blip cstate="print" r:embed="rId54"/>
        <a:stretch>
          <a:fillRect/>
        </a:stretch>
      </xdr:blipFill>
      <xdr:spPr>
        <a:prstGeom prst="rect">
          <a:avLst/>
        </a:prstGeom>
        <a:noFill/>
      </xdr:spPr>
    </xdr:pic>
    <xdr:clientData fLocksWithSheet="0"/>
  </xdr:oneCellAnchor>
  <xdr:oneCellAnchor>
    <xdr:from>
      <xdr:col>3</xdr:col>
      <xdr:colOff>0</xdr:colOff>
      <xdr:row>68</xdr:row>
      <xdr:rowOff>0</xdr:rowOff>
    </xdr:from>
    <xdr:ext cx="476250" cy="476250"/>
    <xdr:pic>
      <xdr:nvPicPr>
        <xdr:cNvPr id="0" name="image566.jp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69</xdr:row>
      <xdr:rowOff>0</xdr:rowOff>
    </xdr:from>
    <xdr:ext cx="476250" cy="476250"/>
    <xdr:pic>
      <xdr:nvPicPr>
        <xdr:cNvPr id="0" name="image88.jp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70</xdr:row>
      <xdr:rowOff>0</xdr:rowOff>
    </xdr:from>
    <xdr:ext cx="476250" cy="476250"/>
    <xdr:pic>
      <xdr:nvPicPr>
        <xdr:cNvPr id="0" name="image298.jp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71</xdr:row>
      <xdr:rowOff>0</xdr:rowOff>
    </xdr:from>
    <xdr:ext cx="476250" cy="476250"/>
    <xdr:pic>
      <xdr:nvPicPr>
        <xdr:cNvPr id="0" name="image126.jp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72</xdr:row>
      <xdr:rowOff>0</xdr:rowOff>
    </xdr:from>
    <xdr:ext cx="476250" cy="476250"/>
    <xdr:pic>
      <xdr:nvPicPr>
        <xdr:cNvPr id="0" name="image469.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73</xdr:row>
      <xdr:rowOff>0</xdr:rowOff>
    </xdr:from>
    <xdr:ext cx="476250" cy="476250"/>
    <xdr:pic>
      <xdr:nvPicPr>
        <xdr:cNvPr id="0" name="image485.jp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74</xdr:row>
      <xdr:rowOff>0</xdr:rowOff>
    </xdr:from>
    <xdr:ext cx="476250" cy="476250"/>
    <xdr:pic>
      <xdr:nvPicPr>
        <xdr:cNvPr id="0" name="image187.jp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75</xdr:row>
      <xdr:rowOff>0</xdr:rowOff>
    </xdr:from>
    <xdr:ext cx="476250" cy="476250"/>
    <xdr:pic>
      <xdr:nvPicPr>
        <xdr:cNvPr id="0" name="image259.jp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76</xdr:row>
      <xdr:rowOff>0</xdr:rowOff>
    </xdr:from>
    <xdr:ext cx="476250" cy="476250"/>
    <xdr:pic>
      <xdr:nvPicPr>
        <xdr:cNvPr id="0" name="image341.jp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77</xdr:row>
      <xdr:rowOff>0</xdr:rowOff>
    </xdr:from>
    <xdr:ext cx="476250" cy="476250"/>
    <xdr:pic>
      <xdr:nvPicPr>
        <xdr:cNvPr id="0" name="image299.jp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78</xdr:row>
      <xdr:rowOff>0</xdr:rowOff>
    </xdr:from>
    <xdr:ext cx="476250" cy="476250"/>
    <xdr:pic>
      <xdr:nvPicPr>
        <xdr:cNvPr id="0" name="image306.jp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79</xdr:row>
      <xdr:rowOff>0</xdr:rowOff>
    </xdr:from>
    <xdr:ext cx="476250" cy="476250"/>
    <xdr:pic>
      <xdr:nvPicPr>
        <xdr:cNvPr id="0" name="image487.jp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80</xdr:row>
      <xdr:rowOff>0</xdr:rowOff>
    </xdr:from>
    <xdr:ext cx="476250" cy="476250"/>
    <xdr:pic>
      <xdr:nvPicPr>
        <xdr:cNvPr id="0" name="image88.jp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81</xdr:row>
      <xdr:rowOff>0</xdr:rowOff>
    </xdr:from>
    <xdr:ext cx="476250" cy="476250"/>
    <xdr:pic>
      <xdr:nvPicPr>
        <xdr:cNvPr id="0" name="image469.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82</xdr:row>
      <xdr:rowOff>0</xdr:rowOff>
    </xdr:from>
    <xdr:ext cx="476250" cy="476250"/>
    <xdr:pic>
      <xdr:nvPicPr>
        <xdr:cNvPr id="0" name="image484.jp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83</xdr:row>
      <xdr:rowOff>0</xdr:rowOff>
    </xdr:from>
    <xdr:ext cx="476250" cy="476250"/>
    <xdr:pic>
      <xdr:nvPicPr>
        <xdr:cNvPr id="0" name="image323.jp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84</xdr:row>
      <xdr:rowOff>0</xdr:rowOff>
    </xdr:from>
    <xdr:ext cx="476250" cy="476250"/>
    <xdr:pic>
      <xdr:nvPicPr>
        <xdr:cNvPr id="0" name="image489.jp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85</xdr:row>
      <xdr:rowOff>0</xdr:rowOff>
    </xdr:from>
    <xdr:ext cx="476250" cy="476250"/>
    <xdr:pic>
      <xdr:nvPicPr>
        <xdr:cNvPr id="0" name="image298.jp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86</xdr:row>
      <xdr:rowOff>0</xdr:rowOff>
    </xdr:from>
    <xdr:ext cx="476250" cy="476250"/>
    <xdr:pic>
      <xdr:nvPicPr>
        <xdr:cNvPr id="0" name="image495.jp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87</xdr:row>
      <xdr:rowOff>0</xdr:rowOff>
    </xdr:from>
    <xdr:ext cx="476250" cy="476250"/>
    <xdr:pic>
      <xdr:nvPicPr>
        <xdr:cNvPr id="0" name="image499.jp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88</xdr:row>
      <xdr:rowOff>0</xdr:rowOff>
    </xdr:from>
    <xdr:ext cx="476250" cy="476250"/>
    <xdr:pic>
      <xdr:nvPicPr>
        <xdr:cNvPr id="0" name="image556.jp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89</xdr:row>
      <xdr:rowOff>0</xdr:rowOff>
    </xdr:from>
    <xdr:ext cx="476250" cy="476250"/>
    <xdr:pic>
      <xdr:nvPicPr>
        <xdr:cNvPr id="0" name="image488.jpg"/>
        <xdr:cNvPicPr preferRelativeResize="0"/>
      </xdr:nvPicPr>
      <xdr:blipFill>
        <a:blip cstate="print" r:embed="rId68"/>
        <a:stretch>
          <a:fillRect/>
        </a:stretch>
      </xdr:blipFill>
      <xdr:spPr>
        <a:prstGeom prst="rect">
          <a:avLst/>
        </a:prstGeom>
        <a:noFill/>
      </xdr:spPr>
    </xdr:pic>
    <xdr:clientData fLocksWithSheet="0"/>
  </xdr:oneCellAnchor>
  <xdr:oneCellAnchor>
    <xdr:from>
      <xdr:col>3</xdr:col>
      <xdr:colOff>0</xdr:colOff>
      <xdr:row>90</xdr:row>
      <xdr:rowOff>0</xdr:rowOff>
    </xdr:from>
    <xdr:ext cx="476250" cy="476250"/>
    <xdr:pic>
      <xdr:nvPicPr>
        <xdr:cNvPr id="0" name="image323.jp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91</xdr:row>
      <xdr:rowOff>0</xdr:rowOff>
    </xdr:from>
    <xdr:ext cx="476250" cy="476250"/>
    <xdr:pic>
      <xdr:nvPicPr>
        <xdr:cNvPr id="0" name="image573.jp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92</xdr:row>
      <xdr:rowOff>0</xdr:rowOff>
    </xdr:from>
    <xdr:ext cx="476250" cy="476250"/>
    <xdr:pic>
      <xdr:nvPicPr>
        <xdr:cNvPr id="0" name="image323.jp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93</xdr:row>
      <xdr:rowOff>0</xdr:rowOff>
    </xdr:from>
    <xdr:ext cx="476250" cy="476250"/>
    <xdr:pic>
      <xdr:nvPicPr>
        <xdr:cNvPr id="0" name="image480.jpg"/>
        <xdr:cNvPicPr preferRelativeResize="0"/>
      </xdr:nvPicPr>
      <xdr:blipFill>
        <a:blip cstate="print" r:embed="rId52"/>
        <a:stretch>
          <a:fillRect/>
        </a:stretch>
      </xdr:blipFill>
      <xdr:spPr>
        <a:prstGeom prst="rect">
          <a:avLst/>
        </a:prstGeom>
        <a:noFill/>
      </xdr:spPr>
    </xdr:pic>
    <xdr:clientData fLocksWithSheet="0"/>
  </xdr:oneCellAnchor>
  <xdr:oneCellAnchor>
    <xdr:from>
      <xdr:col>3</xdr:col>
      <xdr:colOff>0</xdr:colOff>
      <xdr:row>94</xdr:row>
      <xdr:rowOff>0</xdr:rowOff>
    </xdr:from>
    <xdr:ext cx="476250" cy="476250"/>
    <xdr:pic>
      <xdr:nvPicPr>
        <xdr:cNvPr id="0" name="image241.jp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95</xdr:row>
      <xdr:rowOff>0</xdr:rowOff>
    </xdr:from>
    <xdr:ext cx="476250" cy="476250"/>
    <xdr:pic>
      <xdr:nvPicPr>
        <xdr:cNvPr id="0" name="image305.jpg"/>
        <xdr:cNvPicPr preferRelativeResize="0"/>
      </xdr:nvPicPr>
      <xdr:blipFill>
        <a:blip cstate="print" r:embed="rId70"/>
        <a:stretch>
          <a:fillRect/>
        </a:stretch>
      </xdr:blipFill>
      <xdr:spPr>
        <a:prstGeom prst="rect">
          <a:avLst/>
        </a:prstGeom>
        <a:noFill/>
      </xdr:spPr>
    </xdr:pic>
    <xdr:clientData fLocksWithSheet="0"/>
  </xdr:oneCellAnchor>
  <xdr:oneCellAnchor>
    <xdr:from>
      <xdr:col>3</xdr:col>
      <xdr:colOff>0</xdr:colOff>
      <xdr:row>96</xdr:row>
      <xdr:rowOff>0</xdr:rowOff>
    </xdr:from>
    <xdr:ext cx="476250" cy="476250"/>
    <xdr:pic>
      <xdr:nvPicPr>
        <xdr:cNvPr id="0" name="image387.jp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97</xdr:row>
      <xdr:rowOff>0</xdr:rowOff>
    </xdr:from>
    <xdr:ext cx="476250" cy="476250"/>
    <xdr:pic>
      <xdr:nvPicPr>
        <xdr:cNvPr id="0" name="image285.jpg"/>
        <xdr:cNvPicPr preferRelativeResize="0"/>
      </xdr:nvPicPr>
      <xdr:blipFill>
        <a:blip cstate="print" r:embed="rId72"/>
        <a:stretch>
          <a:fillRect/>
        </a:stretch>
      </xdr:blipFill>
      <xdr:spPr>
        <a:prstGeom prst="rect">
          <a:avLst/>
        </a:prstGeom>
        <a:noFill/>
      </xdr:spPr>
    </xdr:pic>
    <xdr:clientData fLocksWithSheet="0"/>
  </xdr:oneCellAnchor>
  <xdr:oneCellAnchor>
    <xdr:from>
      <xdr:col>3</xdr:col>
      <xdr:colOff>0</xdr:colOff>
      <xdr:row>98</xdr:row>
      <xdr:rowOff>0</xdr:rowOff>
    </xdr:from>
    <xdr:ext cx="476250" cy="476250"/>
    <xdr:pic>
      <xdr:nvPicPr>
        <xdr:cNvPr id="0" name="image520.jp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99</xdr:row>
      <xdr:rowOff>0</xdr:rowOff>
    </xdr:from>
    <xdr:ext cx="476250" cy="476250"/>
    <xdr:pic>
      <xdr:nvPicPr>
        <xdr:cNvPr id="0" name="image185.jpg"/>
        <xdr:cNvPicPr preferRelativeResize="0"/>
      </xdr:nvPicPr>
      <xdr:blipFill>
        <a:blip cstate="print" r:embed="rId74"/>
        <a:stretch>
          <a:fillRect/>
        </a:stretch>
      </xdr:blipFill>
      <xdr:spPr>
        <a:prstGeom prst="rect">
          <a:avLst/>
        </a:prstGeom>
        <a:noFill/>
      </xdr:spPr>
    </xdr:pic>
    <xdr:clientData fLocksWithSheet="0"/>
  </xdr:oneCellAnchor>
  <xdr:oneCellAnchor>
    <xdr:from>
      <xdr:col>3</xdr:col>
      <xdr:colOff>0</xdr:colOff>
      <xdr:row>100</xdr:row>
      <xdr:rowOff>0</xdr:rowOff>
    </xdr:from>
    <xdr:ext cx="476250" cy="476250"/>
    <xdr:pic>
      <xdr:nvPicPr>
        <xdr:cNvPr id="0" name="image492.jp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101</xdr:row>
      <xdr:rowOff>0</xdr:rowOff>
    </xdr:from>
    <xdr:ext cx="476250" cy="476250"/>
    <xdr:pic>
      <xdr:nvPicPr>
        <xdr:cNvPr id="0" name="image565.jpg"/>
        <xdr:cNvPicPr preferRelativeResize="0"/>
      </xdr:nvPicPr>
      <xdr:blipFill>
        <a:blip cstate="print" r:embed="rId76"/>
        <a:stretch>
          <a:fillRect/>
        </a:stretch>
      </xdr:blipFill>
      <xdr:spPr>
        <a:prstGeom prst="rect">
          <a:avLst/>
        </a:prstGeom>
        <a:noFill/>
      </xdr:spPr>
    </xdr:pic>
    <xdr:clientData fLocksWithSheet="0"/>
  </xdr:oneCellAnchor>
  <xdr:oneCellAnchor>
    <xdr:from>
      <xdr:col>3</xdr:col>
      <xdr:colOff>0</xdr:colOff>
      <xdr:row>102</xdr:row>
      <xdr:rowOff>0</xdr:rowOff>
    </xdr:from>
    <xdr:ext cx="476250" cy="476250"/>
    <xdr:pic>
      <xdr:nvPicPr>
        <xdr:cNvPr id="0" name="image195.jp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0</xdr:colOff>
      <xdr:row>103</xdr:row>
      <xdr:rowOff>0</xdr:rowOff>
    </xdr:from>
    <xdr:ext cx="476250" cy="476250"/>
    <xdr:pic>
      <xdr:nvPicPr>
        <xdr:cNvPr id="0" name="image500.jp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104</xdr:row>
      <xdr:rowOff>0</xdr:rowOff>
    </xdr:from>
    <xdr:ext cx="476250" cy="476250"/>
    <xdr:pic>
      <xdr:nvPicPr>
        <xdr:cNvPr id="0" name="image477.jp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105</xdr:row>
      <xdr:rowOff>0</xdr:rowOff>
    </xdr:from>
    <xdr:ext cx="476250" cy="476250"/>
    <xdr:pic>
      <xdr:nvPicPr>
        <xdr:cNvPr id="0" name="image8.jp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106</xdr:row>
      <xdr:rowOff>0</xdr:rowOff>
    </xdr:from>
    <xdr:ext cx="476250" cy="476250"/>
    <xdr:pic>
      <xdr:nvPicPr>
        <xdr:cNvPr id="0" name="image493.jpg"/>
        <xdr:cNvPicPr preferRelativeResize="0"/>
      </xdr:nvPicPr>
      <xdr:blipFill>
        <a:blip cstate="print" r:embed="rId79"/>
        <a:stretch>
          <a:fillRect/>
        </a:stretch>
      </xdr:blipFill>
      <xdr:spPr>
        <a:prstGeom prst="rect">
          <a:avLst/>
        </a:prstGeom>
        <a:noFill/>
      </xdr:spPr>
    </xdr:pic>
    <xdr:clientData fLocksWithSheet="0"/>
  </xdr:oneCellAnchor>
  <xdr:oneCellAnchor>
    <xdr:from>
      <xdr:col>3</xdr:col>
      <xdr:colOff>0</xdr:colOff>
      <xdr:row>107</xdr:row>
      <xdr:rowOff>0</xdr:rowOff>
    </xdr:from>
    <xdr:ext cx="476250" cy="476250"/>
    <xdr:pic>
      <xdr:nvPicPr>
        <xdr:cNvPr id="0" name="image126.jp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108</xdr:row>
      <xdr:rowOff>0</xdr:rowOff>
    </xdr:from>
    <xdr:ext cx="476250" cy="476250"/>
    <xdr:pic>
      <xdr:nvPicPr>
        <xdr:cNvPr id="0" name="image497.jpg"/>
        <xdr:cNvPicPr preferRelativeResize="0"/>
      </xdr:nvPicPr>
      <xdr:blipFill>
        <a:blip cstate="print" r:embed="rId80"/>
        <a:stretch>
          <a:fillRect/>
        </a:stretch>
      </xdr:blipFill>
      <xdr:spPr>
        <a:prstGeom prst="rect">
          <a:avLst/>
        </a:prstGeom>
        <a:noFill/>
      </xdr:spPr>
    </xdr:pic>
    <xdr:clientData fLocksWithSheet="0"/>
  </xdr:oneCellAnchor>
  <xdr:oneCellAnchor>
    <xdr:from>
      <xdr:col>3</xdr:col>
      <xdr:colOff>0</xdr:colOff>
      <xdr:row>109</xdr:row>
      <xdr:rowOff>0</xdr:rowOff>
    </xdr:from>
    <xdr:ext cx="476250" cy="476250"/>
    <xdr:pic>
      <xdr:nvPicPr>
        <xdr:cNvPr id="0" name="image181.jp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110</xdr:row>
      <xdr:rowOff>0</xdr:rowOff>
    </xdr:from>
    <xdr:ext cx="476250" cy="476250"/>
    <xdr:pic>
      <xdr:nvPicPr>
        <xdr:cNvPr id="0" name="image498.jpg"/>
        <xdr:cNvPicPr preferRelativeResize="0"/>
      </xdr:nvPicPr>
      <xdr:blipFill>
        <a:blip cstate="print" r:embed="rId82"/>
        <a:stretch>
          <a:fillRect/>
        </a:stretch>
      </xdr:blipFill>
      <xdr:spPr>
        <a:prstGeom prst="rect">
          <a:avLst/>
        </a:prstGeom>
        <a:noFill/>
      </xdr:spPr>
    </xdr:pic>
    <xdr:clientData fLocksWithSheet="0"/>
  </xdr:oneCellAnchor>
  <xdr:oneCellAnchor>
    <xdr:from>
      <xdr:col>3</xdr:col>
      <xdr:colOff>0</xdr:colOff>
      <xdr:row>111</xdr:row>
      <xdr:rowOff>0</xdr:rowOff>
    </xdr:from>
    <xdr:ext cx="476250" cy="476250"/>
    <xdr:pic>
      <xdr:nvPicPr>
        <xdr:cNvPr id="0" name="image383.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112</xdr:row>
      <xdr:rowOff>0</xdr:rowOff>
    </xdr:from>
    <xdr:ext cx="476250" cy="476250"/>
    <xdr:pic>
      <xdr:nvPicPr>
        <xdr:cNvPr id="0" name="image513.jp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113</xdr:row>
      <xdr:rowOff>0</xdr:rowOff>
    </xdr:from>
    <xdr:ext cx="476250" cy="476250"/>
    <xdr:pic>
      <xdr:nvPicPr>
        <xdr:cNvPr id="0" name="image503.jpg"/>
        <xdr:cNvPicPr preferRelativeResize="0"/>
      </xdr:nvPicPr>
      <xdr:blipFill>
        <a:blip cstate="print" r:embed="rId84"/>
        <a:stretch>
          <a:fillRect/>
        </a:stretch>
      </xdr:blipFill>
      <xdr:spPr>
        <a:prstGeom prst="rect">
          <a:avLst/>
        </a:prstGeom>
        <a:noFill/>
      </xdr:spPr>
    </xdr:pic>
    <xdr:clientData fLocksWithSheet="0"/>
  </xdr:oneCellAnchor>
  <xdr:oneCellAnchor>
    <xdr:from>
      <xdr:col>3</xdr:col>
      <xdr:colOff>0</xdr:colOff>
      <xdr:row>114</xdr:row>
      <xdr:rowOff>0</xdr:rowOff>
    </xdr:from>
    <xdr:ext cx="476250" cy="476250"/>
    <xdr:pic>
      <xdr:nvPicPr>
        <xdr:cNvPr id="0" name="image292.jpg"/>
        <xdr:cNvPicPr preferRelativeResize="0"/>
      </xdr:nvPicPr>
      <xdr:blipFill>
        <a:blip cstate="print" r:embed="rId85"/>
        <a:stretch>
          <a:fillRect/>
        </a:stretch>
      </xdr:blipFill>
      <xdr:spPr>
        <a:prstGeom prst="rect">
          <a:avLst/>
        </a:prstGeom>
        <a:noFill/>
      </xdr:spPr>
    </xdr:pic>
    <xdr:clientData fLocksWithSheet="0"/>
  </xdr:oneCellAnchor>
  <xdr:oneCellAnchor>
    <xdr:from>
      <xdr:col>3</xdr:col>
      <xdr:colOff>0</xdr:colOff>
      <xdr:row>115</xdr:row>
      <xdr:rowOff>0</xdr:rowOff>
    </xdr:from>
    <xdr:ext cx="476250" cy="476250"/>
    <xdr:pic>
      <xdr:nvPicPr>
        <xdr:cNvPr id="0" name="image246.jp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116</xdr:row>
      <xdr:rowOff>0</xdr:rowOff>
    </xdr:from>
    <xdr:ext cx="476250" cy="476250"/>
    <xdr:pic>
      <xdr:nvPicPr>
        <xdr:cNvPr id="0" name="image319.jpg"/>
        <xdr:cNvPicPr preferRelativeResize="0"/>
      </xdr:nvPicPr>
      <xdr:blipFill>
        <a:blip cstate="print" r:embed="rId87"/>
        <a:stretch>
          <a:fillRect/>
        </a:stretch>
      </xdr:blipFill>
      <xdr:spPr>
        <a:prstGeom prst="rect">
          <a:avLst/>
        </a:prstGeom>
        <a:noFill/>
      </xdr:spPr>
    </xdr:pic>
    <xdr:clientData fLocksWithSheet="0"/>
  </xdr:oneCellAnchor>
  <xdr:oneCellAnchor>
    <xdr:from>
      <xdr:col>3</xdr:col>
      <xdr:colOff>0</xdr:colOff>
      <xdr:row>117</xdr:row>
      <xdr:rowOff>0</xdr:rowOff>
    </xdr:from>
    <xdr:ext cx="476250" cy="476250"/>
    <xdr:pic>
      <xdr:nvPicPr>
        <xdr:cNvPr id="0" name="image229.jp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118</xdr:row>
      <xdr:rowOff>0</xdr:rowOff>
    </xdr:from>
    <xdr:ext cx="476250" cy="476250"/>
    <xdr:pic>
      <xdr:nvPicPr>
        <xdr:cNvPr id="0" name="image154.jpg"/>
        <xdr:cNvPicPr preferRelativeResize="0"/>
      </xdr:nvPicPr>
      <xdr:blipFill>
        <a:blip cstate="print" r:embed="rId88"/>
        <a:stretch>
          <a:fillRect/>
        </a:stretch>
      </xdr:blipFill>
      <xdr:spPr>
        <a:prstGeom prst="rect">
          <a:avLst/>
        </a:prstGeom>
        <a:noFill/>
      </xdr:spPr>
    </xdr:pic>
    <xdr:clientData fLocksWithSheet="0"/>
  </xdr:oneCellAnchor>
  <xdr:oneCellAnchor>
    <xdr:from>
      <xdr:col>3</xdr:col>
      <xdr:colOff>0</xdr:colOff>
      <xdr:row>119</xdr:row>
      <xdr:rowOff>0</xdr:rowOff>
    </xdr:from>
    <xdr:ext cx="476250" cy="476250"/>
    <xdr:pic>
      <xdr:nvPicPr>
        <xdr:cNvPr id="0" name="image472.jp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120</xdr:row>
      <xdr:rowOff>0</xdr:rowOff>
    </xdr:from>
    <xdr:ext cx="476250" cy="476250"/>
    <xdr:pic>
      <xdr:nvPicPr>
        <xdr:cNvPr id="0" name="image505.jp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121</xdr:row>
      <xdr:rowOff>0</xdr:rowOff>
    </xdr:from>
    <xdr:ext cx="476250" cy="476250"/>
    <xdr:pic>
      <xdr:nvPicPr>
        <xdr:cNvPr id="0" name="image469.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122</xdr:row>
      <xdr:rowOff>0</xdr:rowOff>
    </xdr:from>
    <xdr:ext cx="476250" cy="476250"/>
    <xdr:pic>
      <xdr:nvPicPr>
        <xdr:cNvPr id="0" name="image28.jpg"/>
        <xdr:cNvPicPr preferRelativeResize="0"/>
      </xdr:nvPicPr>
      <xdr:blipFill>
        <a:blip cstate="print" r:embed="rId90"/>
        <a:stretch>
          <a:fillRect/>
        </a:stretch>
      </xdr:blipFill>
      <xdr:spPr>
        <a:prstGeom prst="rect">
          <a:avLst/>
        </a:prstGeom>
        <a:noFill/>
      </xdr:spPr>
    </xdr:pic>
    <xdr:clientData fLocksWithSheet="0"/>
  </xdr:oneCellAnchor>
  <xdr:oneCellAnchor>
    <xdr:from>
      <xdr:col>3</xdr:col>
      <xdr:colOff>0</xdr:colOff>
      <xdr:row>123</xdr:row>
      <xdr:rowOff>0</xdr:rowOff>
    </xdr:from>
    <xdr:ext cx="476250" cy="476250"/>
    <xdr:pic>
      <xdr:nvPicPr>
        <xdr:cNvPr id="0" name="image22.jpg"/>
        <xdr:cNvPicPr preferRelativeResize="0"/>
      </xdr:nvPicPr>
      <xdr:blipFill>
        <a:blip cstate="print" r:embed="rId91"/>
        <a:stretch>
          <a:fillRect/>
        </a:stretch>
      </xdr:blipFill>
      <xdr:spPr>
        <a:prstGeom prst="rect">
          <a:avLst/>
        </a:prstGeom>
        <a:noFill/>
      </xdr:spPr>
    </xdr:pic>
    <xdr:clientData fLocksWithSheet="0"/>
  </xdr:oneCellAnchor>
  <xdr:oneCellAnchor>
    <xdr:from>
      <xdr:col>3</xdr:col>
      <xdr:colOff>0</xdr:colOff>
      <xdr:row>124</xdr:row>
      <xdr:rowOff>0</xdr:rowOff>
    </xdr:from>
    <xdr:ext cx="476250" cy="476250"/>
    <xdr:pic>
      <xdr:nvPicPr>
        <xdr:cNvPr id="0" name="image227.jp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125</xdr:row>
      <xdr:rowOff>0</xdr:rowOff>
    </xdr:from>
    <xdr:ext cx="476250" cy="476250"/>
    <xdr:pic>
      <xdr:nvPicPr>
        <xdr:cNvPr id="0" name="image313.jpg"/>
        <xdr:cNvPicPr preferRelativeResize="0"/>
      </xdr:nvPicPr>
      <xdr:blipFill>
        <a:blip cstate="print" r:embed="rId93"/>
        <a:stretch>
          <a:fillRect/>
        </a:stretch>
      </xdr:blipFill>
      <xdr:spPr>
        <a:prstGeom prst="rect">
          <a:avLst/>
        </a:prstGeom>
        <a:noFill/>
      </xdr:spPr>
    </xdr:pic>
    <xdr:clientData fLocksWithSheet="0"/>
  </xdr:oneCellAnchor>
  <xdr:oneCellAnchor>
    <xdr:from>
      <xdr:col>3</xdr:col>
      <xdr:colOff>0</xdr:colOff>
      <xdr:row>126</xdr:row>
      <xdr:rowOff>0</xdr:rowOff>
    </xdr:from>
    <xdr:ext cx="476250" cy="476250"/>
    <xdr:pic>
      <xdr:nvPicPr>
        <xdr:cNvPr id="0" name="image158.jp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127</xdr:row>
      <xdr:rowOff>0</xdr:rowOff>
    </xdr:from>
    <xdr:ext cx="476250" cy="476250"/>
    <xdr:pic>
      <xdr:nvPicPr>
        <xdr:cNvPr id="0" name="image494.jpg"/>
        <xdr:cNvPicPr preferRelativeResize="0"/>
      </xdr:nvPicPr>
      <xdr:blipFill>
        <a:blip cstate="print" r:embed="rId95"/>
        <a:stretch>
          <a:fillRect/>
        </a:stretch>
      </xdr:blipFill>
      <xdr:spPr>
        <a:prstGeom prst="rect">
          <a:avLst/>
        </a:prstGeom>
        <a:noFill/>
      </xdr:spPr>
    </xdr:pic>
    <xdr:clientData fLocksWithSheet="0"/>
  </xdr:oneCellAnchor>
  <xdr:oneCellAnchor>
    <xdr:from>
      <xdr:col>3</xdr:col>
      <xdr:colOff>0</xdr:colOff>
      <xdr:row>128</xdr:row>
      <xdr:rowOff>0</xdr:rowOff>
    </xdr:from>
    <xdr:ext cx="476250" cy="476250"/>
    <xdr:pic>
      <xdr:nvPicPr>
        <xdr:cNvPr id="0" name="image507.jp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129</xdr:row>
      <xdr:rowOff>0</xdr:rowOff>
    </xdr:from>
    <xdr:ext cx="476250" cy="476250"/>
    <xdr:pic>
      <xdr:nvPicPr>
        <xdr:cNvPr id="0" name="image511.jpg"/>
        <xdr:cNvPicPr preferRelativeResize="0"/>
      </xdr:nvPicPr>
      <xdr:blipFill>
        <a:blip cstate="print" r:embed="rId97"/>
        <a:stretch>
          <a:fillRect/>
        </a:stretch>
      </xdr:blipFill>
      <xdr:spPr>
        <a:prstGeom prst="rect">
          <a:avLst/>
        </a:prstGeom>
        <a:noFill/>
      </xdr:spPr>
    </xdr:pic>
    <xdr:clientData fLocksWithSheet="0"/>
  </xdr:oneCellAnchor>
  <xdr:oneCellAnchor>
    <xdr:from>
      <xdr:col>3</xdr:col>
      <xdr:colOff>0</xdr:colOff>
      <xdr:row>130</xdr:row>
      <xdr:rowOff>0</xdr:rowOff>
    </xdr:from>
    <xdr:ext cx="476250" cy="476250"/>
    <xdr:pic>
      <xdr:nvPicPr>
        <xdr:cNvPr id="0" name="image506.jpg"/>
        <xdr:cNvPicPr preferRelativeResize="0"/>
      </xdr:nvPicPr>
      <xdr:blipFill>
        <a:blip cstate="print" r:embed="rId98"/>
        <a:stretch>
          <a:fillRect/>
        </a:stretch>
      </xdr:blipFill>
      <xdr:spPr>
        <a:prstGeom prst="rect">
          <a:avLst/>
        </a:prstGeom>
        <a:noFill/>
      </xdr:spPr>
    </xdr:pic>
    <xdr:clientData fLocksWithSheet="0"/>
  </xdr:oneCellAnchor>
  <xdr:oneCellAnchor>
    <xdr:from>
      <xdr:col>3</xdr:col>
      <xdr:colOff>0</xdr:colOff>
      <xdr:row>131</xdr:row>
      <xdr:rowOff>0</xdr:rowOff>
    </xdr:from>
    <xdr:ext cx="476250" cy="476250"/>
    <xdr:pic>
      <xdr:nvPicPr>
        <xdr:cNvPr id="0" name="image501.jpg"/>
        <xdr:cNvPicPr preferRelativeResize="0"/>
      </xdr:nvPicPr>
      <xdr:blipFill>
        <a:blip cstate="print" r:embed="rId99"/>
        <a:stretch>
          <a:fillRect/>
        </a:stretch>
      </xdr:blipFill>
      <xdr:spPr>
        <a:prstGeom prst="rect">
          <a:avLst/>
        </a:prstGeom>
        <a:noFill/>
      </xdr:spPr>
    </xdr:pic>
    <xdr:clientData fLocksWithSheet="0"/>
  </xdr:oneCellAnchor>
  <xdr:oneCellAnchor>
    <xdr:from>
      <xdr:col>3</xdr:col>
      <xdr:colOff>0</xdr:colOff>
      <xdr:row>132</xdr:row>
      <xdr:rowOff>0</xdr:rowOff>
    </xdr:from>
    <xdr:ext cx="476250" cy="476250"/>
    <xdr:pic>
      <xdr:nvPicPr>
        <xdr:cNvPr id="0" name="image569.jp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133</xdr:row>
      <xdr:rowOff>0</xdr:rowOff>
    </xdr:from>
    <xdr:ext cx="476250" cy="476250"/>
    <xdr:pic>
      <xdr:nvPicPr>
        <xdr:cNvPr id="0" name="image249.jpg"/>
        <xdr:cNvPicPr preferRelativeResize="0"/>
      </xdr:nvPicPr>
      <xdr:blipFill>
        <a:blip cstate="print" r:embed="rId101"/>
        <a:stretch>
          <a:fillRect/>
        </a:stretch>
      </xdr:blipFill>
      <xdr:spPr>
        <a:prstGeom prst="rect">
          <a:avLst/>
        </a:prstGeom>
        <a:noFill/>
      </xdr:spPr>
    </xdr:pic>
    <xdr:clientData fLocksWithSheet="0"/>
  </xdr:oneCellAnchor>
  <xdr:oneCellAnchor>
    <xdr:from>
      <xdr:col>3</xdr:col>
      <xdr:colOff>0</xdr:colOff>
      <xdr:row>134</xdr:row>
      <xdr:rowOff>0</xdr:rowOff>
    </xdr:from>
    <xdr:ext cx="476250" cy="476250"/>
    <xdr:pic>
      <xdr:nvPicPr>
        <xdr:cNvPr id="0" name="image509.jp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135</xdr:row>
      <xdr:rowOff>0</xdr:rowOff>
    </xdr:from>
    <xdr:ext cx="476250" cy="476250"/>
    <xdr:pic>
      <xdr:nvPicPr>
        <xdr:cNvPr id="0" name="image584.jpg"/>
        <xdr:cNvPicPr preferRelativeResize="0"/>
      </xdr:nvPicPr>
      <xdr:blipFill>
        <a:blip cstate="print" r:embed="rId103"/>
        <a:stretch>
          <a:fillRect/>
        </a:stretch>
      </xdr:blipFill>
      <xdr:spPr>
        <a:prstGeom prst="rect">
          <a:avLst/>
        </a:prstGeom>
        <a:noFill/>
      </xdr:spPr>
    </xdr:pic>
    <xdr:clientData fLocksWithSheet="0"/>
  </xdr:oneCellAnchor>
  <xdr:oneCellAnchor>
    <xdr:from>
      <xdr:col>3</xdr:col>
      <xdr:colOff>0</xdr:colOff>
      <xdr:row>136</xdr:row>
      <xdr:rowOff>0</xdr:rowOff>
    </xdr:from>
    <xdr:ext cx="476250" cy="476250"/>
    <xdr:pic>
      <xdr:nvPicPr>
        <xdr:cNvPr id="0" name="image293.jpg"/>
        <xdr:cNvPicPr preferRelativeResize="0"/>
      </xdr:nvPicPr>
      <xdr:blipFill>
        <a:blip cstate="print" r:embed="rId104"/>
        <a:stretch>
          <a:fillRect/>
        </a:stretch>
      </xdr:blipFill>
      <xdr:spPr>
        <a:prstGeom prst="rect">
          <a:avLst/>
        </a:prstGeom>
        <a:noFill/>
      </xdr:spPr>
    </xdr:pic>
    <xdr:clientData fLocksWithSheet="0"/>
  </xdr:oneCellAnchor>
  <xdr:oneCellAnchor>
    <xdr:from>
      <xdr:col>3</xdr:col>
      <xdr:colOff>0</xdr:colOff>
      <xdr:row>137</xdr:row>
      <xdr:rowOff>0</xdr:rowOff>
    </xdr:from>
    <xdr:ext cx="476250" cy="476250"/>
    <xdr:pic>
      <xdr:nvPicPr>
        <xdr:cNvPr id="0" name="image512.jpg"/>
        <xdr:cNvPicPr preferRelativeResize="0"/>
      </xdr:nvPicPr>
      <xdr:blipFill>
        <a:blip cstate="print" r:embed="rId105"/>
        <a:stretch>
          <a:fillRect/>
        </a:stretch>
      </xdr:blipFill>
      <xdr:spPr>
        <a:prstGeom prst="rect">
          <a:avLst/>
        </a:prstGeom>
        <a:noFill/>
      </xdr:spPr>
    </xdr:pic>
    <xdr:clientData fLocksWithSheet="0"/>
  </xdr:oneCellAnchor>
  <xdr:oneCellAnchor>
    <xdr:from>
      <xdr:col>3</xdr:col>
      <xdr:colOff>0</xdr:colOff>
      <xdr:row>138</xdr:row>
      <xdr:rowOff>0</xdr:rowOff>
    </xdr:from>
    <xdr:ext cx="476250" cy="476250"/>
    <xdr:pic>
      <xdr:nvPicPr>
        <xdr:cNvPr id="0" name="image144.jpg"/>
        <xdr:cNvPicPr preferRelativeResize="0"/>
      </xdr:nvPicPr>
      <xdr:blipFill>
        <a:blip cstate="print" r:embed="rId106"/>
        <a:stretch>
          <a:fillRect/>
        </a:stretch>
      </xdr:blipFill>
      <xdr:spPr>
        <a:prstGeom prst="rect">
          <a:avLst/>
        </a:prstGeom>
        <a:noFill/>
      </xdr:spPr>
    </xdr:pic>
    <xdr:clientData fLocksWithSheet="0"/>
  </xdr:oneCellAnchor>
  <xdr:oneCellAnchor>
    <xdr:from>
      <xdr:col>3</xdr:col>
      <xdr:colOff>0</xdr:colOff>
      <xdr:row>139</xdr:row>
      <xdr:rowOff>0</xdr:rowOff>
    </xdr:from>
    <xdr:ext cx="476250" cy="476250"/>
    <xdr:pic>
      <xdr:nvPicPr>
        <xdr:cNvPr id="0" name="image140.jpg"/>
        <xdr:cNvPicPr preferRelativeResize="0"/>
      </xdr:nvPicPr>
      <xdr:blipFill>
        <a:blip cstate="print" r:embed="rId107"/>
        <a:stretch>
          <a:fillRect/>
        </a:stretch>
      </xdr:blipFill>
      <xdr:spPr>
        <a:prstGeom prst="rect">
          <a:avLst/>
        </a:prstGeom>
        <a:noFill/>
      </xdr:spPr>
    </xdr:pic>
    <xdr:clientData fLocksWithSheet="0"/>
  </xdr:oneCellAnchor>
  <xdr:oneCellAnchor>
    <xdr:from>
      <xdr:col>3</xdr:col>
      <xdr:colOff>0</xdr:colOff>
      <xdr:row>140</xdr:row>
      <xdr:rowOff>0</xdr:rowOff>
    </xdr:from>
    <xdr:ext cx="476250" cy="476250"/>
    <xdr:pic>
      <xdr:nvPicPr>
        <xdr:cNvPr id="0" name="image516.jpg"/>
        <xdr:cNvPicPr preferRelativeResize="0"/>
      </xdr:nvPicPr>
      <xdr:blipFill>
        <a:blip cstate="print" r:embed="rId108"/>
        <a:stretch>
          <a:fillRect/>
        </a:stretch>
      </xdr:blipFill>
      <xdr:spPr>
        <a:prstGeom prst="rect">
          <a:avLst/>
        </a:prstGeom>
        <a:noFill/>
      </xdr:spPr>
    </xdr:pic>
    <xdr:clientData fLocksWithSheet="0"/>
  </xdr:oneCellAnchor>
  <xdr:oneCellAnchor>
    <xdr:from>
      <xdr:col>3</xdr:col>
      <xdr:colOff>0</xdr:colOff>
      <xdr:row>141</xdr:row>
      <xdr:rowOff>0</xdr:rowOff>
    </xdr:from>
    <xdr:ext cx="476250" cy="476250"/>
    <xdr:pic>
      <xdr:nvPicPr>
        <xdr:cNvPr id="0" name="image519.jp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142</xdr:row>
      <xdr:rowOff>0</xdr:rowOff>
    </xdr:from>
    <xdr:ext cx="476250" cy="476250"/>
    <xdr:pic>
      <xdr:nvPicPr>
        <xdr:cNvPr id="0" name="image313.jpg"/>
        <xdr:cNvPicPr preferRelativeResize="0"/>
      </xdr:nvPicPr>
      <xdr:blipFill>
        <a:blip cstate="print" r:embed="rId93"/>
        <a:stretch>
          <a:fillRect/>
        </a:stretch>
      </xdr:blipFill>
      <xdr:spPr>
        <a:prstGeom prst="rect">
          <a:avLst/>
        </a:prstGeom>
        <a:noFill/>
      </xdr:spPr>
    </xdr:pic>
    <xdr:clientData fLocksWithSheet="0"/>
  </xdr:oneCellAnchor>
  <xdr:oneCellAnchor>
    <xdr:from>
      <xdr:col>3</xdr:col>
      <xdr:colOff>0</xdr:colOff>
      <xdr:row>143</xdr:row>
      <xdr:rowOff>0</xdr:rowOff>
    </xdr:from>
    <xdr:ext cx="476250" cy="476250"/>
    <xdr:pic>
      <xdr:nvPicPr>
        <xdr:cNvPr id="0" name="image303.jpg"/>
        <xdr:cNvPicPr preferRelativeResize="0"/>
      </xdr:nvPicPr>
      <xdr:blipFill>
        <a:blip cstate="print" r:embed="rId110"/>
        <a:stretch>
          <a:fillRect/>
        </a:stretch>
      </xdr:blipFill>
      <xdr:spPr>
        <a:prstGeom prst="rect">
          <a:avLst/>
        </a:prstGeom>
        <a:noFill/>
      </xdr:spPr>
    </xdr:pic>
    <xdr:clientData fLocksWithSheet="0"/>
  </xdr:oneCellAnchor>
  <xdr:oneCellAnchor>
    <xdr:from>
      <xdr:col>3</xdr:col>
      <xdr:colOff>0</xdr:colOff>
      <xdr:row>144</xdr:row>
      <xdr:rowOff>0</xdr:rowOff>
    </xdr:from>
    <xdr:ext cx="476250" cy="476250"/>
    <xdr:pic>
      <xdr:nvPicPr>
        <xdr:cNvPr id="0" name="image219.jp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145</xdr:row>
      <xdr:rowOff>0</xdr:rowOff>
    </xdr:from>
    <xdr:ext cx="476250" cy="476250"/>
    <xdr:pic>
      <xdr:nvPicPr>
        <xdr:cNvPr id="0" name="image267.jpg"/>
        <xdr:cNvPicPr preferRelativeResize="0"/>
      </xdr:nvPicPr>
      <xdr:blipFill>
        <a:blip cstate="print" r:embed="rId112"/>
        <a:stretch>
          <a:fillRect/>
        </a:stretch>
      </xdr:blipFill>
      <xdr:spPr>
        <a:prstGeom prst="rect">
          <a:avLst/>
        </a:prstGeom>
        <a:noFill/>
      </xdr:spPr>
    </xdr:pic>
    <xdr:clientData fLocksWithSheet="0"/>
  </xdr:oneCellAnchor>
  <xdr:oneCellAnchor>
    <xdr:from>
      <xdr:col>3</xdr:col>
      <xdr:colOff>0</xdr:colOff>
      <xdr:row>146</xdr:row>
      <xdr:rowOff>0</xdr:rowOff>
    </xdr:from>
    <xdr:ext cx="476250" cy="476250"/>
    <xdr:pic>
      <xdr:nvPicPr>
        <xdr:cNvPr id="0" name="image479.jp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147</xdr:row>
      <xdr:rowOff>0</xdr:rowOff>
    </xdr:from>
    <xdr:ext cx="476250" cy="476250"/>
    <xdr:pic>
      <xdr:nvPicPr>
        <xdr:cNvPr id="0" name="image524.jpg"/>
        <xdr:cNvPicPr preferRelativeResize="0"/>
      </xdr:nvPicPr>
      <xdr:blipFill>
        <a:blip cstate="print" r:embed="rId113"/>
        <a:stretch>
          <a:fillRect/>
        </a:stretch>
      </xdr:blipFill>
      <xdr:spPr>
        <a:prstGeom prst="rect">
          <a:avLst/>
        </a:prstGeom>
        <a:noFill/>
      </xdr:spPr>
    </xdr:pic>
    <xdr:clientData fLocksWithSheet="0"/>
  </xdr:oneCellAnchor>
  <xdr:oneCellAnchor>
    <xdr:from>
      <xdr:col>3</xdr:col>
      <xdr:colOff>0</xdr:colOff>
      <xdr:row>148</xdr:row>
      <xdr:rowOff>0</xdr:rowOff>
    </xdr:from>
    <xdr:ext cx="476250" cy="476250"/>
    <xdr:pic>
      <xdr:nvPicPr>
        <xdr:cNvPr id="0" name="image518.jpg"/>
        <xdr:cNvPicPr preferRelativeResize="0"/>
      </xdr:nvPicPr>
      <xdr:blipFill>
        <a:blip cstate="print" r:embed="rId114"/>
        <a:stretch>
          <a:fillRect/>
        </a:stretch>
      </xdr:blipFill>
      <xdr:spPr>
        <a:prstGeom prst="rect">
          <a:avLst/>
        </a:prstGeom>
        <a:noFill/>
      </xdr:spPr>
    </xdr:pic>
    <xdr:clientData fLocksWithSheet="0"/>
  </xdr:oneCellAnchor>
  <xdr:oneCellAnchor>
    <xdr:from>
      <xdr:col>3</xdr:col>
      <xdr:colOff>0</xdr:colOff>
      <xdr:row>149</xdr:row>
      <xdr:rowOff>0</xdr:rowOff>
    </xdr:from>
    <xdr:ext cx="476250" cy="476250"/>
    <xdr:pic>
      <xdr:nvPicPr>
        <xdr:cNvPr id="0" name="image619.jp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150</xdr:row>
      <xdr:rowOff>0</xdr:rowOff>
    </xdr:from>
    <xdr:ext cx="476250" cy="476250"/>
    <xdr:pic>
      <xdr:nvPicPr>
        <xdr:cNvPr id="0" name="image254.jpg"/>
        <xdr:cNvPicPr preferRelativeResize="0"/>
      </xdr:nvPicPr>
      <xdr:blipFill>
        <a:blip cstate="print" r:embed="rId116"/>
        <a:stretch>
          <a:fillRect/>
        </a:stretch>
      </xdr:blipFill>
      <xdr:spPr>
        <a:prstGeom prst="rect">
          <a:avLst/>
        </a:prstGeom>
        <a:noFill/>
      </xdr:spPr>
    </xdr:pic>
    <xdr:clientData fLocksWithSheet="0"/>
  </xdr:oneCellAnchor>
  <xdr:oneCellAnchor>
    <xdr:from>
      <xdr:col>3</xdr:col>
      <xdr:colOff>0</xdr:colOff>
      <xdr:row>151</xdr:row>
      <xdr:rowOff>0</xdr:rowOff>
    </xdr:from>
    <xdr:ext cx="476250" cy="476250"/>
    <xdr:pic>
      <xdr:nvPicPr>
        <xdr:cNvPr id="0" name="image510.jpg"/>
        <xdr:cNvPicPr preferRelativeResize="0"/>
      </xdr:nvPicPr>
      <xdr:blipFill>
        <a:blip cstate="print" r:embed="rId117"/>
        <a:stretch>
          <a:fillRect/>
        </a:stretch>
      </xdr:blipFill>
      <xdr:spPr>
        <a:prstGeom prst="rect">
          <a:avLst/>
        </a:prstGeom>
        <a:noFill/>
      </xdr:spPr>
    </xdr:pic>
    <xdr:clientData fLocksWithSheet="0"/>
  </xdr:oneCellAnchor>
  <xdr:oneCellAnchor>
    <xdr:from>
      <xdr:col>3</xdr:col>
      <xdr:colOff>0</xdr:colOff>
      <xdr:row>152</xdr:row>
      <xdr:rowOff>0</xdr:rowOff>
    </xdr:from>
    <xdr:ext cx="476250" cy="476250"/>
    <xdr:pic>
      <xdr:nvPicPr>
        <xdr:cNvPr id="0" name="image402.jpg"/>
        <xdr:cNvPicPr preferRelativeResize="0"/>
      </xdr:nvPicPr>
      <xdr:blipFill>
        <a:blip cstate="print" r:embed="rId118"/>
        <a:stretch>
          <a:fillRect/>
        </a:stretch>
      </xdr:blipFill>
      <xdr:spPr>
        <a:prstGeom prst="rect">
          <a:avLst/>
        </a:prstGeom>
        <a:noFill/>
      </xdr:spPr>
    </xdr:pic>
    <xdr:clientData fLocksWithSheet="0"/>
  </xdr:oneCellAnchor>
  <xdr:oneCellAnchor>
    <xdr:from>
      <xdr:col>3</xdr:col>
      <xdr:colOff>0</xdr:colOff>
      <xdr:row>153</xdr:row>
      <xdr:rowOff>0</xdr:rowOff>
    </xdr:from>
    <xdr:ext cx="476250" cy="476250"/>
    <xdr:pic>
      <xdr:nvPicPr>
        <xdr:cNvPr id="0" name="image601.jp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154</xdr:row>
      <xdr:rowOff>0</xdr:rowOff>
    </xdr:from>
    <xdr:ext cx="476250" cy="476250"/>
    <xdr:pic>
      <xdr:nvPicPr>
        <xdr:cNvPr id="0" name="image517.jpg"/>
        <xdr:cNvPicPr preferRelativeResize="0"/>
      </xdr:nvPicPr>
      <xdr:blipFill>
        <a:blip cstate="print" r:embed="rId120"/>
        <a:stretch>
          <a:fillRect/>
        </a:stretch>
      </xdr:blipFill>
      <xdr:spPr>
        <a:prstGeom prst="rect">
          <a:avLst/>
        </a:prstGeom>
        <a:noFill/>
      </xdr:spPr>
    </xdr:pic>
    <xdr:clientData fLocksWithSheet="0"/>
  </xdr:oneCellAnchor>
  <xdr:oneCellAnchor>
    <xdr:from>
      <xdr:col>3</xdr:col>
      <xdr:colOff>0</xdr:colOff>
      <xdr:row>155</xdr:row>
      <xdr:rowOff>0</xdr:rowOff>
    </xdr:from>
    <xdr:ext cx="476250" cy="476250"/>
    <xdr:pic>
      <xdr:nvPicPr>
        <xdr:cNvPr id="0" name="image561.jp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156</xdr:row>
      <xdr:rowOff>0</xdr:rowOff>
    </xdr:from>
    <xdr:ext cx="476250" cy="476250"/>
    <xdr:pic>
      <xdr:nvPicPr>
        <xdr:cNvPr id="0" name="image132.jpg"/>
        <xdr:cNvPicPr preferRelativeResize="0"/>
      </xdr:nvPicPr>
      <xdr:blipFill>
        <a:blip cstate="print" r:embed="rId122"/>
        <a:stretch>
          <a:fillRect/>
        </a:stretch>
      </xdr:blipFill>
      <xdr:spPr>
        <a:prstGeom prst="rect">
          <a:avLst/>
        </a:prstGeom>
        <a:noFill/>
      </xdr:spPr>
    </xdr:pic>
    <xdr:clientData fLocksWithSheet="0"/>
  </xdr:oneCellAnchor>
  <xdr:oneCellAnchor>
    <xdr:from>
      <xdr:col>3</xdr:col>
      <xdr:colOff>0</xdr:colOff>
      <xdr:row>157</xdr:row>
      <xdr:rowOff>0</xdr:rowOff>
    </xdr:from>
    <xdr:ext cx="476250" cy="476250"/>
    <xdr:pic>
      <xdr:nvPicPr>
        <xdr:cNvPr id="0" name="image508.jpg"/>
        <xdr:cNvPicPr preferRelativeResize="0"/>
      </xdr:nvPicPr>
      <xdr:blipFill>
        <a:blip cstate="print" r:embed="rId123"/>
        <a:stretch>
          <a:fillRect/>
        </a:stretch>
      </xdr:blipFill>
      <xdr:spPr>
        <a:prstGeom prst="rect">
          <a:avLst/>
        </a:prstGeom>
        <a:noFill/>
      </xdr:spPr>
    </xdr:pic>
    <xdr:clientData fLocksWithSheet="0"/>
  </xdr:oneCellAnchor>
  <xdr:oneCellAnchor>
    <xdr:from>
      <xdr:col>3</xdr:col>
      <xdr:colOff>0</xdr:colOff>
      <xdr:row>158</xdr:row>
      <xdr:rowOff>0</xdr:rowOff>
    </xdr:from>
    <xdr:ext cx="476250" cy="476250"/>
    <xdr:pic>
      <xdr:nvPicPr>
        <xdr:cNvPr id="0" name="image525.jpg"/>
        <xdr:cNvPicPr preferRelativeResize="0"/>
      </xdr:nvPicPr>
      <xdr:blipFill>
        <a:blip cstate="print" r:embed="rId124"/>
        <a:stretch>
          <a:fillRect/>
        </a:stretch>
      </xdr:blipFill>
      <xdr:spPr>
        <a:prstGeom prst="rect">
          <a:avLst/>
        </a:prstGeom>
        <a:noFill/>
      </xdr:spPr>
    </xdr:pic>
    <xdr:clientData fLocksWithSheet="0"/>
  </xdr:oneCellAnchor>
  <xdr:oneCellAnchor>
    <xdr:from>
      <xdr:col>3</xdr:col>
      <xdr:colOff>0</xdr:colOff>
      <xdr:row>159</xdr:row>
      <xdr:rowOff>0</xdr:rowOff>
    </xdr:from>
    <xdr:ext cx="476250" cy="476250"/>
    <xdr:pic>
      <xdr:nvPicPr>
        <xdr:cNvPr id="0" name="image514.jpg"/>
        <xdr:cNvPicPr preferRelativeResize="0"/>
      </xdr:nvPicPr>
      <xdr:blipFill>
        <a:blip cstate="print" r:embed="rId125"/>
        <a:stretch>
          <a:fillRect/>
        </a:stretch>
      </xdr:blipFill>
      <xdr:spPr>
        <a:prstGeom prst="rect">
          <a:avLst/>
        </a:prstGeom>
        <a:noFill/>
      </xdr:spPr>
    </xdr:pic>
    <xdr:clientData fLocksWithSheet="0"/>
  </xdr:oneCellAnchor>
  <xdr:oneCellAnchor>
    <xdr:from>
      <xdr:col>3</xdr:col>
      <xdr:colOff>0</xdr:colOff>
      <xdr:row>160</xdr:row>
      <xdr:rowOff>0</xdr:rowOff>
    </xdr:from>
    <xdr:ext cx="476250" cy="476250"/>
    <xdr:pic>
      <xdr:nvPicPr>
        <xdr:cNvPr id="0" name="image310.jpg"/>
        <xdr:cNvPicPr preferRelativeResize="0"/>
      </xdr:nvPicPr>
      <xdr:blipFill>
        <a:blip cstate="print" r:embed="rId126"/>
        <a:stretch>
          <a:fillRect/>
        </a:stretch>
      </xdr:blipFill>
      <xdr:spPr>
        <a:prstGeom prst="rect">
          <a:avLst/>
        </a:prstGeom>
        <a:noFill/>
      </xdr:spPr>
    </xdr:pic>
    <xdr:clientData fLocksWithSheet="0"/>
  </xdr:oneCellAnchor>
  <xdr:oneCellAnchor>
    <xdr:from>
      <xdr:col>3</xdr:col>
      <xdr:colOff>0</xdr:colOff>
      <xdr:row>161</xdr:row>
      <xdr:rowOff>0</xdr:rowOff>
    </xdr:from>
    <xdr:ext cx="476250" cy="476250"/>
    <xdr:pic>
      <xdr:nvPicPr>
        <xdr:cNvPr id="0" name="image529.jpg"/>
        <xdr:cNvPicPr preferRelativeResize="0"/>
      </xdr:nvPicPr>
      <xdr:blipFill>
        <a:blip cstate="print" r:embed="rId127"/>
        <a:stretch>
          <a:fillRect/>
        </a:stretch>
      </xdr:blipFill>
      <xdr:spPr>
        <a:prstGeom prst="rect">
          <a:avLst/>
        </a:prstGeom>
        <a:noFill/>
      </xdr:spPr>
    </xdr:pic>
    <xdr:clientData fLocksWithSheet="0"/>
  </xdr:oneCellAnchor>
  <xdr:oneCellAnchor>
    <xdr:from>
      <xdr:col>3</xdr:col>
      <xdr:colOff>0</xdr:colOff>
      <xdr:row>162</xdr:row>
      <xdr:rowOff>0</xdr:rowOff>
    </xdr:from>
    <xdr:ext cx="476250" cy="476250"/>
    <xdr:pic>
      <xdr:nvPicPr>
        <xdr:cNvPr id="0" name="image110.jpg"/>
        <xdr:cNvPicPr preferRelativeResize="0"/>
      </xdr:nvPicPr>
      <xdr:blipFill>
        <a:blip cstate="print" r:embed="rId128"/>
        <a:stretch>
          <a:fillRect/>
        </a:stretch>
      </xdr:blipFill>
      <xdr:spPr>
        <a:prstGeom prst="rect">
          <a:avLst/>
        </a:prstGeom>
        <a:noFill/>
      </xdr:spPr>
    </xdr:pic>
    <xdr:clientData fLocksWithSheet="0"/>
  </xdr:oneCellAnchor>
  <xdr:oneCellAnchor>
    <xdr:from>
      <xdr:col>3</xdr:col>
      <xdr:colOff>0</xdr:colOff>
      <xdr:row>163</xdr:row>
      <xdr:rowOff>0</xdr:rowOff>
    </xdr:from>
    <xdr:ext cx="476250" cy="476250"/>
    <xdr:pic>
      <xdr:nvPicPr>
        <xdr:cNvPr id="0" name="image184.jpg"/>
        <xdr:cNvPicPr preferRelativeResize="0"/>
      </xdr:nvPicPr>
      <xdr:blipFill>
        <a:blip cstate="print" r:embed="rId129"/>
        <a:stretch>
          <a:fillRect/>
        </a:stretch>
      </xdr:blipFill>
      <xdr:spPr>
        <a:prstGeom prst="rect">
          <a:avLst/>
        </a:prstGeom>
        <a:noFill/>
      </xdr:spPr>
    </xdr:pic>
    <xdr:clientData fLocksWithSheet="0"/>
  </xdr:oneCellAnchor>
  <xdr:oneCellAnchor>
    <xdr:from>
      <xdr:col>3</xdr:col>
      <xdr:colOff>0</xdr:colOff>
      <xdr:row>164</xdr:row>
      <xdr:rowOff>0</xdr:rowOff>
    </xdr:from>
    <xdr:ext cx="476250" cy="476250"/>
    <xdr:pic>
      <xdr:nvPicPr>
        <xdr:cNvPr id="0" name="image130.jpg"/>
        <xdr:cNvPicPr preferRelativeResize="0"/>
      </xdr:nvPicPr>
      <xdr:blipFill>
        <a:blip cstate="print" r:embed="rId130"/>
        <a:stretch>
          <a:fillRect/>
        </a:stretch>
      </xdr:blipFill>
      <xdr:spPr>
        <a:prstGeom prst="rect">
          <a:avLst/>
        </a:prstGeom>
        <a:noFill/>
      </xdr:spPr>
    </xdr:pic>
    <xdr:clientData fLocksWithSheet="0"/>
  </xdr:oneCellAnchor>
  <xdr:oneCellAnchor>
    <xdr:from>
      <xdr:col>3</xdr:col>
      <xdr:colOff>0</xdr:colOff>
      <xdr:row>165</xdr:row>
      <xdr:rowOff>0</xdr:rowOff>
    </xdr:from>
    <xdr:ext cx="476250" cy="476250"/>
    <xdr:pic>
      <xdr:nvPicPr>
        <xdr:cNvPr id="0" name="image521.jpg"/>
        <xdr:cNvPicPr preferRelativeResize="0"/>
      </xdr:nvPicPr>
      <xdr:blipFill>
        <a:blip cstate="print" r:embed="rId131"/>
        <a:stretch>
          <a:fillRect/>
        </a:stretch>
      </xdr:blipFill>
      <xdr:spPr>
        <a:prstGeom prst="rect">
          <a:avLst/>
        </a:prstGeom>
        <a:noFill/>
      </xdr:spPr>
    </xdr:pic>
    <xdr:clientData fLocksWithSheet="0"/>
  </xdr:oneCellAnchor>
  <xdr:oneCellAnchor>
    <xdr:from>
      <xdr:col>3</xdr:col>
      <xdr:colOff>0</xdr:colOff>
      <xdr:row>166</xdr:row>
      <xdr:rowOff>0</xdr:rowOff>
    </xdr:from>
    <xdr:ext cx="476250" cy="476250"/>
    <xdr:pic>
      <xdr:nvPicPr>
        <xdr:cNvPr id="0" name="image514.jpg"/>
        <xdr:cNvPicPr preferRelativeResize="0"/>
      </xdr:nvPicPr>
      <xdr:blipFill>
        <a:blip cstate="print" r:embed="rId125"/>
        <a:stretch>
          <a:fillRect/>
        </a:stretch>
      </xdr:blipFill>
      <xdr:spPr>
        <a:prstGeom prst="rect">
          <a:avLst/>
        </a:prstGeom>
        <a:noFill/>
      </xdr:spPr>
    </xdr:pic>
    <xdr:clientData fLocksWithSheet="0"/>
  </xdr:oneCellAnchor>
  <xdr:oneCellAnchor>
    <xdr:from>
      <xdr:col>3</xdr:col>
      <xdr:colOff>0</xdr:colOff>
      <xdr:row>167</xdr:row>
      <xdr:rowOff>0</xdr:rowOff>
    </xdr:from>
    <xdr:ext cx="476250" cy="476250"/>
    <xdr:pic>
      <xdr:nvPicPr>
        <xdr:cNvPr id="0" name="image514.jpg"/>
        <xdr:cNvPicPr preferRelativeResize="0"/>
      </xdr:nvPicPr>
      <xdr:blipFill>
        <a:blip cstate="print" r:embed="rId125"/>
        <a:stretch>
          <a:fillRect/>
        </a:stretch>
      </xdr:blipFill>
      <xdr:spPr>
        <a:prstGeom prst="rect">
          <a:avLst/>
        </a:prstGeom>
        <a:noFill/>
      </xdr:spPr>
    </xdr:pic>
    <xdr:clientData fLocksWithSheet="0"/>
  </xdr:oneCellAnchor>
  <xdr:oneCellAnchor>
    <xdr:from>
      <xdr:col>3</xdr:col>
      <xdr:colOff>0</xdr:colOff>
      <xdr:row>168</xdr:row>
      <xdr:rowOff>0</xdr:rowOff>
    </xdr:from>
    <xdr:ext cx="476250" cy="476250"/>
    <xdr:pic>
      <xdr:nvPicPr>
        <xdr:cNvPr id="0" name="image205.jp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169</xdr:row>
      <xdr:rowOff>0</xdr:rowOff>
    </xdr:from>
    <xdr:ext cx="476250" cy="476250"/>
    <xdr:pic>
      <xdr:nvPicPr>
        <xdr:cNvPr id="0" name="image268.jpg"/>
        <xdr:cNvPicPr preferRelativeResize="0"/>
      </xdr:nvPicPr>
      <xdr:blipFill>
        <a:blip cstate="print" r:embed="rId133"/>
        <a:stretch>
          <a:fillRect/>
        </a:stretch>
      </xdr:blipFill>
      <xdr:spPr>
        <a:prstGeom prst="rect">
          <a:avLst/>
        </a:prstGeom>
        <a:noFill/>
      </xdr:spPr>
    </xdr:pic>
    <xdr:clientData fLocksWithSheet="0"/>
  </xdr:oneCellAnchor>
  <xdr:oneCellAnchor>
    <xdr:from>
      <xdr:col>3</xdr:col>
      <xdr:colOff>0</xdr:colOff>
      <xdr:row>170</xdr:row>
      <xdr:rowOff>0</xdr:rowOff>
    </xdr:from>
    <xdr:ext cx="476250" cy="476250"/>
    <xdr:pic>
      <xdr:nvPicPr>
        <xdr:cNvPr id="0" name="image523.jpg"/>
        <xdr:cNvPicPr preferRelativeResize="0"/>
      </xdr:nvPicPr>
      <xdr:blipFill>
        <a:blip cstate="print" r:embed="rId134"/>
        <a:stretch>
          <a:fillRect/>
        </a:stretch>
      </xdr:blipFill>
      <xdr:spPr>
        <a:prstGeom prst="rect">
          <a:avLst/>
        </a:prstGeom>
        <a:noFill/>
      </xdr:spPr>
    </xdr:pic>
    <xdr:clientData fLocksWithSheet="0"/>
  </xdr:oneCellAnchor>
  <xdr:oneCellAnchor>
    <xdr:from>
      <xdr:col>3</xdr:col>
      <xdr:colOff>0</xdr:colOff>
      <xdr:row>171</xdr:row>
      <xdr:rowOff>0</xdr:rowOff>
    </xdr:from>
    <xdr:ext cx="476250" cy="476250"/>
    <xdr:pic>
      <xdr:nvPicPr>
        <xdr:cNvPr id="0" name="image516.jpg"/>
        <xdr:cNvPicPr preferRelativeResize="0"/>
      </xdr:nvPicPr>
      <xdr:blipFill>
        <a:blip cstate="print" r:embed="rId108"/>
        <a:stretch>
          <a:fillRect/>
        </a:stretch>
      </xdr:blipFill>
      <xdr:spPr>
        <a:prstGeom prst="rect">
          <a:avLst/>
        </a:prstGeom>
        <a:noFill/>
      </xdr:spPr>
    </xdr:pic>
    <xdr:clientData fLocksWithSheet="0"/>
  </xdr:oneCellAnchor>
  <xdr:oneCellAnchor>
    <xdr:from>
      <xdr:col>3</xdr:col>
      <xdr:colOff>0</xdr:colOff>
      <xdr:row>172</xdr:row>
      <xdr:rowOff>0</xdr:rowOff>
    </xdr:from>
    <xdr:ext cx="476250" cy="476250"/>
    <xdr:pic>
      <xdr:nvPicPr>
        <xdr:cNvPr id="0" name="image205.jp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173</xdr:row>
      <xdr:rowOff>0</xdr:rowOff>
    </xdr:from>
    <xdr:ext cx="476250" cy="476250"/>
    <xdr:pic>
      <xdr:nvPicPr>
        <xdr:cNvPr id="0" name="image125.jpg"/>
        <xdr:cNvPicPr preferRelativeResize="0"/>
      </xdr:nvPicPr>
      <xdr:blipFill>
        <a:blip cstate="print" r:embed="rId135"/>
        <a:stretch>
          <a:fillRect/>
        </a:stretch>
      </xdr:blipFill>
      <xdr:spPr>
        <a:prstGeom prst="rect">
          <a:avLst/>
        </a:prstGeom>
        <a:noFill/>
      </xdr:spPr>
    </xdr:pic>
    <xdr:clientData fLocksWithSheet="0"/>
  </xdr:oneCellAnchor>
  <xdr:oneCellAnchor>
    <xdr:from>
      <xdr:col>3</xdr:col>
      <xdr:colOff>0</xdr:colOff>
      <xdr:row>174</xdr:row>
      <xdr:rowOff>0</xdr:rowOff>
    </xdr:from>
    <xdr:ext cx="476250" cy="476250"/>
    <xdr:pic>
      <xdr:nvPicPr>
        <xdr:cNvPr id="0" name="image482.jp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175</xdr:row>
      <xdr:rowOff>0</xdr:rowOff>
    </xdr:from>
    <xdr:ext cx="476250" cy="476250"/>
    <xdr:pic>
      <xdr:nvPicPr>
        <xdr:cNvPr id="0" name="image515.jpg"/>
        <xdr:cNvPicPr preferRelativeResize="0"/>
      </xdr:nvPicPr>
      <xdr:blipFill>
        <a:blip cstate="print" r:embed="rId136"/>
        <a:stretch>
          <a:fillRect/>
        </a:stretch>
      </xdr:blipFill>
      <xdr:spPr>
        <a:prstGeom prst="rect">
          <a:avLst/>
        </a:prstGeom>
        <a:noFill/>
      </xdr:spPr>
    </xdr:pic>
    <xdr:clientData fLocksWithSheet="0"/>
  </xdr:oneCellAnchor>
  <xdr:oneCellAnchor>
    <xdr:from>
      <xdr:col>3</xdr:col>
      <xdr:colOff>0</xdr:colOff>
      <xdr:row>176</xdr:row>
      <xdr:rowOff>0</xdr:rowOff>
    </xdr:from>
    <xdr:ext cx="476250" cy="476250"/>
    <xdr:pic>
      <xdr:nvPicPr>
        <xdr:cNvPr id="0" name="image522.jpg"/>
        <xdr:cNvPicPr preferRelativeResize="0"/>
      </xdr:nvPicPr>
      <xdr:blipFill>
        <a:blip cstate="print" r:embed="rId137"/>
        <a:stretch>
          <a:fillRect/>
        </a:stretch>
      </xdr:blipFill>
      <xdr:spPr>
        <a:prstGeom prst="rect">
          <a:avLst/>
        </a:prstGeom>
        <a:noFill/>
      </xdr:spPr>
    </xdr:pic>
    <xdr:clientData fLocksWithSheet="0"/>
  </xdr:oneCellAnchor>
  <xdr:oneCellAnchor>
    <xdr:from>
      <xdr:col>3</xdr:col>
      <xdr:colOff>0</xdr:colOff>
      <xdr:row>177</xdr:row>
      <xdr:rowOff>0</xdr:rowOff>
    </xdr:from>
    <xdr:ext cx="476250" cy="476250"/>
    <xdr:pic>
      <xdr:nvPicPr>
        <xdr:cNvPr id="0" name="image186.jpg"/>
        <xdr:cNvPicPr preferRelativeResize="0"/>
      </xdr:nvPicPr>
      <xdr:blipFill>
        <a:blip cstate="print" r:embed="rId138"/>
        <a:stretch>
          <a:fillRect/>
        </a:stretch>
      </xdr:blipFill>
      <xdr:spPr>
        <a:prstGeom prst="rect">
          <a:avLst/>
        </a:prstGeom>
        <a:noFill/>
      </xdr:spPr>
    </xdr:pic>
    <xdr:clientData fLocksWithSheet="0"/>
  </xdr:oneCellAnchor>
  <xdr:oneCellAnchor>
    <xdr:from>
      <xdr:col>3</xdr:col>
      <xdr:colOff>0</xdr:colOff>
      <xdr:row>178</xdr:row>
      <xdr:rowOff>0</xdr:rowOff>
    </xdr:from>
    <xdr:ext cx="476250" cy="476250"/>
    <xdr:pic>
      <xdr:nvPicPr>
        <xdr:cNvPr id="0" name="image527.jpg"/>
        <xdr:cNvPicPr preferRelativeResize="0"/>
      </xdr:nvPicPr>
      <xdr:blipFill>
        <a:blip cstate="print" r:embed="rId139"/>
        <a:stretch>
          <a:fillRect/>
        </a:stretch>
      </xdr:blipFill>
      <xdr:spPr>
        <a:prstGeom prst="rect">
          <a:avLst/>
        </a:prstGeom>
        <a:noFill/>
      </xdr:spPr>
    </xdr:pic>
    <xdr:clientData fLocksWithSheet="0"/>
  </xdr:oneCellAnchor>
  <xdr:oneCellAnchor>
    <xdr:from>
      <xdr:col>3</xdr:col>
      <xdr:colOff>0</xdr:colOff>
      <xdr:row>179</xdr:row>
      <xdr:rowOff>0</xdr:rowOff>
    </xdr:from>
    <xdr:ext cx="476250" cy="476250"/>
    <xdr:pic>
      <xdr:nvPicPr>
        <xdr:cNvPr id="0" name="image524.jpg"/>
        <xdr:cNvPicPr preferRelativeResize="0"/>
      </xdr:nvPicPr>
      <xdr:blipFill>
        <a:blip cstate="print" r:embed="rId113"/>
        <a:stretch>
          <a:fillRect/>
        </a:stretch>
      </xdr:blipFill>
      <xdr:spPr>
        <a:prstGeom prst="rect">
          <a:avLst/>
        </a:prstGeom>
        <a:noFill/>
      </xdr:spPr>
    </xdr:pic>
    <xdr:clientData fLocksWithSheet="0"/>
  </xdr:oneCellAnchor>
  <xdr:oneCellAnchor>
    <xdr:from>
      <xdr:col>3</xdr:col>
      <xdr:colOff>0</xdr:colOff>
      <xdr:row>180</xdr:row>
      <xdr:rowOff>0</xdr:rowOff>
    </xdr:from>
    <xdr:ext cx="476250" cy="476250"/>
    <xdr:pic>
      <xdr:nvPicPr>
        <xdr:cNvPr id="0" name="image514.jpg"/>
        <xdr:cNvPicPr preferRelativeResize="0"/>
      </xdr:nvPicPr>
      <xdr:blipFill>
        <a:blip cstate="print" r:embed="rId125"/>
        <a:stretch>
          <a:fillRect/>
        </a:stretch>
      </xdr:blipFill>
      <xdr:spPr>
        <a:prstGeom prst="rect">
          <a:avLst/>
        </a:prstGeom>
        <a:noFill/>
      </xdr:spPr>
    </xdr:pic>
    <xdr:clientData fLocksWithSheet="0"/>
  </xdr:oneCellAnchor>
  <xdr:oneCellAnchor>
    <xdr:from>
      <xdr:col>3</xdr:col>
      <xdr:colOff>0</xdr:colOff>
      <xdr:row>181</xdr:row>
      <xdr:rowOff>0</xdr:rowOff>
    </xdr:from>
    <xdr:ext cx="476250" cy="476250"/>
    <xdr:pic>
      <xdr:nvPicPr>
        <xdr:cNvPr id="0" name="image303.jpg"/>
        <xdr:cNvPicPr preferRelativeResize="0"/>
      </xdr:nvPicPr>
      <xdr:blipFill>
        <a:blip cstate="print" r:embed="rId110"/>
        <a:stretch>
          <a:fillRect/>
        </a:stretch>
      </xdr:blipFill>
      <xdr:spPr>
        <a:prstGeom prst="rect">
          <a:avLst/>
        </a:prstGeom>
        <a:noFill/>
      </xdr:spPr>
    </xdr:pic>
    <xdr:clientData fLocksWithSheet="0"/>
  </xdr:oneCellAnchor>
  <xdr:oneCellAnchor>
    <xdr:from>
      <xdr:col>3</xdr:col>
      <xdr:colOff>0</xdr:colOff>
      <xdr:row>182</xdr:row>
      <xdr:rowOff>0</xdr:rowOff>
    </xdr:from>
    <xdr:ext cx="476250" cy="476250"/>
    <xdr:pic>
      <xdr:nvPicPr>
        <xdr:cNvPr id="0" name="image533.jpg"/>
        <xdr:cNvPicPr preferRelativeResize="0"/>
      </xdr:nvPicPr>
      <xdr:blipFill>
        <a:blip cstate="print" r:embed="rId140"/>
        <a:stretch>
          <a:fillRect/>
        </a:stretch>
      </xdr:blipFill>
      <xdr:spPr>
        <a:prstGeom prst="rect">
          <a:avLst/>
        </a:prstGeom>
        <a:noFill/>
      </xdr:spPr>
    </xdr:pic>
    <xdr:clientData fLocksWithSheet="0"/>
  </xdr:oneCellAnchor>
  <xdr:oneCellAnchor>
    <xdr:from>
      <xdr:col>3</xdr:col>
      <xdr:colOff>0</xdr:colOff>
      <xdr:row>183</xdr:row>
      <xdr:rowOff>0</xdr:rowOff>
    </xdr:from>
    <xdr:ext cx="476250" cy="476250"/>
    <xdr:pic>
      <xdr:nvPicPr>
        <xdr:cNvPr id="0" name="image150.jpg"/>
        <xdr:cNvPicPr preferRelativeResize="0"/>
      </xdr:nvPicPr>
      <xdr:blipFill>
        <a:blip cstate="print" r:embed="rId141"/>
        <a:stretch>
          <a:fillRect/>
        </a:stretch>
      </xdr:blipFill>
      <xdr:spPr>
        <a:prstGeom prst="rect">
          <a:avLst/>
        </a:prstGeom>
        <a:noFill/>
      </xdr:spPr>
    </xdr:pic>
    <xdr:clientData fLocksWithSheet="0"/>
  </xdr:oneCellAnchor>
  <xdr:oneCellAnchor>
    <xdr:from>
      <xdr:col>3</xdr:col>
      <xdr:colOff>0</xdr:colOff>
      <xdr:row>184</xdr:row>
      <xdr:rowOff>0</xdr:rowOff>
    </xdr:from>
    <xdr:ext cx="476250" cy="476250"/>
    <xdr:pic>
      <xdr:nvPicPr>
        <xdr:cNvPr id="0" name="image93.jpg"/>
        <xdr:cNvPicPr preferRelativeResize="0"/>
      </xdr:nvPicPr>
      <xdr:blipFill>
        <a:blip cstate="print" r:embed="rId142"/>
        <a:stretch>
          <a:fillRect/>
        </a:stretch>
      </xdr:blipFill>
      <xdr:spPr>
        <a:prstGeom prst="rect">
          <a:avLst/>
        </a:prstGeom>
        <a:noFill/>
      </xdr:spPr>
    </xdr:pic>
    <xdr:clientData fLocksWithSheet="0"/>
  </xdr:oneCellAnchor>
  <xdr:oneCellAnchor>
    <xdr:from>
      <xdr:col>3</xdr:col>
      <xdr:colOff>0</xdr:colOff>
      <xdr:row>185</xdr:row>
      <xdr:rowOff>0</xdr:rowOff>
    </xdr:from>
    <xdr:ext cx="476250" cy="476250"/>
    <xdr:pic>
      <xdr:nvPicPr>
        <xdr:cNvPr id="0" name="image513.jp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186</xdr:row>
      <xdr:rowOff>0</xdr:rowOff>
    </xdr:from>
    <xdr:ext cx="476250" cy="476250"/>
    <xdr:pic>
      <xdr:nvPicPr>
        <xdr:cNvPr id="0" name="image534.jpg"/>
        <xdr:cNvPicPr preferRelativeResize="0"/>
      </xdr:nvPicPr>
      <xdr:blipFill>
        <a:blip cstate="print" r:embed="rId143"/>
        <a:stretch>
          <a:fillRect/>
        </a:stretch>
      </xdr:blipFill>
      <xdr:spPr>
        <a:prstGeom prst="rect">
          <a:avLst/>
        </a:prstGeom>
        <a:noFill/>
      </xdr:spPr>
    </xdr:pic>
    <xdr:clientData fLocksWithSheet="0"/>
  </xdr:oneCellAnchor>
  <xdr:oneCellAnchor>
    <xdr:from>
      <xdr:col>3</xdr:col>
      <xdr:colOff>0</xdr:colOff>
      <xdr:row>187</xdr:row>
      <xdr:rowOff>0</xdr:rowOff>
    </xdr:from>
    <xdr:ext cx="476250" cy="476250"/>
    <xdr:pic>
      <xdr:nvPicPr>
        <xdr:cNvPr id="0" name="image532.jpg"/>
        <xdr:cNvPicPr preferRelativeResize="0"/>
      </xdr:nvPicPr>
      <xdr:blipFill>
        <a:blip cstate="print" r:embed="rId144"/>
        <a:stretch>
          <a:fillRect/>
        </a:stretch>
      </xdr:blipFill>
      <xdr:spPr>
        <a:prstGeom prst="rect">
          <a:avLst/>
        </a:prstGeom>
        <a:noFill/>
      </xdr:spPr>
    </xdr:pic>
    <xdr:clientData fLocksWithSheet="0"/>
  </xdr:oneCellAnchor>
  <xdr:oneCellAnchor>
    <xdr:from>
      <xdr:col>3</xdr:col>
      <xdr:colOff>0</xdr:colOff>
      <xdr:row>188</xdr:row>
      <xdr:rowOff>0</xdr:rowOff>
    </xdr:from>
    <xdr:ext cx="476250" cy="476250"/>
    <xdr:pic>
      <xdr:nvPicPr>
        <xdr:cNvPr id="0" name="image494.jpg"/>
        <xdr:cNvPicPr preferRelativeResize="0"/>
      </xdr:nvPicPr>
      <xdr:blipFill>
        <a:blip cstate="print" r:embed="rId95"/>
        <a:stretch>
          <a:fillRect/>
        </a:stretch>
      </xdr:blipFill>
      <xdr:spPr>
        <a:prstGeom prst="rect">
          <a:avLst/>
        </a:prstGeom>
        <a:noFill/>
      </xdr:spPr>
    </xdr:pic>
    <xdr:clientData fLocksWithSheet="0"/>
  </xdr:oneCellAnchor>
  <xdr:oneCellAnchor>
    <xdr:from>
      <xdr:col>3</xdr:col>
      <xdr:colOff>0</xdr:colOff>
      <xdr:row>189</xdr:row>
      <xdr:rowOff>0</xdr:rowOff>
    </xdr:from>
    <xdr:ext cx="476250" cy="476250"/>
    <xdr:pic>
      <xdr:nvPicPr>
        <xdr:cNvPr id="0" name="image279.jpg"/>
        <xdr:cNvPicPr preferRelativeResize="0"/>
      </xdr:nvPicPr>
      <xdr:blipFill>
        <a:blip cstate="print" r:embed="rId145"/>
        <a:stretch>
          <a:fillRect/>
        </a:stretch>
      </xdr:blipFill>
      <xdr:spPr>
        <a:prstGeom prst="rect">
          <a:avLst/>
        </a:prstGeom>
        <a:noFill/>
      </xdr:spPr>
    </xdr:pic>
    <xdr:clientData fLocksWithSheet="0"/>
  </xdr:oneCellAnchor>
  <xdr:oneCellAnchor>
    <xdr:from>
      <xdr:col>3</xdr:col>
      <xdr:colOff>0</xdr:colOff>
      <xdr:row>190</xdr:row>
      <xdr:rowOff>0</xdr:rowOff>
    </xdr:from>
    <xdr:ext cx="476250" cy="476250"/>
    <xdr:pic>
      <xdr:nvPicPr>
        <xdr:cNvPr id="0" name="image247.jpg"/>
        <xdr:cNvPicPr preferRelativeResize="0"/>
      </xdr:nvPicPr>
      <xdr:blipFill>
        <a:blip cstate="print" r:embed="rId146"/>
        <a:stretch>
          <a:fillRect/>
        </a:stretch>
      </xdr:blipFill>
      <xdr:spPr>
        <a:prstGeom prst="rect">
          <a:avLst/>
        </a:prstGeom>
        <a:noFill/>
      </xdr:spPr>
    </xdr:pic>
    <xdr:clientData fLocksWithSheet="0"/>
  </xdr:oneCellAnchor>
  <xdr:oneCellAnchor>
    <xdr:from>
      <xdr:col>3</xdr:col>
      <xdr:colOff>0</xdr:colOff>
      <xdr:row>191</xdr:row>
      <xdr:rowOff>0</xdr:rowOff>
    </xdr:from>
    <xdr:ext cx="476250" cy="476250"/>
    <xdr:pic>
      <xdr:nvPicPr>
        <xdr:cNvPr id="0" name="image310.jpg"/>
        <xdr:cNvPicPr preferRelativeResize="0"/>
      </xdr:nvPicPr>
      <xdr:blipFill>
        <a:blip cstate="print" r:embed="rId126"/>
        <a:stretch>
          <a:fillRect/>
        </a:stretch>
      </xdr:blipFill>
      <xdr:spPr>
        <a:prstGeom prst="rect">
          <a:avLst/>
        </a:prstGeom>
        <a:noFill/>
      </xdr:spPr>
    </xdr:pic>
    <xdr:clientData fLocksWithSheet="0"/>
  </xdr:oneCellAnchor>
  <xdr:oneCellAnchor>
    <xdr:from>
      <xdr:col>3</xdr:col>
      <xdr:colOff>0</xdr:colOff>
      <xdr:row>192</xdr:row>
      <xdr:rowOff>0</xdr:rowOff>
    </xdr:from>
    <xdr:ext cx="476250" cy="476250"/>
    <xdr:pic>
      <xdr:nvPicPr>
        <xdr:cNvPr id="0" name="image526.jpg"/>
        <xdr:cNvPicPr preferRelativeResize="0"/>
      </xdr:nvPicPr>
      <xdr:blipFill>
        <a:blip cstate="print" r:embed="rId147"/>
        <a:stretch>
          <a:fillRect/>
        </a:stretch>
      </xdr:blipFill>
      <xdr:spPr>
        <a:prstGeom prst="rect">
          <a:avLst/>
        </a:prstGeom>
        <a:noFill/>
      </xdr:spPr>
    </xdr:pic>
    <xdr:clientData fLocksWithSheet="0"/>
  </xdr:oneCellAnchor>
  <xdr:oneCellAnchor>
    <xdr:from>
      <xdr:col>3</xdr:col>
      <xdr:colOff>0</xdr:colOff>
      <xdr:row>193</xdr:row>
      <xdr:rowOff>0</xdr:rowOff>
    </xdr:from>
    <xdr:ext cx="476250" cy="476250"/>
    <xdr:pic>
      <xdr:nvPicPr>
        <xdr:cNvPr id="0" name="image539.jpg"/>
        <xdr:cNvPicPr preferRelativeResize="0"/>
      </xdr:nvPicPr>
      <xdr:blipFill>
        <a:blip cstate="print" r:embed="rId148"/>
        <a:stretch>
          <a:fillRect/>
        </a:stretch>
      </xdr:blipFill>
      <xdr:spPr>
        <a:prstGeom prst="rect">
          <a:avLst/>
        </a:prstGeom>
        <a:noFill/>
      </xdr:spPr>
    </xdr:pic>
    <xdr:clientData fLocksWithSheet="0"/>
  </xdr:oneCellAnchor>
  <xdr:oneCellAnchor>
    <xdr:from>
      <xdr:col>3</xdr:col>
      <xdr:colOff>0</xdr:colOff>
      <xdr:row>194</xdr:row>
      <xdr:rowOff>0</xdr:rowOff>
    </xdr:from>
    <xdr:ext cx="476250" cy="476250"/>
    <xdr:pic>
      <xdr:nvPicPr>
        <xdr:cNvPr id="0" name="image528.jpg"/>
        <xdr:cNvPicPr preferRelativeResize="0"/>
      </xdr:nvPicPr>
      <xdr:blipFill>
        <a:blip cstate="print" r:embed="rId149"/>
        <a:stretch>
          <a:fillRect/>
        </a:stretch>
      </xdr:blipFill>
      <xdr:spPr>
        <a:prstGeom prst="rect">
          <a:avLst/>
        </a:prstGeom>
        <a:noFill/>
      </xdr:spPr>
    </xdr:pic>
    <xdr:clientData fLocksWithSheet="0"/>
  </xdr:oneCellAnchor>
  <xdr:oneCellAnchor>
    <xdr:from>
      <xdr:col>3</xdr:col>
      <xdr:colOff>0</xdr:colOff>
      <xdr:row>195</xdr:row>
      <xdr:rowOff>0</xdr:rowOff>
    </xdr:from>
    <xdr:ext cx="476250" cy="476250"/>
    <xdr:pic>
      <xdr:nvPicPr>
        <xdr:cNvPr id="0" name="image105.jpg"/>
        <xdr:cNvPicPr preferRelativeResize="0"/>
      </xdr:nvPicPr>
      <xdr:blipFill>
        <a:blip cstate="print" r:embed="rId150"/>
        <a:stretch>
          <a:fillRect/>
        </a:stretch>
      </xdr:blipFill>
      <xdr:spPr>
        <a:prstGeom prst="rect">
          <a:avLst/>
        </a:prstGeom>
        <a:noFill/>
      </xdr:spPr>
    </xdr:pic>
    <xdr:clientData fLocksWithSheet="0"/>
  </xdr:oneCellAnchor>
  <xdr:oneCellAnchor>
    <xdr:from>
      <xdr:col>3</xdr:col>
      <xdr:colOff>0</xdr:colOff>
      <xdr:row>196</xdr:row>
      <xdr:rowOff>0</xdr:rowOff>
    </xdr:from>
    <xdr:ext cx="476250" cy="476250"/>
    <xdr:pic>
      <xdr:nvPicPr>
        <xdr:cNvPr id="0" name="image232.jpg"/>
        <xdr:cNvPicPr preferRelativeResize="0"/>
      </xdr:nvPicPr>
      <xdr:blipFill>
        <a:blip cstate="print" r:embed="rId151"/>
        <a:stretch>
          <a:fillRect/>
        </a:stretch>
      </xdr:blipFill>
      <xdr:spPr>
        <a:prstGeom prst="rect">
          <a:avLst/>
        </a:prstGeom>
        <a:noFill/>
      </xdr:spPr>
    </xdr:pic>
    <xdr:clientData fLocksWithSheet="0"/>
  </xdr:oneCellAnchor>
  <xdr:oneCellAnchor>
    <xdr:from>
      <xdr:col>3</xdr:col>
      <xdr:colOff>0</xdr:colOff>
      <xdr:row>197</xdr:row>
      <xdr:rowOff>0</xdr:rowOff>
    </xdr:from>
    <xdr:ext cx="476250" cy="476250"/>
    <xdr:pic>
      <xdr:nvPicPr>
        <xdr:cNvPr id="0" name="image181.jp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198</xdr:row>
      <xdr:rowOff>0</xdr:rowOff>
    </xdr:from>
    <xdr:ext cx="476250" cy="476250"/>
    <xdr:pic>
      <xdr:nvPicPr>
        <xdr:cNvPr id="0" name="image292.jpg"/>
        <xdr:cNvPicPr preferRelativeResize="0"/>
      </xdr:nvPicPr>
      <xdr:blipFill>
        <a:blip cstate="print" r:embed="rId85"/>
        <a:stretch>
          <a:fillRect/>
        </a:stretch>
      </xdr:blipFill>
      <xdr:spPr>
        <a:prstGeom prst="rect">
          <a:avLst/>
        </a:prstGeom>
        <a:noFill/>
      </xdr:spPr>
    </xdr:pic>
    <xdr:clientData fLocksWithSheet="0"/>
  </xdr:oneCellAnchor>
  <xdr:oneCellAnchor>
    <xdr:from>
      <xdr:col>3</xdr:col>
      <xdr:colOff>0</xdr:colOff>
      <xdr:row>199</xdr:row>
      <xdr:rowOff>0</xdr:rowOff>
    </xdr:from>
    <xdr:ext cx="476250" cy="476250"/>
    <xdr:pic>
      <xdr:nvPicPr>
        <xdr:cNvPr id="0" name="image172.jpg"/>
        <xdr:cNvPicPr preferRelativeResize="0"/>
      </xdr:nvPicPr>
      <xdr:blipFill>
        <a:blip cstate="print" r:embed="rId152"/>
        <a:stretch>
          <a:fillRect/>
        </a:stretch>
      </xdr:blipFill>
      <xdr:spPr>
        <a:prstGeom prst="rect">
          <a:avLst/>
        </a:prstGeom>
        <a:noFill/>
      </xdr:spPr>
    </xdr:pic>
    <xdr:clientData fLocksWithSheet="0"/>
  </xdr:oneCellAnchor>
  <xdr:oneCellAnchor>
    <xdr:from>
      <xdr:col>3</xdr:col>
      <xdr:colOff>0</xdr:colOff>
      <xdr:row>200</xdr:row>
      <xdr:rowOff>0</xdr:rowOff>
    </xdr:from>
    <xdr:ext cx="476250" cy="476250"/>
    <xdr:pic>
      <xdr:nvPicPr>
        <xdr:cNvPr id="0" name="image602.jpg"/>
        <xdr:cNvPicPr preferRelativeResize="0"/>
      </xdr:nvPicPr>
      <xdr:blipFill>
        <a:blip cstate="print" r:embed="rId153"/>
        <a:stretch>
          <a:fillRect/>
        </a:stretch>
      </xdr:blipFill>
      <xdr:spPr>
        <a:prstGeom prst="rect">
          <a:avLst/>
        </a:prstGeom>
        <a:noFill/>
      </xdr:spPr>
    </xdr:pic>
    <xdr:clientData fLocksWithSheet="0"/>
  </xdr:oneCellAnchor>
  <xdr:oneCellAnchor>
    <xdr:from>
      <xdr:col>3</xdr:col>
      <xdr:colOff>0</xdr:colOff>
      <xdr:row>201</xdr:row>
      <xdr:rowOff>0</xdr:rowOff>
    </xdr:from>
    <xdr:ext cx="476250" cy="476250"/>
    <xdr:pic>
      <xdr:nvPicPr>
        <xdr:cNvPr id="0" name="image528.jpg"/>
        <xdr:cNvPicPr preferRelativeResize="0"/>
      </xdr:nvPicPr>
      <xdr:blipFill>
        <a:blip cstate="print" r:embed="rId149"/>
        <a:stretch>
          <a:fillRect/>
        </a:stretch>
      </xdr:blipFill>
      <xdr:spPr>
        <a:prstGeom prst="rect">
          <a:avLst/>
        </a:prstGeom>
        <a:noFill/>
      </xdr:spPr>
    </xdr:pic>
    <xdr:clientData fLocksWithSheet="0"/>
  </xdr:oneCellAnchor>
  <xdr:oneCellAnchor>
    <xdr:from>
      <xdr:col>3</xdr:col>
      <xdr:colOff>0</xdr:colOff>
      <xdr:row>202</xdr:row>
      <xdr:rowOff>0</xdr:rowOff>
    </xdr:from>
    <xdr:ext cx="476250" cy="476250"/>
    <xdr:pic>
      <xdr:nvPicPr>
        <xdr:cNvPr id="0" name="image111.jpg"/>
        <xdr:cNvPicPr preferRelativeResize="0"/>
      </xdr:nvPicPr>
      <xdr:blipFill>
        <a:blip cstate="print" r:embed="rId154"/>
        <a:stretch>
          <a:fillRect/>
        </a:stretch>
      </xdr:blipFill>
      <xdr:spPr>
        <a:prstGeom prst="rect">
          <a:avLst/>
        </a:prstGeom>
        <a:noFill/>
      </xdr:spPr>
    </xdr:pic>
    <xdr:clientData fLocksWithSheet="0"/>
  </xdr:oneCellAnchor>
  <xdr:oneCellAnchor>
    <xdr:from>
      <xdr:col>3</xdr:col>
      <xdr:colOff>0</xdr:colOff>
      <xdr:row>203</xdr:row>
      <xdr:rowOff>0</xdr:rowOff>
    </xdr:from>
    <xdr:ext cx="476250" cy="476250"/>
    <xdr:pic>
      <xdr:nvPicPr>
        <xdr:cNvPr id="0" name="image232.jpg"/>
        <xdr:cNvPicPr preferRelativeResize="0"/>
      </xdr:nvPicPr>
      <xdr:blipFill>
        <a:blip cstate="print" r:embed="rId151"/>
        <a:stretch>
          <a:fillRect/>
        </a:stretch>
      </xdr:blipFill>
      <xdr:spPr>
        <a:prstGeom prst="rect">
          <a:avLst/>
        </a:prstGeom>
        <a:noFill/>
      </xdr:spPr>
    </xdr:pic>
    <xdr:clientData fLocksWithSheet="0"/>
  </xdr:oneCellAnchor>
  <xdr:oneCellAnchor>
    <xdr:from>
      <xdr:col>3</xdr:col>
      <xdr:colOff>0</xdr:colOff>
      <xdr:row>204</xdr:row>
      <xdr:rowOff>0</xdr:rowOff>
    </xdr:from>
    <xdr:ext cx="476250" cy="476250"/>
    <xdr:pic>
      <xdr:nvPicPr>
        <xdr:cNvPr id="0" name="image536.jpg"/>
        <xdr:cNvPicPr preferRelativeResize="0"/>
      </xdr:nvPicPr>
      <xdr:blipFill>
        <a:blip cstate="print" r:embed="rId155"/>
        <a:stretch>
          <a:fillRect/>
        </a:stretch>
      </xdr:blipFill>
      <xdr:spPr>
        <a:prstGeom prst="rect">
          <a:avLst/>
        </a:prstGeom>
        <a:noFill/>
      </xdr:spPr>
    </xdr:pic>
    <xdr:clientData fLocksWithSheet="0"/>
  </xdr:oneCellAnchor>
  <xdr:oneCellAnchor>
    <xdr:from>
      <xdr:col>3</xdr:col>
      <xdr:colOff>0</xdr:colOff>
      <xdr:row>205</xdr:row>
      <xdr:rowOff>0</xdr:rowOff>
    </xdr:from>
    <xdr:ext cx="476250" cy="476250"/>
    <xdr:pic>
      <xdr:nvPicPr>
        <xdr:cNvPr id="0" name="image141.jpg"/>
        <xdr:cNvPicPr preferRelativeResize="0"/>
      </xdr:nvPicPr>
      <xdr:blipFill>
        <a:blip cstate="print" r:embed="rId156"/>
        <a:stretch>
          <a:fillRect/>
        </a:stretch>
      </xdr:blipFill>
      <xdr:spPr>
        <a:prstGeom prst="rect">
          <a:avLst/>
        </a:prstGeom>
        <a:noFill/>
      </xdr:spPr>
    </xdr:pic>
    <xdr:clientData fLocksWithSheet="0"/>
  </xdr:oneCellAnchor>
  <xdr:oneCellAnchor>
    <xdr:from>
      <xdr:col>3</xdr:col>
      <xdr:colOff>0</xdr:colOff>
      <xdr:row>206</xdr:row>
      <xdr:rowOff>0</xdr:rowOff>
    </xdr:from>
    <xdr:ext cx="476250" cy="476250"/>
    <xdr:pic>
      <xdr:nvPicPr>
        <xdr:cNvPr id="0" name="image112.jpg"/>
        <xdr:cNvPicPr preferRelativeResize="0"/>
      </xdr:nvPicPr>
      <xdr:blipFill>
        <a:blip cstate="print" r:embed="rId157"/>
        <a:stretch>
          <a:fillRect/>
        </a:stretch>
      </xdr:blipFill>
      <xdr:spPr>
        <a:prstGeom prst="rect">
          <a:avLst/>
        </a:prstGeom>
        <a:noFill/>
      </xdr:spPr>
    </xdr:pic>
    <xdr:clientData fLocksWithSheet="0"/>
  </xdr:oneCellAnchor>
  <xdr:oneCellAnchor>
    <xdr:from>
      <xdr:col>3</xdr:col>
      <xdr:colOff>0</xdr:colOff>
      <xdr:row>207</xdr:row>
      <xdr:rowOff>0</xdr:rowOff>
    </xdr:from>
    <xdr:ext cx="476250" cy="476250"/>
    <xdr:pic>
      <xdr:nvPicPr>
        <xdr:cNvPr id="0" name="image318.jpg"/>
        <xdr:cNvPicPr preferRelativeResize="0"/>
      </xdr:nvPicPr>
      <xdr:blipFill>
        <a:blip cstate="print" r:embed="rId158"/>
        <a:stretch>
          <a:fillRect/>
        </a:stretch>
      </xdr:blipFill>
      <xdr:spPr>
        <a:prstGeom prst="rect">
          <a:avLst/>
        </a:prstGeom>
        <a:noFill/>
      </xdr:spPr>
    </xdr:pic>
    <xdr:clientData fLocksWithSheet="0"/>
  </xdr:oneCellAnchor>
  <xdr:oneCellAnchor>
    <xdr:from>
      <xdr:col>3</xdr:col>
      <xdr:colOff>0</xdr:colOff>
      <xdr:row>208</xdr:row>
      <xdr:rowOff>0</xdr:rowOff>
    </xdr:from>
    <xdr:ext cx="476250" cy="476250"/>
    <xdr:pic>
      <xdr:nvPicPr>
        <xdr:cNvPr id="0" name="image545.jpg"/>
        <xdr:cNvPicPr preferRelativeResize="0"/>
      </xdr:nvPicPr>
      <xdr:blipFill>
        <a:blip cstate="print" r:embed="rId159"/>
        <a:stretch>
          <a:fillRect/>
        </a:stretch>
      </xdr:blipFill>
      <xdr:spPr>
        <a:prstGeom prst="rect">
          <a:avLst/>
        </a:prstGeom>
        <a:noFill/>
      </xdr:spPr>
    </xdr:pic>
    <xdr:clientData fLocksWithSheet="0"/>
  </xdr:oneCellAnchor>
  <xdr:oneCellAnchor>
    <xdr:from>
      <xdr:col>3</xdr:col>
      <xdr:colOff>0</xdr:colOff>
      <xdr:row>209</xdr:row>
      <xdr:rowOff>0</xdr:rowOff>
    </xdr:from>
    <xdr:ext cx="476250" cy="476250"/>
    <xdr:pic>
      <xdr:nvPicPr>
        <xdr:cNvPr id="0" name="image408.jpg"/>
        <xdr:cNvPicPr preferRelativeResize="0"/>
      </xdr:nvPicPr>
      <xdr:blipFill>
        <a:blip cstate="print" r:embed="rId160"/>
        <a:stretch>
          <a:fillRect/>
        </a:stretch>
      </xdr:blipFill>
      <xdr:spPr>
        <a:prstGeom prst="rect">
          <a:avLst/>
        </a:prstGeom>
        <a:noFill/>
      </xdr:spPr>
    </xdr:pic>
    <xdr:clientData fLocksWithSheet="0"/>
  </xdr:oneCellAnchor>
  <xdr:oneCellAnchor>
    <xdr:from>
      <xdr:col>3</xdr:col>
      <xdr:colOff>0</xdr:colOff>
      <xdr:row>210</xdr:row>
      <xdr:rowOff>0</xdr:rowOff>
    </xdr:from>
    <xdr:ext cx="466725" cy="476250"/>
    <xdr:pic>
      <xdr:nvPicPr>
        <xdr:cNvPr id="0" name="image535.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211</xdr:row>
      <xdr:rowOff>0</xdr:rowOff>
    </xdr:from>
    <xdr:ext cx="476250" cy="476250"/>
    <xdr:pic>
      <xdr:nvPicPr>
        <xdr:cNvPr id="0" name="image96.jpg"/>
        <xdr:cNvPicPr preferRelativeResize="0"/>
      </xdr:nvPicPr>
      <xdr:blipFill>
        <a:blip cstate="print" r:embed="rId162"/>
        <a:stretch>
          <a:fillRect/>
        </a:stretch>
      </xdr:blipFill>
      <xdr:spPr>
        <a:prstGeom prst="rect">
          <a:avLst/>
        </a:prstGeom>
        <a:noFill/>
      </xdr:spPr>
    </xdr:pic>
    <xdr:clientData fLocksWithSheet="0"/>
  </xdr:oneCellAnchor>
  <xdr:oneCellAnchor>
    <xdr:from>
      <xdr:col>3</xdr:col>
      <xdr:colOff>0</xdr:colOff>
      <xdr:row>212</xdr:row>
      <xdr:rowOff>0</xdr:rowOff>
    </xdr:from>
    <xdr:ext cx="476250" cy="476250"/>
    <xdr:pic>
      <xdr:nvPicPr>
        <xdr:cNvPr id="0" name="image176.jpg"/>
        <xdr:cNvPicPr preferRelativeResize="0"/>
      </xdr:nvPicPr>
      <xdr:blipFill>
        <a:blip cstate="print" r:embed="rId163"/>
        <a:stretch>
          <a:fillRect/>
        </a:stretch>
      </xdr:blipFill>
      <xdr:spPr>
        <a:prstGeom prst="rect">
          <a:avLst/>
        </a:prstGeom>
        <a:noFill/>
      </xdr:spPr>
    </xdr:pic>
    <xdr:clientData fLocksWithSheet="0"/>
  </xdr:oneCellAnchor>
  <xdr:oneCellAnchor>
    <xdr:from>
      <xdr:col>3</xdr:col>
      <xdr:colOff>0</xdr:colOff>
      <xdr:row>213</xdr:row>
      <xdr:rowOff>0</xdr:rowOff>
    </xdr:from>
    <xdr:ext cx="476250" cy="476250"/>
    <xdr:pic>
      <xdr:nvPicPr>
        <xdr:cNvPr id="0" name="image95.jpg"/>
        <xdr:cNvPicPr preferRelativeResize="0"/>
      </xdr:nvPicPr>
      <xdr:blipFill>
        <a:blip cstate="print" r:embed="rId164"/>
        <a:stretch>
          <a:fillRect/>
        </a:stretch>
      </xdr:blipFill>
      <xdr:spPr>
        <a:prstGeom prst="rect">
          <a:avLst/>
        </a:prstGeom>
        <a:noFill/>
      </xdr:spPr>
    </xdr:pic>
    <xdr:clientData fLocksWithSheet="0"/>
  </xdr:oneCellAnchor>
  <xdr:oneCellAnchor>
    <xdr:from>
      <xdr:col>3</xdr:col>
      <xdr:colOff>0</xdr:colOff>
      <xdr:row>214</xdr:row>
      <xdr:rowOff>0</xdr:rowOff>
    </xdr:from>
    <xdr:ext cx="476250" cy="476250"/>
    <xdr:pic>
      <xdr:nvPicPr>
        <xdr:cNvPr id="0" name="image318.jpg"/>
        <xdr:cNvPicPr preferRelativeResize="0"/>
      </xdr:nvPicPr>
      <xdr:blipFill>
        <a:blip cstate="print" r:embed="rId158"/>
        <a:stretch>
          <a:fillRect/>
        </a:stretch>
      </xdr:blipFill>
      <xdr:spPr>
        <a:prstGeom prst="rect">
          <a:avLst/>
        </a:prstGeom>
        <a:noFill/>
      </xdr:spPr>
    </xdr:pic>
    <xdr:clientData fLocksWithSheet="0"/>
  </xdr:oneCellAnchor>
  <xdr:oneCellAnchor>
    <xdr:from>
      <xdr:col>3</xdr:col>
      <xdr:colOff>0</xdr:colOff>
      <xdr:row>215</xdr:row>
      <xdr:rowOff>0</xdr:rowOff>
    </xdr:from>
    <xdr:ext cx="476250" cy="476250"/>
    <xdr:pic>
      <xdr:nvPicPr>
        <xdr:cNvPr id="0" name="image547.jpg"/>
        <xdr:cNvPicPr preferRelativeResize="0"/>
      </xdr:nvPicPr>
      <xdr:blipFill>
        <a:blip cstate="print" r:embed="rId165"/>
        <a:stretch>
          <a:fillRect/>
        </a:stretch>
      </xdr:blipFill>
      <xdr:spPr>
        <a:prstGeom prst="rect">
          <a:avLst/>
        </a:prstGeom>
        <a:noFill/>
      </xdr:spPr>
    </xdr:pic>
    <xdr:clientData fLocksWithSheet="0"/>
  </xdr:oneCellAnchor>
  <xdr:oneCellAnchor>
    <xdr:from>
      <xdr:col>3</xdr:col>
      <xdr:colOff>0</xdr:colOff>
      <xdr:row>216</xdr:row>
      <xdr:rowOff>0</xdr:rowOff>
    </xdr:from>
    <xdr:ext cx="476250" cy="476250"/>
    <xdr:pic>
      <xdr:nvPicPr>
        <xdr:cNvPr id="0" name="image537.png"/>
        <xdr:cNvPicPr preferRelativeResize="0"/>
      </xdr:nvPicPr>
      <xdr:blipFill>
        <a:blip cstate="print" r:embed="rId166"/>
        <a:stretch>
          <a:fillRect/>
        </a:stretch>
      </xdr:blipFill>
      <xdr:spPr>
        <a:prstGeom prst="rect">
          <a:avLst/>
        </a:prstGeom>
        <a:noFill/>
      </xdr:spPr>
    </xdr:pic>
    <xdr:clientData fLocksWithSheet="0"/>
  </xdr:oneCellAnchor>
  <xdr:oneCellAnchor>
    <xdr:from>
      <xdr:col>3</xdr:col>
      <xdr:colOff>0</xdr:colOff>
      <xdr:row>217</xdr:row>
      <xdr:rowOff>0</xdr:rowOff>
    </xdr:from>
    <xdr:ext cx="476250" cy="476250"/>
    <xdr:pic>
      <xdr:nvPicPr>
        <xdr:cNvPr id="0" name="image544.jpg"/>
        <xdr:cNvPicPr preferRelativeResize="0"/>
      </xdr:nvPicPr>
      <xdr:blipFill>
        <a:blip cstate="print" r:embed="rId167"/>
        <a:stretch>
          <a:fillRect/>
        </a:stretch>
      </xdr:blipFill>
      <xdr:spPr>
        <a:prstGeom prst="rect">
          <a:avLst/>
        </a:prstGeom>
        <a:noFill/>
      </xdr:spPr>
    </xdr:pic>
    <xdr:clientData fLocksWithSheet="0"/>
  </xdr:oneCellAnchor>
  <xdr:oneCellAnchor>
    <xdr:from>
      <xdr:col>3</xdr:col>
      <xdr:colOff>0</xdr:colOff>
      <xdr:row>218</xdr:row>
      <xdr:rowOff>0</xdr:rowOff>
    </xdr:from>
    <xdr:ext cx="466725" cy="476250"/>
    <xdr:pic>
      <xdr:nvPicPr>
        <xdr:cNvPr id="0" name="image535.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219</xdr:row>
      <xdr:rowOff>0</xdr:rowOff>
    </xdr:from>
    <xdr:ext cx="476250" cy="476250"/>
    <xdr:pic>
      <xdr:nvPicPr>
        <xdr:cNvPr id="0" name="image538.jpg"/>
        <xdr:cNvPicPr preferRelativeResize="0"/>
      </xdr:nvPicPr>
      <xdr:blipFill>
        <a:blip cstate="print" r:embed="rId168"/>
        <a:stretch>
          <a:fillRect/>
        </a:stretch>
      </xdr:blipFill>
      <xdr:spPr>
        <a:prstGeom prst="rect">
          <a:avLst/>
        </a:prstGeom>
        <a:noFill/>
      </xdr:spPr>
    </xdr:pic>
    <xdr:clientData fLocksWithSheet="0"/>
  </xdr:oneCellAnchor>
  <xdr:oneCellAnchor>
    <xdr:from>
      <xdr:col>3</xdr:col>
      <xdr:colOff>0</xdr:colOff>
      <xdr:row>220</xdr:row>
      <xdr:rowOff>0</xdr:rowOff>
    </xdr:from>
    <xdr:ext cx="476250" cy="476250"/>
    <xdr:pic>
      <xdr:nvPicPr>
        <xdr:cNvPr id="0" name="image549.png"/>
        <xdr:cNvPicPr preferRelativeResize="0"/>
      </xdr:nvPicPr>
      <xdr:blipFill>
        <a:blip cstate="print" r:embed="rId169"/>
        <a:stretch>
          <a:fillRect/>
        </a:stretch>
      </xdr:blipFill>
      <xdr:spPr>
        <a:prstGeom prst="rect">
          <a:avLst/>
        </a:prstGeom>
        <a:noFill/>
      </xdr:spPr>
    </xdr:pic>
    <xdr:clientData fLocksWithSheet="0"/>
  </xdr:oneCellAnchor>
  <xdr:oneCellAnchor>
    <xdr:from>
      <xdr:col>3</xdr:col>
      <xdr:colOff>0</xdr:colOff>
      <xdr:row>221</xdr:row>
      <xdr:rowOff>0</xdr:rowOff>
    </xdr:from>
    <xdr:ext cx="476250" cy="476250"/>
    <xdr:pic>
      <xdr:nvPicPr>
        <xdr:cNvPr id="0" name="image157.jpg"/>
        <xdr:cNvPicPr preferRelativeResize="0"/>
      </xdr:nvPicPr>
      <xdr:blipFill>
        <a:blip cstate="print" r:embed="rId170"/>
        <a:stretch>
          <a:fillRect/>
        </a:stretch>
      </xdr:blipFill>
      <xdr:spPr>
        <a:prstGeom prst="rect">
          <a:avLst/>
        </a:prstGeom>
        <a:noFill/>
      </xdr:spPr>
    </xdr:pic>
    <xdr:clientData fLocksWithSheet="0"/>
  </xdr:oneCellAnchor>
  <xdr:oneCellAnchor>
    <xdr:from>
      <xdr:col>3</xdr:col>
      <xdr:colOff>0</xdr:colOff>
      <xdr:row>222</xdr:row>
      <xdr:rowOff>0</xdr:rowOff>
    </xdr:from>
    <xdr:ext cx="476250" cy="476250"/>
    <xdr:pic>
      <xdr:nvPicPr>
        <xdr:cNvPr id="0" name="image157.jpg"/>
        <xdr:cNvPicPr preferRelativeResize="0"/>
      </xdr:nvPicPr>
      <xdr:blipFill>
        <a:blip cstate="print" r:embed="rId170"/>
        <a:stretch>
          <a:fillRect/>
        </a:stretch>
      </xdr:blipFill>
      <xdr:spPr>
        <a:prstGeom prst="rect">
          <a:avLst/>
        </a:prstGeom>
        <a:noFill/>
      </xdr:spPr>
    </xdr:pic>
    <xdr:clientData fLocksWithSheet="0"/>
  </xdr:oneCellAnchor>
  <xdr:oneCellAnchor>
    <xdr:from>
      <xdr:col>3</xdr:col>
      <xdr:colOff>0</xdr:colOff>
      <xdr:row>223</xdr:row>
      <xdr:rowOff>0</xdr:rowOff>
    </xdr:from>
    <xdr:ext cx="466725" cy="476250"/>
    <xdr:pic>
      <xdr:nvPicPr>
        <xdr:cNvPr id="0" name="image590.png"/>
        <xdr:cNvPicPr preferRelativeResize="0"/>
      </xdr:nvPicPr>
      <xdr:blipFill>
        <a:blip cstate="print" r:embed="rId171"/>
        <a:stretch>
          <a:fillRect/>
        </a:stretch>
      </xdr:blipFill>
      <xdr:spPr>
        <a:prstGeom prst="rect">
          <a:avLst/>
        </a:prstGeom>
        <a:noFill/>
      </xdr:spPr>
    </xdr:pic>
    <xdr:clientData fLocksWithSheet="0"/>
  </xdr:oneCellAnchor>
  <xdr:oneCellAnchor>
    <xdr:from>
      <xdr:col>3</xdr:col>
      <xdr:colOff>0</xdr:colOff>
      <xdr:row>224</xdr:row>
      <xdr:rowOff>0</xdr:rowOff>
    </xdr:from>
    <xdr:ext cx="476250" cy="476250"/>
    <xdr:pic>
      <xdr:nvPicPr>
        <xdr:cNvPr id="0" name="image549.png"/>
        <xdr:cNvPicPr preferRelativeResize="0"/>
      </xdr:nvPicPr>
      <xdr:blipFill>
        <a:blip cstate="print" r:embed="rId169"/>
        <a:stretch>
          <a:fillRect/>
        </a:stretch>
      </xdr:blipFill>
      <xdr:spPr>
        <a:prstGeom prst="rect">
          <a:avLst/>
        </a:prstGeom>
        <a:noFill/>
      </xdr:spPr>
    </xdr:pic>
    <xdr:clientData fLocksWithSheet="0"/>
  </xdr:oneCellAnchor>
  <xdr:oneCellAnchor>
    <xdr:from>
      <xdr:col>3</xdr:col>
      <xdr:colOff>0</xdr:colOff>
      <xdr:row>225</xdr:row>
      <xdr:rowOff>0</xdr:rowOff>
    </xdr:from>
    <xdr:ext cx="476250" cy="476250"/>
    <xdr:pic>
      <xdr:nvPicPr>
        <xdr:cNvPr id="0" name="image551.png"/>
        <xdr:cNvPicPr preferRelativeResize="0"/>
      </xdr:nvPicPr>
      <xdr:blipFill>
        <a:blip cstate="print" r:embed="rId172"/>
        <a:stretch>
          <a:fillRect/>
        </a:stretch>
      </xdr:blipFill>
      <xdr:spPr>
        <a:prstGeom prst="rect">
          <a:avLst/>
        </a:prstGeom>
        <a:noFill/>
      </xdr:spPr>
    </xdr:pic>
    <xdr:clientData fLocksWithSheet="0"/>
  </xdr:oneCellAnchor>
  <xdr:oneCellAnchor>
    <xdr:from>
      <xdr:col>3</xdr:col>
      <xdr:colOff>0</xdr:colOff>
      <xdr:row>226</xdr:row>
      <xdr:rowOff>0</xdr:rowOff>
    </xdr:from>
    <xdr:ext cx="476250" cy="476250"/>
    <xdr:pic>
      <xdr:nvPicPr>
        <xdr:cNvPr id="0" name="image542.png"/>
        <xdr:cNvPicPr preferRelativeResize="0"/>
      </xdr:nvPicPr>
      <xdr:blipFill>
        <a:blip cstate="print" r:embed="rId173"/>
        <a:stretch>
          <a:fillRect/>
        </a:stretch>
      </xdr:blipFill>
      <xdr:spPr>
        <a:prstGeom prst="rect">
          <a:avLst/>
        </a:prstGeom>
        <a:noFill/>
      </xdr:spPr>
    </xdr:pic>
    <xdr:clientData fLocksWithSheet="0"/>
  </xdr:oneCellAnchor>
  <xdr:oneCellAnchor>
    <xdr:from>
      <xdr:col>3</xdr:col>
      <xdr:colOff>0</xdr:colOff>
      <xdr:row>227</xdr:row>
      <xdr:rowOff>0</xdr:rowOff>
    </xdr:from>
    <xdr:ext cx="476250" cy="476250"/>
    <xdr:pic>
      <xdr:nvPicPr>
        <xdr:cNvPr id="0" name="image463.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228</xdr:row>
      <xdr:rowOff>0</xdr:rowOff>
    </xdr:from>
    <xdr:ext cx="476250" cy="476250"/>
    <xdr:pic>
      <xdr:nvPicPr>
        <xdr:cNvPr id="0" name="image562.jpg"/>
        <xdr:cNvPicPr preferRelativeResize="0"/>
      </xdr:nvPicPr>
      <xdr:blipFill>
        <a:blip cstate="print" r:embed="rId174"/>
        <a:stretch>
          <a:fillRect/>
        </a:stretch>
      </xdr:blipFill>
      <xdr:spPr>
        <a:prstGeom prst="rect">
          <a:avLst/>
        </a:prstGeom>
        <a:noFill/>
      </xdr:spPr>
    </xdr:pic>
    <xdr:clientData fLocksWithSheet="0"/>
  </xdr:oneCellAnchor>
  <xdr:oneCellAnchor>
    <xdr:from>
      <xdr:col>3</xdr:col>
      <xdr:colOff>0</xdr:colOff>
      <xdr:row>229</xdr:row>
      <xdr:rowOff>0</xdr:rowOff>
    </xdr:from>
    <xdr:ext cx="476250" cy="476250"/>
    <xdr:pic>
      <xdr:nvPicPr>
        <xdr:cNvPr id="0" name="image562.jpg"/>
        <xdr:cNvPicPr preferRelativeResize="0"/>
      </xdr:nvPicPr>
      <xdr:blipFill>
        <a:blip cstate="print" r:embed="rId174"/>
        <a:stretch>
          <a:fillRect/>
        </a:stretch>
      </xdr:blipFill>
      <xdr:spPr>
        <a:prstGeom prst="rect">
          <a:avLst/>
        </a:prstGeom>
        <a:noFill/>
      </xdr:spPr>
    </xdr:pic>
    <xdr:clientData fLocksWithSheet="0"/>
  </xdr:oneCellAnchor>
  <xdr:oneCellAnchor>
    <xdr:from>
      <xdr:col>3</xdr:col>
      <xdr:colOff>0</xdr:colOff>
      <xdr:row>230</xdr:row>
      <xdr:rowOff>0</xdr:rowOff>
    </xdr:from>
    <xdr:ext cx="476250" cy="476250"/>
    <xdr:pic>
      <xdr:nvPicPr>
        <xdr:cNvPr id="0" name="image562.jpg"/>
        <xdr:cNvPicPr preferRelativeResize="0"/>
      </xdr:nvPicPr>
      <xdr:blipFill>
        <a:blip cstate="print" r:embed="rId174"/>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476250" cy="476250"/>
    <xdr:pic>
      <xdr:nvPicPr>
        <xdr:cNvPr id="0" name="image41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476250" cy="47625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476250" cy="476250"/>
    <xdr:pic>
      <xdr:nvPicPr>
        <xdr:cNvPr id="0" name="image219.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4</xdr:row>
      <xdr:rowOff>0</xdr:rowOff>
    </xdr:from>
    <xdr:ext cx="476250" cy="476250"/>
    <xdr:pic>
      <xdr:nvPicPr>
        <xdr:cNvPr id="0" name="image28.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xdr:row>
      <xdr:rowOff>0</xdr:rowOff>
    </xdr:from>
    <xdr:ext cx="476250" cy="476250"/>
    <xdr:pic>
      <xdr:nvPicPr>
        <xdr:cNvPr id="0" name="image541.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6</xdr:row>
      <xdr:rowOff>0</xdr:rowOff>
    </xdr:from>
    <xdr:ext cx="476250" cy="476250"/>
    <xdr:pic>
      <xdr:nvPicPr>
        <xdr:cNvPr id="0" name="image41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7</xdr:row>
      <xdr:rowOff>0</xdr:rowOff>
    </xdr:from>
    <xdr:ext cx="476250" cy="476250"/>
    <xdr:pic>
      <xdr:nvPicPr>
        <xdr:cNvPr id="0" name="image400.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8</xdr:row>
      <xdr:rowOff>0</xdr:rowOff>
    </xdr:from>
    <xdr:ext cx="476250" cy="476250"/>
    <xdr:pic>
      <xdr:nvPicPr>
        <xdr:cNvPr id="0" name="image229.jp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9</xdr:row>
      <xdr:rowOff>0</xdr:rowOff>
    </xdr:from>
    <xdr:ext cx="476250" cy="476250"/>
    <xdr:pic>
      <xdr:nvPicPr>
        <xdr:cNvPr id="0" name="image420.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10</xdr:row>
      <xdr:rowOff>0</xdr:rowOff>
    </xdr:from>
    <xdr:ext cx="466725" cy="476250"/>
    <xdr:pic>
      <xdr:nvPicPr>
        <xdr:cNvPr id="0" name="image416.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11</xdr:row>
      <xdr:rowOff>0</xdr:rowOff>
    </xdr:from>
    <xdr:ext cx="476250" cy="476250"/>
    <xdr:pic>
      <xdr:nvPicPr>
        <xdr:cNvPr id="0" name="image414.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12</xdr:row>
      <xdr:rowOff>0</xdr:rowOff>
    </xdr:from>
    <xdr:ext cx="476250" cy="476250"/>
    <xdr:pic>
      <xdr:nvPicPr>
        <xdr:cNvPr id="0" name="image185.jp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13</xdr:row>
      <xdr:rowOff>0</xdr:rowOff>
    </xdr:from>
    <xdr:ext cx="466725" cy="476250"/>
    <xdr:pic>
      <xdr:nvPicPr>
        <xdr:cNvPr id="0" name="image416.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14</xdr:row>
      <xdr:rowOff>0</xdr:rowOff>
    </xdr:from>
    <xdr:ext cx="476250" cy="476250"/>
    <xdr:pic>
      <xdr:nvPicPr>
        <xdr:cNvPr id="0" name="image41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15</xdr:row>
      <xdr:rowOff>0</xdr:rowOff>
    </xdr:from>
    <xdr:ext cx="476250" cy="476250"/>
    <xdr:pic>
      <xdr:nvPicPr>
        <xdr:cNvPr id="0" name="image162.jp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16</xdr:row>
      <xdr:rowOff>0</xdr:rowOff>
    </xdr:from>
    <xdr:ext cx="476250" cy="476250"/>
    <xdr:pic>
      <xdr:nvPicPr>
        <xdr:cNvPr id="0" name="image400.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17</xdr:row>
      <xdr:rowOff>0</xdr:rowOff>
    </xdr:from>
    <xdr:ext cx="476250" cy="476250"/>
    <xdr:pic>
      <xdr:nvPicPr>
        <xdr:cNvPr id="0" name="image427.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18</xdr:row>
      <xdr:rowOff>0</xdr:rowOff>
    </xdr:from>
    <xdr:ext cx="476250" cy="476250"/>
    <xdr:pic>
      <xdr:nvPicPr>
        <xdr:cNvPr id="0" name="image162.jp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19</xdr:row>
      <xdr:rowOff>0</xdr:rowOff>
    </xdr:from>
    <xdr:ext cx="476250" cy="476250"/>
    <xdr:pic>
      <xdr:nvPicPr>
        <xdr:cNvPr id="0" name="image556.jp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20</xdr:row>
      <xdr:rowOff>0</xdr:rowOff>
    </xdr:from>
    <xdr:ext cx="466725" cy="476250"/>
    <xdr:pic>
      <xdr:nvPicPr>
        <xdr:cNvPr id="0" name="image416.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21</xdr:row>
      <xdr:rowOff>0</xdr:rowOff>
    </xdr:from>
    <xdr:ext cx="476250" cy="476250"/>
    <xdr:pic>
      <xdr:nvPicPr>
        <xdr:cNvPr id="0" name="image293.jp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22</xdr:row>
      <xdr:rowOff>0</xdr:rowOff>
    </xdr:from>
    <xdr:ext cx="476250" cy="476250"/>
    <xdr:pic>
      <xdr:nvPicPr>
        <xdr:cNvPr id="0" name="image574.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23</xdr:row>
      <xdr:rowOff>0</xdr:rowOff>
    </xdr:from>
    <xdr:ext cx="476250" cy="476250"/>
    <xdr:pic>
      <xdr:nvPicPr>
        <xdr:cNvPr id="0" name="image574.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24</xdr:row>
      <xdr:rowOff>0</xdr:rowOff>
    </xdr:from>
    <xdr:ext cx="476250" cy="476250"/>
    <xdr:pic>
      <xdr:nvPicPr>
        <xdr:cNvPr id="0" name="image473.jp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25</xdr:row>
      <xdr:rowOff>0</xdr:rowOff>
    </xdr:from>
    <xdr:ext cx="476250" cy="476250"/>
    <xdr:pic>
      <xdr:nvPicPr>
        <xdr:cNvPr id="0" name="image540.jp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26</xdr:row>
      <xdr:rowOff>0</xdr:rowOff>
    </xdr:from>
    <xdr:ext cx="476250" cy="476250"/>
    <xdr:pic>
      <xdr:nvPicPr>
        <xdr:cNvPr id="0" name="image414.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27</xdr:row>
      <xdr:rowOff>0</xdr:rowOff>
    </xdr:from>
    <xdr:ext cx="476250" cy="476250"/>
    <xdr:pic>
      <xdr:nvPicPr>
        <xdr:cNvPr id="0" name="image420.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28</xdr:row>
      <xdr:rowOff>0</xdr:rowOff>
    </xdr:from>
    <xdr:ext cx="476250" cy="476250"/>
    <xdr:pic>
      <xdr:nvPicPr>
        <xdr:cNvPr id="0" name="image548.jp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29</xdr:row>
      <xdr:rowOff>0</xdr:rowOff>
    </xdr:from>
    <xdr:ext cx="476250" cy="476250"/>
    <xdr:pic>
      <xdr:nvPicPr>
        <xdr:cNvPr id="0" name="image550.jp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30</xdr:row>
      <xdr:rowOff>0</xdr:rowOff>
    </xdr:from>
    <xdr:ext cx="476250" cy="476250"/>
    <xdr:pic>
      <xdr:nvPicPr>
        <xdr:cNvPr id="0" name="image543.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31</xdr:row>
      <xdr:rowOff>0</xdr:rowOff>
    </xdr:from>
    <xdr:ext cx="476250" cy="476250"/>
    <xdr:pic>
      <xdr:nvPicPr>
        <xdr:cNvPr id="0" name="image28.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32</xdr:row>
      <xdr:rowOff>0</xdr:rowOff>
    </xdr:from>
    <xdr:ext cx="476250" cy="47625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33</xdr:row>
      <xdr:rowOff>0</xdr:rowOff>
    </xdr:from>
    <xdr:ext cx="476250" cy="476250"/>
    <xdr:pic>
      <xdr:nvPicPr>
        <xdr:cNvPr id="0" name="image548.jp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34</xdr:row>
      <xdr:rowOff>0</xdr:rowOff>
    </xdr:from>
    <xdr:ext cx="476250" cy="476250"/>
    <xdr:pic>
      <xdr:nvPicPr>
        <xdr:cNvPr id="0" name="image253.jp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35</xdr:row>
      <xdr:rowOff>0</xdr:rowOff>
    </xdr:from>
    <xdr:ext cx="476250" cy="476250"/>
    <xdr:pic>
      <xdr:nvPicPr>
        <xdr:cNvPr id="0" name="image427.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36</xdr:row>
      <xdr:rowOff>0</xdr:rowOff>
    </xdr:from>
    <xdr:ext cx="476250" cy="476250"/>
    <xdr:pic>
      <xdr:nvPicPr>
        <xdr:cNvPr id="0" name="image540.jp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37</xdr:row>
      <xdr:rowOff>0</xdr:rowOff>
    </xdr:from>
    <xdr:ext cx="476250" cy="476250"/>
    <xdr:pic>
      <xdr:nvPicPr>
        <xdr:cNvPr id="0" name="image249.jp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38</xdr:row>
      <xdr:rowOff>0</xdr:rowOff>
    </xdr:from>
    <xdr:ext cx="476250" cy="476250"/>
    <xdr:pic>
      <xdr:nvPicPr>
        <xdr:cNvPr id="0" name="image553.jp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39</xdr:row>
      <xdr:rowOff>0</xdr:rowOff>
    </xdr:from>
    <xdr:ext cx="476250" cy="476250"/>
    <xdr:pic>
      <xdr:nvPicPr>
        <xdr:cNvPr id="0" name="image427.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40</xdr:row>
      <xdr:rowOff>0</xdr:rowOff>
    </xdr:from>
    <xdr:ext cx="476250" cy="476250"/>
    <xdr:pic>
      <xdr:nvPicPr>
        <xdr:cNvPr id="0" name="image574.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41</xdr:row>
      <xdr:rowOff>0</xdr:rowOff>
    </xdr:from>
    <xdr:ext cx="476250" cy="476250"/>
    <xdr:pic>
      <xdr:nvPicPr>
        <xdr:cNvPr id="0" name="image246.jp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42</xdr:row>
      <xdr:rowOff>0</xdr:rowOff>
    </xdr:from>
    <xdr:ext cx="476250" cy="476250"/>
    <xdr:pic>
      <xdr:nvPicPr>
        <xdr:cNvPr id="0" name="image574.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43</xdr:row>
      <xdr:rowOff>0</xdr:rowOff>
    </xdr:from>
    <xdr:ext cx="476250" cy="476250"/>
    <xdr:pic>
      <xdr:nvPicPr>
        <xdr:cNvPr id="0" name="image543.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44</xdr:row>
      <xdr:rowOff>0</xdr:rowOff>
    </xdr:from>
    <xdr:ext cx="476250" cy="476250"/>
    <xdr:pic>
      <xdr:nvPicPr>
        <xdr:cNvPr id="0" name="image366.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45</xdr:row>
      <xdr:rowOff>0</xdr:rowOff>
    </xdr:from>
    <xdr:ext cx="466725" cy="476250"/>
    <xdr:pic>
      <xdr:nvPicPr>
        <xdr:cNvPr id="0" name="image434.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46</xdr:row>
      <xdr:rowOff>0</xdr:rowOff>
    </xdr:from>
    <xdr:ext cx="476250" cy="476250"/>
    <xdr:pic>
      <xdr:nvPicPr>
        <xdr:cNvPr id="0" name="image564.jp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47</xdr:row>
      <xdr:rowOff>0</xdr:rowOff>
    </xdr:from>
    <xdr:ext cx="476250" cy="476250"/>
    <xdr:pic>
      <xdr:nvPicPr>
        <xdr:cNvPr id="0" name="image552.jp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48</xdr:row>
      <xdr:rowOff>0</xdr:rowOff>
    </xdr:from>
    <xdr:ext cx="476250" cy="476250"/>
    <xdr:pic>
      <xdr:nvPicPr>
        <xdr:cNvPr id="0" name="image554.jp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49</xdr:row>
      <xdr:rowOff>0</xdr:rowOff>
    </xdr:from>
    <xdr:ext cx="476250" cy="47625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50</xdr:row>
      <xdr:rowOff>0</xdr:rowOff>
    </xdr:from>
    <xdr:ext cx="476250" cy="476250"/>
    <xdr:pic>
      <xdr:nvPicPr>
        <xdr:cNvPr id="0" name="image471.jp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51</xdr:row>
      <xdr:rowOff>0</xdr:rowOff>
    </xdr:from>
    <xdr:ext cx="476250" cy="476250"/>
    <xdr:pic>
      <xdr:nvPicPr>
        <xdr:cNvPr id="0" name="image540.jp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52</xdr:row>
      <xdr:rowOff>0</xdr:rowOff>
    </xdr:from>
    <xdr:ext cx="476250" cy="476250"/>
    <xdr:pic>
      <xdr:nvPicPr>
        <xdr:cNvPr id="0" name="image603.jp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53</xdr:row>
      <xdr:rowOff>0</xdr:rowOff>
    </xdr:from>
    <xdr:ext cx="476250" cy="476250"/>
    <xdr:pic>
      <xdr:nvPicPr>
        <xdr:cNvPr id="0" name="image558.jp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54</xdr:row>
      <xdr:rowOff>0</xdr:rowOff>
    </xdr:from>
    <xdr:ext cx="476250" cy="476250"/>
    <xdr:pic>
      <xdr:nvPicPr>
        <xdr:cNvPr id="0" name="image615.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55</xdr:row>
      <xdr:rowOff>0</xdr:rowOff>
    </xdr:from>
    <xdr:ext cx="476250" cy="476250"/>
    <xdr:pic>
      <xdr:nvPicPr>
        <xdr:cNvPr id="0" name="image574.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56</xdr:row>
      <xdr:rowOff>0</xdr:rowOff>
    </xdr:from>
    <xdr:ext cx="476250" cy="476250"/>
    <xdr:pic>
      <xdr:nvPicPr>
        <xdr:cNvPr id="0" name="image176.jp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57</xdr:row>
      <xdr:rowOff>0</xdr:rowOff>
    </xdr:from>
    <xdr:ext cx="476250" cy="476250"/>
    <xdr:pic>
      <xdr:nvPicPr>
        <xdr:cNvPr id="0" name="image293.jp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58</xdr:row>
      <xdr:rowOff>0</xdr:rowOff>
    </xdr:from>
    <xdr:ext cx="476250" cy="476250"/>
    <xdr:pic>
      <xdr:nvPicPr>
        <xdr:cNvPr id="0" name="image606.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59</xdr:row>
      <xdr:rowOff>0</xdr:rowOff>
    </xdr:from>
    <xdr:ext cx="476250" cy="476250"/>
    <xdr:pic>
      <xdr:nvPicPr>
        <xdr:cNvPr id="0" name="image219.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60</xdr:row>
      <xdr:rowOff>0</xdr:rowOff>
    </xdr:from>
    <xdr:ext cx="476250" cy="476250"/>
    <xdr:pic>
      <xdr:nvPicPr>
        <xdr:cNvPr id="0" name="image587.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61</xdr:row>
      <xdr:rowOff>0</xdr:rowOff>
    </xdr:from>
    <xdr:ext cx="476250" cy="476250"/>
    <xdr:pic>
      <xdr:nvPicPr>
        <xdr:cNvPr id="0" name="image559.pn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62</xdr:row>
      <xdr:rowOff>0</xdr:rowOff>
    </xdr:from>
    <xdr:ext cx="476250" cy="476250"/>
    <xdr:pic>
      <xdr:nvPicPr>
        <xdr:cNvPr id="0" name="image330.jp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63</xdr:row>
      <xdr:rowOff>0</xdr:rowOff>
    </xdr:from>
    <xdr:ext cx="476250" cy="476250"/>
    <xdr:pic>
      <xdr:nvPicPr>
        <xdr:cNvPr id="0" name="image616.jp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64</xdr:row>
      <xdr:rowOff>0</xdr:rowOff>
    </xdr:from>
    <xdr:ext cx="476250" cy="476250"/>
    <xdr:pic>
      <xdr:nvPicPr>
        <xdr:cNvPr id="0" name="image224.jp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65</xdr:row>
      <xdr:rowOff>0</xdr:rowOff>
    </xdr:from>
    <xdr:ext cx="476250" cy="476250"/>
    <xdr:pic>
      <xdr:nvPicPr>
        <xdr:cNvPr id="0" name="image583.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66</xdr:row>
      <xdr:rowOff>0</xdr:rowOff>
    </xdr:from>
    <xdr:ext cx="466725" cy="476250"/>
    <xdr:pic>
      <xdr:nvPicPr>
        <xdr:cNvPr id="0" name="image618.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67</xdr:row>
      <xdr:rowOff>0</xdr:rowOff>
    </xdr:from>
    <xdr:ext cx="476250" cy="476250"/>
    <xdr:pic>
      <xdr:nvPicPr>
        <xdr:cNvPr id="0" name="image540.jp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68</xdr:row>
      <xdr:rowOff>0</xdr:rowOff>
    </xdr:from>
    <xdr:ext cx="476250" cy="476250"/>
    <xdr:pic>
      <xdr:nvPicPr>
        <xdr:cNvPr id="0" name="image583.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69</xdr:row>
      <xdr:rowOff>0</xdr:rowOff>
    </xdr:from>
    <xdr:ext cx="466725" cy="476250"/>
    <xdr:pic>
      <xdr:nvPicPr>
        <xdr:cNvPr id="0" name="image618.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70</xdr:row>
      <xdr:rowOff>0</xdr:rowOff>
    </xdr:from>
    <xdr:ext cx="476250" cy="476250"/>
    <xdr:pic>
      <xdr:nvPicPr>
        <xdr:cNvPr id="0" name="image573.jp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71</xdr:row>
      <xdr:rowOff>0</xdr:rowOff>
    </xdr:from>
    <xdr:ext cx="476250" cy="476250"/>
    <xdr:pic>
      <xdr:nvPicPr>
        <xdr:cNvPr id="0" name="image433.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72</xdr:row>
      <xdr:rowOff>0</xdr:rowOff>
    </xdr:from>
    <xdr:ext cx="476250" cy="476250"/>
    <xdr:pic>
      <xdr:nvPicPr>
        <xdr:cNvPr id="0" name="image586.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73</xdr:row>
      <xdr:rowOff>0</xdr:rowOff>
    </xdr:from>
    <xdr:ext cx="476250" cy="476250"/>
    <xdr:pic>
      <xdr:nvPicPr>
        <xdr:cNvPr id="0" name="image563.jp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74</xdr:row>
      <xdr:rowOff>0</xdr:rowOff>
    </xdr:from>
    <xdr:ext cx="476250" cy="476250"/>
    <xdr:pic>
      <xdr:nvPicPr>
        <xdr:cNvPr id="0" name="image580.jp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75</xdr:row>
      <xdr:rowOff>0</xdr:rowOff>
    </xdr:from>
    <xdr:ext cx="476250" cy="476250"/>
    <xdr:pic>
      <xdr:nvPicPr>
        <xdr:cNvPr id="0" name="image114.jpg"/>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76</xdr:row>
      <xdr:rowOff>0</xdr:rowOff>
    </xdr:from>
    <xdr:ext cx="476250" cy="476250"/>
    <xdr:pic>
      <xdr:nvPicPr>
        <xdr:cNvPr id="0" name="image423.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77</xdr:row>
      <xdr:rowOff>0</xdr:rowOff>
    </xdr:from>
    <xdr:ext cx="476250" cy="476250"/>
    <xdr:pic>
      <xdr:nvPicPr>
        <xdr:cNvPr id="0" name="image114.jpg"/>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78</xdr:row>
      <xdr:rowOff>0</xdr:rowOff>
    </xdr:from>
    <xdr:ext cx="476250" cy="476250"/>
    <xdr:pic>
      <xdr:nvPicPr>
        <xdr:cNvPr id="0" name="image558.jp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79</xdr:row>
      <xdr:rowOff>0</xdr:rowOff>
    </xdr:from>
    <xdr:ext cx="476250" cy="476250"/>
    <xdr:pic>
      <xdr:nvPicPr>
        <xdr:cNvPr id="0" name="image156.jp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80</xdr:row>
      <xdr:rowOff>0</xdr:rowOff>
    </xdr:from>
    <xdr:ext cx="476250" cy="476250"/>
    <xdr:pic>
      <xdr:nvPicPr>
        <xdr:cNvPr id="0" name="image589.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81</xdr:row>
      <xdr:rowOff>0</xdr:rowOff>
    </xdr:from>
    <xdr:ext cx="476250" cy="476250"/>
    <xdr:pic>
      <xdr:nvPicPr>
        <xdr:cNvPr id="0" name="image420.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82</xdr:row>
      <xdr:rowOff>0</xdr:rowOff>
    </xdr:from>
    <xdr:ext cx="476250" cy="476250"/>
    <xdr:pic>
      <xdr:nvPicPr>
        <xdr:cNvPr id="0" name="image297.jpg"/>
        <xdr:cNvPicPr preferRelativeResize="0"/>
      </xdr:nvPicPr>
      <xdr:blipFill>
        <a:blip cstate="print" r:embed="rId53"/>
        <a:stretch>
          <a:fillRect/>
        </a:stretch>
      </xdr:blipFill>
      <xdr:spPr>
        <a:prstGeom prst="rect">
          <a:avLst/>
        </a:prstGeom>
        <a:noFill/>
      </xdr:spPr>
    </xdr:pic>
    <xdr:clientData fLocksWithSheet="0"/>
  </xdr:oneCellAnchor>
  <xdr:oneCellAnchor>
    <xdr:from>
      <xdr:col>2</xdr:col>
      <xdr:colOff>0</xdr:colOff>
      <xdr:row>83</xdr:row>
      <xdr:rowOff>0</xdr:rowOff>
    </xdr:from>
    <xdr:ext cx="476250" cy="476250"/>
    <xdr:pic>
      <xdr:nvPicPr>
        <xdr:cNvPr id="0" name="image168.jp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84</xdr:row>
      <xdr:rowOff>0</xdr:rowOff>
    </xdr:from>
    <xdr:ext cx="476250" cy="476250"/>
    <xdr:pic>
      <xdr:nvPicPr>
        <xdr:cNvPr id="0" name="image586.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85</xdr:row>
      <xdr:rowOff>0</xdr:rowOff>
    </xdr:from>
    <xdr:ext cx="476250" cy="476250"/>
    <xdr:pic>
      <xdr:nvPicPr>
        <xdr:cNvPr id="0" name="image589.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86</xdr:row>
      <xdr:rowOff>0</xdr:rowOff>
    </xdr:from>
    <xdr:ext cx="476250" cy="476250"/>
    <xdr:pic>
      <xdr:nvPicPr>
        <xdr:cNvPr id="0" name="image427.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87</xdr:row>
      <xdr:rowOff>0</xdr:rowOff>
    </xdr:from>
    <xdr:ext cx="476250" cy="476250"/>
    <xdr:pic>
      <xdr:nvPicPr>
        <xdr:cNvPr id="0" name="image342.png"/>
        <xdr:cNvPicPr preferRelativeResize="0"/>
      </xdr:nvPicPr>
      <xdr:blipFill>
        <a:blip cstate="print" r:embed="rId55"/>
        <a:stretch>
          <a:fillRect/>
        </a:stretch>
      </xdr:blipFill>
      <xdr:spPr>
        <a:prstGeom prst="rect">
          <a:avLst/>
        </a:prstGeom>
        <a:noFill/>
      </xdr:spPr>
    </xdr:pic>
    <xdr:clientData fLocksWithSheet="0"/>
  </xdr:oneCellAnchor>
  <xdr:oneCellAnchor>
    <xdr:from>
      <xdr:col>2</xdr:col>
      <xdr:colOff>0</xdr:colOff>
      <xdr:row>88</xdr:row>
      <xdr:rowOff>0</xdr:rowOff>
    </xdr:from>
    <xdr:ext cx="476250" cy="476250"/>
    <xdr:pic>
      <xdr:nvPicPr>
        <xdr:cNvPr id="0" name="image371.pn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89</xdr:row>
      <xdr:rowOff>0</xdr:rowOff>
    </xdr:from>
    <xdr:ext cx="476250" cy="476250"/>
    <xdr:pic>
      <xdr:nvPicPr>
        <xdr:cNvPr id="0" name="image568.jp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90</xdr:row>
      <xdr:rowOff>0</xdr:rowOff>
    </xdr:from>
    <xdr:ext cx="476250" cy="476250"/>
    <xdr:pic>
      <xdr:nvPicPr>
        <xdr:cNvPr id="0" name="image567.jpg"/>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0</xdr:colOff>
      <xdr:row>91</xdr:row>
      <xdr:rowOff>0</xdr:rowOff>
    </xdr:from>
    <xdr:ext cx="476250" cy="476250"/>
    <xdr:pic>
      <xdr:nvPicPr>
        <xdr:cNvPr id="0" name="image605.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92</xdr:row>
      <xdr:rowOff>0</xdr:rowOff>
    </xdr:from>
    <xdr:ext cx="466725" cy="476250"/>
    <xdr:pic>
      <xdr:nvPicPr>
        <xdr:cNvPr id="0" name="image434.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93</xdr:row>
      <xdr:rowOff>0</xdr:rowOff>
    </xdr:from>
    <xdr:ext cx="476250" cy="476250"/>
    <xdr:pic>
      <xdr:nvPicPr>
        <xdr:cNvPr id="0" name="image571.jp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94</xdr:row>
      <xdr:rowOff>0</xdr:rowOff>
    </xdr:from>
    <xdr:ext cx="476250" cy="476250"/>
    <xdr:pic>
      <xdr:nvPicPr>
        <xdr:cNvPr id="0" name="image570.jp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95</xdr:row>
      <xdr:rowOff>0</xdr:rowOff>
    </xdr:from>
    <xdr:ext cx="476250" cy="476250"/>
    <xdr:pic>
      <xdr:nvPicPr>
        <xdr:cNvPr id="0" name="image568.jp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96</xdr:row>
      <xdr:rowOff>0</xdr:rowOff>
    </xdr:from>
    <xdr:ext cx="476250" cy="476250"/>
    <xdr:pic>
      <xdr:nvPicPr>
        <xdr:cNvPr id="0" name="image572.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97</xdr:row>
      <xdr:rowOff>0</xdr:rowOff>
    </xdr:from>
    <xdr:ext cx="476250" cy="476250"/>
    <xdr:pic>
      <xdr:nvPicPr>
        <xdr:cNvPr id="0" name="image607.jp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98</xdr:row>
      <xdr:rowOff>0</xdr:rowOff>
    </xdr:from>
    <xdr:ext cx="476250" cy="476250"/>
    <xdr:pic>
      <xdr:nvPicPr>
        <xdr:cNvPr id="0" name="image606.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99</xdr:row>
      <xdr:rowOff>0</xdr:rowOff>
    </xdr:from>
    <xdr:ext cx="476250" cy="47625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100</xdr:row>
      <xdr:rowOff>0</xdr:rowOff>
    </xdr:from>
    <xdr:ext cx="476250" cy="476250"/>
    <xdr:pic>
      <xdr:nvPicPr>
        <xdr:cNvPr id="0" name="image431.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101</xdr:row>
      <xdr:rowOff>0</xdr:rowOff>
    </xdr:from>
    <xdr:ext cx="466725" cy="476250"/>
    <xdr:pic>
      <xdr:nvPicPr>
        <xdr:cNvPr id="0" name="image593.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102</xdr:row>
      <xdr:rowOff>0</xdr:rowOff>
    </xdr:from>
    <xdr:ext cx="476250" cy="476250"/>
    <xdr:pic>
      <xdr:nvPicPr>
        <xdr:cNvPr id="0" name="image563.jp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103</xdr:row>
      <xdr:rowOff>0</xdr:rowOff>
    </xdr:from>
    <xdr:ext cx="476250" cy="476250"/>
    <xdr:pic>
      <xdr:nvPicPr>
        <xdr:cNvPr id="0" name="image154.jp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104</xdr:row>
      <xdr:rowOff>0</xdr:rowOff>
    </xdr:from>
    <xdr:ext cx="476250" cy="476250"/>
    <xdr:pic>
      <xdr:nvPicPr>
        <xdr:cNvPr id="0" name="image366.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105</xdr:row>
      <xdr:rowOff>0</xdr:rowOff>
    </xdr:from>
    <xdr:ext cx="476250" cy="476250"/>
    <xdr:pic>
      <xdr:nvPicPr>
        <xdr:cNvPr id="0" name="image599.png"/>
        <xdr:cNvPicPr preferRelativeResize="0"/>
      </xdr:nvPicPr>
      <xdr:blipFill>
        <a:blip cstate="print" r:embed="rId67"/>
        <a:stretch>
          <a:fillRect/>
        </a:stretch>
      </xdr:blipFill>
      <xdr:spPr>
        <a:prstGeom prst="rect">
          <a:avLst/>
        </a:prstGeom>
        <a:noFill/>
      </xdr:spPr>
    </xdr:pic>
    <xdr:clientData fLocksWithSheet="0"/>
  </xdr:oneCellAnchor>
  <xdr:oneCellAnchor>
    <xdr:from>
      <xdr:col>2</xdr:col>
      <xdr:colOff>0</xdr:colOff>
      <xdr:row>106</xdr:row>
      <xdr:rowOff>0</xdr:rowOff>
    </xdr:from>
    <xdr:ext cx="476250" cy="476250"/>
    <xdr:pic>
      <xdr:nvPicPr>
        <xdr:cNvPr id="0" name="image168.jp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107</xdr:row>
      <xdr:rowOff>0</xdr:rowOff>
    </xdr:from>
    <xdr:ext cx="476250" cy="476250"/>
    <xdr:pic>
      <xdr:nvPicPr>
        <xdr:cNvPr id="0" name="image497.jpg"/>
        <xdr:cNvPicPr preferRelativeResize="0"/>
      </xdr:nvPicPr>
      <xdr:blipFill>
        <a:blip cstate="print" r:embed="rId68"/>
        <a:stretch>
          <a:fillRect/>
        </a:stretch>
      </xdr:blipFill>
      <xdr:spPr>
        <a:prstGeom prst="rect">
          <a:avLst/>
        </a:prstGeom>
        <a:noFill/>
      </xdr:spPr>
    </xdr:pic>
    <xdr:clientData fLocksWithSheet="0"/>
  </xdr:oneCellAnchor>
  <xdr:oneCellAnchor>
    <xdr:from>
      <xdr:col>2</xdr:col>
      <xdr:colOff>0</xdr:colOff>
      <xdr:row>108</xdr:row>
      <xdr:rowOff>0</xdr:rowOff>
    </xdr:from>
    <xdr:ext cx="476250" cy="476250"/>
    <xdr:pic>
      <xdr:nvPicPr>
        <xdr:cNvPr id="0" name="image572.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109</xdr:row>
      <xdr:rowOff>0</xdr:rowOff>
    </xdr:from>
    <xdr:ext cx="476250" cy="476250"/>
    <xdr:pic>
      <xdr:nvPicPr>
        <xdr:cNvPr id="0" name="image589.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110</xdr:row>
      <xdr:rowOff>0</xdr:rowOff>
    </xdr:from>
    <xdr:ext cx="476250" cy="476250"/>
    <xdr:pic>
      <xdr:nvPicPr>
        <xdr:cNvPr id="0" name="image300.jp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111</xdr:row>
      <xdr:rowOff>0</xdr:rowOff>
    </xdr:from>
    <xdr:ext cx="476250" cy="476250"/>
    <xdr:pic>
      <xdr:nvPicPr>
        <xdr:cNvPr id="0" name="image589.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112</xdr:row>
      <xdr:rowOff>0</xdr:rowOff>
    </xdr:from>
    <xdr:ext cx="476250" cy="476250"/>
    <xdr:pic>
      <xdr:nvPicPr>
        <xdr:cNvPr id="0" name="image433.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113</xdr:row>
      <xdr:rowOff>0</xdr:rowOff>
    </xdr:from>
    <xdr:ext cx="476250" cy="476250"/>
    <xdr:pic>
      <xdr:nvPicPr>
        <xdr:cNvPr id="0" name="image179.jpg"/>
        <xdr:cNvPicPr preferRelativeResize="0"/>
      </xdr:nvPicPr>
      <xdr:blipFill>
        <a:blip cstate="print" r:embed="rId70"/>
        <a:stretch>
          <a:fillRect/>
        </a:stretch>
      </xdr:blipFill>
      <xdr:spPr>
        <a:prstGeom prst="rect">
          <a:avLst/>
        </a:prstGeom>
        <a:noFill/>
      </xdr:spPr>
    </xdr:pic>
    <xdr:clientData fLocksWithSheet="0"/>
  </xdr:oneCellAnchor>
  <xdr:oneCellAnchor>
    <xdr:from>
      <xdr:col>2</xdr:col>
      <xdr:colOff>0</xdr:colOff>
      <xdr:row>114</xdr:row>
      <xdr:rowOff>0</xdr:rowOff>
    </xdr:from>
    <xdr:ext cx="476250" cy="476250"/>
    <xdr:pic>
      <xdr:nvPicPr>
        <xdr:cNvPr id="0" name="image411.jpg"/>
        <xdr:cNvPicPr preferRelativeResize="0"/>
      </xdr:nvPicPr>
      <xdr:blipFill>
        <a:blip cstate="print" r:embed="rId71"/>
        <a:stretch>
          <a:fillRect/>
        </a:stretch>
      </xdr:blipFill>
      <xdr:spPr>
        <a:prstGeom prst="rect">
          <a:avLst/>
        </a:prstGeom>
        <a:noFill/>
      </xdr:spPr>
    </xdr:pic>
    <xdr:clientData fLocksWithSheet="0"/>
  </xdr:oneCellAnchor>
  <xdr:oneCellAnchor>
    <xdr:from>
      <xdr:col>2</xdr:col>
      <xdr:colOff>0</xdr:colOff>
      <xdr:row>115</xdr:row>
      <xdr:rowOff>0</xdr:rowOff>
    </xdr:from>
    <xdr:ext cx="476250" cy="476250"/>
    <xdr:pic>
      <xdr:nvPicPr>
        <xdr:cNvPr id="0" name="image575.jpg"/>
        <xdr:cNvPicPr preferRelativeResize="0"/>
      </xdr:nvPicPr>
      <xdr:blipFill>
        <a:blip cstate="print" r:embed="rId72"/>
        <a:stretch>
          <a:fillRect/>
        </a:stretch>
      </xdr:blipFill>
      <xdr:spPr>
        <a:prstGeom prst="rect">
          <a:avLst/>
        </a:prstGeom>
        <a:noFill/>
      </xdr:spPr>
    </xdr:pic>
    <xdr:clientData fLocksWithSheet="0"/>
  </xdr:oneCellAnchor>
  <xdr:oneCellAnchor>
    <xdr:from>
      <xdr:col>2</xdr:col>
      <xdr:colOff>0</xdr:colOff>
      <xdr:row>116</xdr:row>
      <xdr:rowOff>0</xdr:rowOff>
    </xdr:from>
    <xdr:ext cx="476250" cy="476250"/>
    <xdr:pic>
      <xdr:nvPicPr>
        <xdr:cNvPr id="0" name="image423.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117</xdr:row>
      <xdr:rowOff>0</xdr:rowOff>
    </xdr:from>
    <xdr:ext cx="476250" cy="476250"/>
    <xdr:pic>
      <xdr:nvPicPr>
        <xdr:cNvPr id="0" name="image249.jp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118</xdr:row>
      <xdr:rowOff>0</xdr:rowOff>
    </xdr:from>
    <xdr:ext cx="476250" cy="476250"/>
    <xdr:pic>
      <xdr:nvPicPr>
        <xdr:cNvPr id="0" name="image156.jp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119</xdr:row>
      <xdr:rowOff>0</xdr:rowOff>
    </xdr:from>
    <xdr:ext cx="476250" cy="476250"/>
    <xdr:pic>
      <xdr:nvPicPr>
        <xdr:cNvPr id="0" name="image376.png"/>
        <xdr:cNvPicPr preferRelativeResize="0"/>
      </xdr:nvPicPr>
      <xdr:blipFill>
        <a:blip cstate="print" r:embed="rId73"/>
        <a:stretch>
          <a:fillRect/>
        </a:stretch>
      </xdr:blipFill>
      <xdr:spPr>
        <a:prstGeom prst="rect">
          <a:avLst/>
        </a:prstGeom>
        <a:noFill/>
      </xdr:spPr>
    </xdr:pic>
    <xdr:clientData fLocksWithSheet="0"/>
  </xdr:oneCellAnchor>
  <xdr:oneCellAnchor>
    <xdr:from>
      <xdr:col>2</xdr:col>
      <xdr:colOff>0</xdr:colOff>
      <xdr:row>120</xdr:row>
      <xdr:rowOff>0</xdr:rowOff>
    </xdr:from>
    <xdr:ext cx="476250" cy="476250"/>
    <xdr:pic>
      <xdr:nvPicPr>
        <xdr:cNvPr id="0" name="image349.png"/>
        <xdr:cNvPicPr preferRelativeResize="0"/>
      </xdr:nvPicPr>
      <xdr:blipFill>
        <a:blip cstate="print" r:embed="rId74"/>
        <a:stretch>
          <a:fillRect/>
        </a:stretch>
      </xdr:blipFill>
      <xdr:spPr>
        <a:prstGeom prst="rect">
          <a:avLst/>
        </a:prstGeom>
        <a:noFill/>
      </xdr:spPr>
    </xdr:pic>
    <xdr:clientData fLocksWithSheet="0"/>
  </xdr:oneCellAnchor>
  <xdr:oneCellAnchor>
    <xdr:from>
      <xdr:col>2</xdr:col>
      <xdr:colOff>0</xdr:colOff>
      <xdr:row>121</xdr:row>
      <xdr:rowOff>0</xdr:rowOff>
    </xdr:from>
    <xdr:ext cx="466725" cy="476250"/>
    <xdr:pic>
      <xdr:nvPicPr>
        <xdr:cNvPr id="0" name="image415.png"/>
        <xdr:cNvPicPr preferRelativeResize="0"/>
      </xdr:nvPicPr>
      <xdr:blipFill>
        <a:blip cstate="print" r:embed="rId75"/>
        <a:stretch>
          <a:fillRect/>
        </a:stretch>
      </xdr:blipFill>
      <xdr:spPr>
        <a:prstGeom prst="rect">
          <a:avLst/>
        </a:prstGeom>
        <a:noFill/>
      </xdr:spPr>
    </xdr:pic>
    <xdr:clientData fLocksWithSheet="0"/>
  </xdr:oneCellAnchor>
  <xdr:oneCellAnchor>
    <xdr:from>
      <xdr:col>2</xdr:col>
      <xdr:colOff>0</xdr:colOff>
      <xdr:row>122</xdr:row>
      <xdr:rowOff>0</xdr:rowOff>
    </xdr:from>
    <xdr:ext cx="476250" cy="476250"/>
    <xdr:pic>
      <xdr:nvPicPr>
        <xdr:cNvPr id="0" name="image501.jpg"/>
        <xdr:cNvPicPr preferRelativeResize="0"/>
      </xdr:nvPicPr>
      <xdr:blipFill>
        <a:blip cstate="print" r:embed="rId76"/>
        <a:stretch>
          <a:fillRect/>
        </a:stretch>
      </xdr:blipFill>
      <xdr:spPr>
        <a:prstGeom prst="rect">
          <a:avLst/>
        </a:prstGeom>
        <a:noFill/>
      </xdr:spPr>
    </xdr:pic>
    <xdr:clientData fLocksWithSheet="0"/>
  </xdr:oneCellAnchor>
  <xdr:oneCellAnchor>
    <xdr:from>
      <xdr:col>2</xdr:col>
      <xdr:colOff>0</xdr:colOff>
      <xdr:row>123</xdr:row>
      <xdr:rowOff>0</xdr:rowOff>
    </xdr:from>
    <xdr:ext cx="466725" cy="476250"/>
    <xdr:pic>
      <xdr:nvPicPr>
        <xdr:cNvPr id="0" name="image593.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124</xdr:row>
      <xdr:rowOff>0</xdr:rowOff>
    </xdr:from>
    <xdr:ext cx="476250" cy="476250"/>
    <xdr:pic>
      <xdr:nvPicPr>
        <xdr:cNvPr id="0" name="image22.jpg"/>
        <xdr:cNvPicPr preferRelativeResize="0"/>
      </xdr:nvPicPr>
      <xdr:blipFill>
        <a:blip cstate="print" r:embed="rId77"/>
        <a:stretch>
          <a:fillRect/>
        </a:stretch>
      </xdr:blipFill>
      <xdr:spPr>
        <a:prstGeom prst="rect">
          <a:avLst/>
        </a:prstGeom>
        <a:noFill/>
      </xdr:spPr>
    </xdr:pic>
    <xdr:clientData fLocksWithSheet="0"/>
  </xdr:oneCellAnchor>
  <xdr:oneCellAnchor>
    <xdr:from>
      <xdr:col>2</xdr:col>
      <xdr:colOff>0</xdr:colOff>
      <xdr:row>125</xdr:row>
      <xdr:rowOff>0</xdr:rowOff>
    </xdr:from>
    <xdr:ext cx="466725" cy="476250"/>
    <xdr:pic>
      <xdr:nvPicPr>
        <xdr:cNvPr id="0" name="image354.png"/>
        <xdr:cNvPicPr preferRelativeResize="0"/>
      </xdr:nvPicPr>
      <xdr:blipFill>
        <a:blip cstate="print" r:embed="rId78"/>
        <a:stretch>
          <a:fillRect/>
        </a:stretch>
      </xdr:blipFill>
      <xdr:spPr>
        <a:prstGeom prst="rect">
          <a:avLst/>
        </a:prstGeom>
        <a:noFill/>
      </xdr:spPr>
    </xdr:pic>
    <xdr:clientData fLocksWithSheet="0"/>
  </xdr:oneCellAnchor>
  <xdr:oneCellAnchor>
    <xdr:from>
      <xdr:col>2</xdr:col>
      <xdr:colOff>0</xdr:colOff>
      <xdr:row>126</xdr:row>
      <xdr:rowOff>0</xdr:rowOff>
    </xdr:from>
    <xdr:ext cx="476250" cy="476250"/>
    <xdr:pic>
      <xdr:nvPicPr>
        <xdr:cNvPr id="0" name="image219.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127</xdr:row>
      <xdr:rowOff>0</xdr:rowOff>
    </xdr:from>
    <xdr:ext cx="476250" cy="476250"/>
    <xdr:pic>
      <xdr:nvPicPr>
        <xdr:cNvPr id="0" name="image620.jpg"/>
        <xdr:cNvPicPr preferRelativeResize="0"/>
      </xdr:nvPicPr>
      <xdr:blipFill>
        <a:blip cstate="print" r:embed="rId79"/>
        <a:stretch>
          <a:fillRect/>
        </a:stretch>
      </xdr:blipFill>
      <xdr:spPr>
        <a:prstGeom prst="rect">
          <a:avLst/>
        </a:prstGeom>
        <a:noFill/>
      </xdr:spPr>
    </xdr:pic>
    <xdr:clientData fLocksWithSheet="0"/>
  </xdr:oneCellAnchor>
  <xdr:oneCellAnchor>
    <xdr:from>
      <xdr:col>2</xdr:col>
      <xdr:colOff>0</xdr:colOff>
      <xdr:row>128</xdr:row>
      <xdr:rowOff>0</xdr:rowOff>
    </xdr:from>
    <xdr:ext cx="476250" cy="476250"/>
    <xdr:pic>
      <xdr:nvPicPr>
        <xdr:cNvPr id="0" name="image615.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129</xdr:row>
      <xdr:rowOff>0</xdr:rowOff>
    </xdr:from>
    <xdr:ext cx="476250" cy="476250"/>
    <xdr:pic>
      <xdr:nvPicPr>
        <xdr:cNvPr id="0" name="image543.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130</xdr:row>
      <xdr:rowOff>0</xdr:rowOff>
    </xdr:from>
    <xdr:ext cx="476250" cy="476250"/>
    <xdr:pic>
      <xdr:nvPicPr>
        <xdr:cNvPr id="0" name="image73.jpg"/>
        <xdr:cNvPicPr preferRelativeResize="0"/>
      </xdr:nvPicPr>
      <xdr:blipFill>
        <a:blip cstate="print" r:embed="rId80"/>
        <a:stretch>
          <a:fillRect/>
        </a:stretch>
      </xdr:blipFill>
      <xdr:spPr>
        <a:prstGeom prst="rect">
          <a:avLst/>
        </a:prstGeom>
        <a:noFill/>
      </xdr:spPr>
    </xdr:pic>
    <xdr:clientData fLocksWithSheet="0"/>
  </xdr:oneCellAnchor>
  <xdr:oneCellAnchor>
    <xdr:from>
      <xdr:col>2</xdr:col>
      <xdr:colOff>0</xdr:colOff>
      <xdr:row>131</xdr:row>
      <xdr:rowOff>0</xdr:rowOff>
    </xdr:from>
    <xdr:ext cx="476250" cy="476250"/>
    <xdr:pic>
      <xdr:nvPicPr>
        <xdr:cNvPr id="0" name="image333.png"/>
        <xdr:cNvPicPr preferRelativeResize="0"/>
      </xdr:nvPicPr>
      <xdr:blipFill>
        <a:blip cstate="print" r:embed="rId81"/>
        <a:stretch>
          <a:fillRect/>
        </a:stretch>
      </xdr:blipFill>
      <xdr:spPr>
        <a:prstGeom prst="rect">
          <a:avLst/>
        </a:prstGeom>
        <a:noFill/>
      </xdr:spPr>
    </xdr:pic>
    <xdr:clientData fLocksWithSheet="0"/>
  </xdr:oneCellAnchor>
  <xdr:oneCellAnchor>
    <xdr:from>
      <xdr:col>2</xdr:col>
      <xdr:colOff>0</xdr:colOff>
      <xdr:row>132</xdr:row>
      <xdr:rowOff>0</xdr:rowOff>
    </xdr:from>
    <xdr:ext cx="476250" cy="476250"/>
    <xdr:pic>
      <xdr:nvPicPr>
        <xdr:cNvPr id="0" name="image577.jpg"/>
        <xdr:cNvPicPr preferRelativeResize="0"/>
      </xdr:nvPicPr>
      <xdr:blipFill>
        <a:blip cstate="print" r:embed="rId82"/>
        <a:stretch>
          <a:fillRect/>
        </a:stretch>
      </xdr:blipFill>
      <xdr:spPr>
        <a:prstGeom prst="rect">
          <a:avLst/>
        </a:prstGeom>
        <a:noFill/>
      </xdr:spPr>
    </xdr:pic>
    <xdr:clientData fLocksWithSheet="0"/>
  </xdr:oneCellAnchor>
  <xdr:oneCellAnchor>
    <xdr:from>
      <xdr:col>2</xdr:col>
      <xdr:colOff>0</xdr:colOff>
      <xdr:row>133</xdr:row>
      <xdr:rowOff>0</xdr:rowOff>
    </xdr:from>
    <xdr:ext cx="476250" cy="476250"/>
    <xdr:pic>
      <xdr:nvPicPr>
        <xdr:cNvPr id="0" name="image376.png"/>
        <xdr:cNvPicPr preferRelativeResize="0"/>
      </xdr:nvPicPr>
      <xdr:blipFill>
        <a:blip cstate="print" r:embed="rId73"/>
        <a:stretch>
          <a:fillRect/>
        </a:stretch>
      </xdr:blipFill>
      <xdr:spPr>
        <a:prstGeom prst="rect">
          <a:avLst/>
        </a:prstGeom>
        <a:noFill/>
      </xdr:spPr>
    </xdr:pic>
    <xdr:clientData fLocksWithSheet="0"/>
  </xdr:oneCellAnchor>
  <xdr:oneCellAnchor>
    <xdr:from>
      <xdr:col>2</xdr:col>
      <xdr:colOff>0</xdr:colOff>
      <xdr:row>134</xdr:row>
      <xdr:rowOff>0</xdr:rowOff>
    </xdr:from>
    <xdr:ext cx="476250" cy="476250"/>
    <xdr:pic>
      <xdr:nvPicPr>
        <xdr:cNvPr id="0" name="image22.jpg"/>
        <xdr:cNvPicPr preferRelativeResize="0"/>
      </xdr:nvPicPr>
      <xdr:blipFill>
        <a:blip cstate="print" r:embed="rId77"/>
        <a:stretch>
          <a:fillRect/>
        </a:stretch>
      </xdr:blipFill>
      <xdr:spPr>
        <a:prstGeom prst="rect">
          <a:avLst/>
        </a:prstGeom>
        <a:noFill/>
      </xdr:spPr>
    </xdr:pic>
    <xdr:clientData fLocksWithSheet="0"/>
  </xdr:oneCellAnchor>
  <xdr:oneCellAnchor>
    <xdr:from>
      <xdr:col>2</xdr:col>
      <xdr:colOff>0</xdr:colOff>
      <xdr:row>135</xdr:row>
      <xdr:rowOff>0</xdr:rowOff>
    </xdr:from>
    <xdr:ext cx="476250" cy="476250"/>
    <xdr:pic>
      <xdr:nvPicPr>
        <xdr:cNvPr id="0" name="image404.png"/>
        <xdr:cNvPicPr preferRelativeResize="0"/>
      </xdr:nvPicPr>
      <xdr:blipFill>
        <a:blip cstate="print" r:embed="rId83"/>
        <a:stretch>
          <a:fillRect/>
        </a:stretch>
      </xdr:blipFill>
      <xdr:spPr>
        <a:prstGeom prst="rect">
          <a:avLst/>
        </a:prstGeom>
        <a:noFill/>
      </xdr:spPr>
    </xdr:pic>
    <xdr:clientData fLocksWithSheet="0"/>
  </xdr:oneCellAnchor>
  <xdr:oneCellAnchor>
    <xdr:from>
      <xdr:col>2</xdr:col>
      <xdr:colOff>0</xdr:colOff>
      <xdr:row>136</xdr:row>
      <xdr:rowOff>0</xdr:rowOff>
    </xdr:from>
    <xdr:ext cx="466725" cy="476250"/>
    <xdr:pic>
      <xdr:nvPicPr>
        <xdr:cNvPr id="0" name="image600.png"/>
        <xdr:cNvPicPr preferRelativeResize="0"/>
      </xdr:nvPicPr>
      <xdr:blipFill>
        <a:blip cstate="print" r:embed="rId84"/>
        <a:stretch>
          <a:fillRect/>
        </a:stretch>
      </xdr:blipFill>
      <xdr:spPr>
        <a:prstGeom prst="rect">
          <a:avLst/>
        </a:prstGeom>
        <a:noFill/>
      </xdr:spPr>
    </xdr:pic>
    <xdr:clientData fLocksWithSheet="0"/>
  </xdr:oneCellAnchor>
  <xdr:oneCellAnchor>
    <xdr:from>
      <xdr:col>2</xdr:col>
      <xdr:colOff>0</xdr:colOff>
      <xdr:row>137</xdr:row>
      <xdr:rowOff>0</xdr:rowOff>
    </xdr:from>
    <xdr:ext cx="476250" cy="476250"/>
    <xdr:pic>
      <xdr:nvPicPr>
        <xdr:cNvPr id="0" name="image346.png"/>
        <xdr:cNvPicPr preferRelativeResize="0"/>
      </xdr:nvPicPr>
      <xdr:blipFill>
        <a:blip cstate="print" r:embed="rId85"/>
        <a:stretch>
          <a:fillRect/>
        </a:stretch>
      </xdr:blipFill>
      <xdr:spPr>
        <a:prstGeom prst="rect">
          <a:avLst/>
        </a:prstGeom>
        <a:noFill/>
      </xdr:spPr>
    </xdr:pic>
    <xdr:clientData fLocksWithSheet="0"/>
  </xdr:oneCellAnchor>
  <xdr:oneCellAnchor>
    <xdr:from>
      <xdr:col>2</xdr:col>
      <xdr:colOff>0</xdr:colOff>
      <xdr:row>138</xdr:row>
      <xdr:rowOff>0</xdr:rowOff>
    </xdr:from>
    <xdr:ext cx="476250" cy="476250"/>
    <xdr:pic>
      <xdr:nvPicPr>
        <xdr:cNvPr id="0" name="image336.png"/>
        <xdr:cNvPicPr preferRelativeResize="0"/>
      </xdr:nvPicPr>
      <xdr:blipFill>
        <a:blip cstate="print" r:embed="rId86"/>
        <a:stretch>
          <a:fillRect/>
        </a:stretch>
      </xdr:blipFill>
      <xdr:spPr>
        <a:prstGeom prst="rect">
          <a:avLst/>
        </a:prstGeom>
        <a:noFill/>
      </xdr:spPr>
    </xdr:pic>
    <xdr:clientData fLocksWithSheet="0"/>
  </xdr:oneCellAnchor>
  <xdr:oneCellAnchor>
    <xdr:from>
      <xdr:col>2</xdr:col>
      <xdr:colOff>0</xdr:colOff>
      <xdr:row>139</xdr:row>
      <xdr:rowOff>0</xdr:rowOff>
    </xdr:from>
    <xdr:ext cx="476250" cy="476250"/>
    <xdr:pic>
      <xdr:nvPicPr>
        <xdr:cNvPr id="0" name="image572.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140</xdr:row>
      <xdr:rowOff>0</xdr:rowOff>
    </xdr:from>
    <xdr:ext cx="476250" cy="476250"/>
    <xdr:pic>
      <xdr:nvPicPr>
        <xdr:cNvPr id="0" name="image337.png"/>
        <xdr:cNvPicPr preferRelativeResize="0"/>
      </xdr:nvPicPr>
      <xdr:blipFill>
        <a:blip cstate="print" r:embed="rId87"/>
        <a:stretch>
          <a:fillRect/>
        </a:stretch>
      </xdr:blipFill>
      <xdr:spPr>
        <a:prstGeom prst="rect">
          <a:avLst/>
        </a:prstGeom>
        <a:noFill/>
      </xdr:spPr>
    </xdr:pic>
    <xdr:clientData fLocksWithSheet="0"/>
  </xdr:oneCellAnchor>
  <xdr:oneCellAnchor>
    <xdr:from>
      <xdr:col>2</xdr:col>
      <xdr:colOff>0</xdr:colOff>
      <xdr:row>141</xdr:row>
      <xdr:rowOff>0</xdr:rowOff>
    </xdr:from>
    <xdr:ext cx="476250" cy="476250"/>
    <xdr:pic>
      <xdr:nvPicPr>
        <xdr:cNvPr id="0" name="image397.png"/>
        <xdr:cNvPicPr preferRelativeResize="0"/>
      </xdr:nvPicPr>
      <xdr:blipFill>
        <a:blip cstate="print" r:embed="rId88"/>
        <a:stretch>
          <a:fillRect/>
        </a:stretch>
      </xdr:blipFill>
      <xdr:spPr>
        <a:prstGeom prst="rect">
          <a:avLst/>
        </a:prstGeom>
        <a:noFill/>
      </xdr:spPr>
    </xdr:pic>
    <xdr:clientData fLocksWithSheet="0"/>
  </xdr:oneCellAnchor>
  <xdr:oneCellAnchor>
    <xdr:from>
      <xdr:col>2</xdr:col>
      <xdr:colOff>0</xdr:colOff>
      <xdr:row>142</xdr:row>
      <xdr:rowOff>0</xdr:rowOff>
    </xdr:from>
    <xdr:ext cx="476250" cy="476250"/>
    <xdr:pic>
      <xdr:nvPicPr>
        <xdr:cNvPr id="0" name="image383.png"/>
        <xdr:cNvPicPr preferRelativeResize="0"/>
      </xdr:nvPicPr>
      <xdr:blipFill>
        <a:blip cstate="print" r:embed="rId89"/>
        <a:stretch>
          <a:fillRect/>
        </a:stretch>
      </xdr:blipFill>
      <xdr:spPr>
        <a:prstGeom prst="rect">
          <a:avLst/>
        </a:prstGeom>
        <a:noFill/>
      </xdr:spPr>
    </xdr:pic>
    <xdr:clientData fLocksWithSheet="0"/>
  </xdr:oneCellAnchor>
  <xdr:oneCellAnchor>
    <xdr:from>
      <xdr:col>2</xdr:col>
      <xdr:colOff>0</xdr:colOff>
      <xdr:row>143</xdr:row>
      <xdr:rowOff>0</xdr:rowOff>
    </xdr:from>
    <xdr:ext cx="466725" cy="476250"/>
    <xdr:pic>
      <xdr:nvPicPr>
        <xdr:cNvPr id="0" name="image415.png"/>
        <xdr:cNvPicPr preferRelativeResize="0"/>
      </xdr:nvPicPr>
      <xdr:blipFill>
        <a:blip cstate="print" r:embed="rId75"/>
        <a:stretch>
          <a:fillRect/>
        </a:stretch>
      </xdr:blipFill>
      <xdr:spPr>
        <a:prstGeom prst="rect">
          <a:avLst/>
        </a:prstGeom>
        <a:noFill/>
      </xdr:spPr>
    </xdr:pic>
    <xdr:clientData fLocksWithSheet="0"/>
  </xdr:oneCellAnchor>
  <xdr:oneCellAnchor>
    <xdr:from>
      <xdr:col>2</xdr:col>
      <xdr:colOff>0</xdr:colOff>
      <xdr:row>144</xdr:row>
      <xdr:rowOff>0</xdr:rowOff>
    </xdr:from>
    <xdr:ext cx="476250" cy="476250"/>
    <xdr:pic>
      <xdr:nvPicPr>
        <xdr:cNvPr id="0" name="image285.jpg"/>
        <xdr:cNvPicPr preferRelativeResize="0"/>
      </xdr:nvPicPr>
      <xdr:blipFill>
        <a:blip cstate="print" r:embed="rId90"/>
        <a:stretch>
          <a:fillRect/>
        </a:stretch>
      </xdr:blipFill>
      <xdr:spPr>
        <a:prstGeom prst="rect">
          <a:avLst/>
        </a:prstGeom>
        <a:noFill/>
      </xdr:spPr>
    </xdr:pic>
    <xdr:clientData fLocksWithSheet="0"/>
  </xdr:oneCellAnchor>
  <xdr:oneCellAnchor>
    <xdr:from>
      <xdr:col>2</xdr:col>
      <xdr:colOff>0</xdr:colOff>
      <xdr:row>145</xdr:row>
      <xdr:rowOff>0</xdr:rowOff>
    </xdr:from>
    <xdr:ext cx="476250" cy="476250"/>
    <xdr:pic>
      <xdr:nvPicPr>
        <xdr:cNvPr id="0" name="image604.png"/>
        <xdr:cNvPicPr preferRelativeResize="0"/>
      </xdr:nvPicPr>
      <xdr:blipFill>
        <a:blip cstate="print" r:embed="rId91"/>
        <a:stretch>
          <a:fillRect/>
        </a:stretch>
      </xdr:blipFill>
      <xdr:spPr>
        <a:prstGeom prst="rect">
          <a:avLst/>
        </a:prstGeom>
        <a:noFill/>
      </xdr:spPr>
    </xdr:pic>
    <xdr:clientData fLocksWithSheet="0"/>
  </xdr:oneCellAnchor>
  <xdr:oneCellAnchor>
    <xdr:from>
      <xdr:col>2</xdr:col>
      <xdr:colOff>0</xdr:colOff>
      <xdr:row>146</xdr:row>
      <xdr:rowOff>0</xdr:rowOff>
    </xdr:from>
    <xdr:ext cx="466725" cy="476250"/>
    <xdr:pic>
      <xdr:nvPicPr>
        <xdr:cNvPr id="0" name="image354.png"/>
        <xdr:cNvPicPr preferRelativeResize="0"/>
      </xdr:nvPicPr>
      <xdr:blipFill>
        <a:blip cstate="print" r:embed="rId78"/>
        <a:stretch>
          <a:fillRect/>
        </a:stretch>
      </xdr:blipFill>
      <xdr:spPr>
        <a:prstGeom prst="rect">
          <a:avLst/>
        </a:prstGeom>
        <a:noFill/>
      </xdr:spPr>
    </xdr:pic>
    <xdr:clientData fLocksWithSheet="0"/>
  </xdr:oneCellAnchor>
  <xdr:oneCellAnchor>
    <xdr:from>
      <xdr:col>2</xdr:col>
      <xdr:colOff>0</xdr:colOff>
      <xdr:row>147</xdr:row>
      <xdr:rowOff>0</xdr:rowOff>
    </xdr:from>
    <xdr:ext cx="476250" cy="476250"/>
    <xdr:pic>
      <xdr:nvPicPr>
        <xdr:cNvPr id="0" name="image604.png"/>
        <xdr:cNvPicPr preferRelativeResize="0"/>
      </xdr:nvPicPr>
      <xdr:blipFill>
        <a:blip cstate="print" r:embed="rId91"/>
        <a:stretch>
          <a:fillRect/>
        </a:stretch>
      </xdr:blipFill>
      <xdr:spPr>
        <a:prstGeom prst="rect">
          <a:avLst/>
        </a:prstGeom>
        <a:noFill/>
      </xdr:spPr>
    </xdr:pic>
    <xdr:clientData fLocksWithSheet="0"/>
  </xdr:oneCellAnchor>
  <xdr:oneCellAnchor>
    <xdr:from>
      <xdr:col>2</xdr:col>
      <xdr:colOff>0</xdr:colOff>
      <xdr:row>148</xdr:row>
      <xdr:rowOff>0</xdr:rowOff>
    </xdr:from>
    <xdr:ext cx="476250" cy="476250"/>
    <xdr:pic>
      <xdr:nvPicPr>
        <xdr:cNvPr id="0" name="image397.png"/>
        <xdr:cNvPicPr preferRelativeResize="0"/>
      </xdr:nvPicPr>
      <xdr:blipFill>
        <a:blip cstate="print" r:embed="rId88"/>
        <a:stretch>
          <a:fillRect/>
        </a:stretch>
      </xdr:blipFill>
      <xdr:spPr>
        <a:prstGeom prst="rect">
          <a:avLst/>
        </a:prstGeom>
        <a:noFill/>
      </xdr:spPr>
    </xdr:pic>
    <xdr:clientData fLocksWithSheet="0"/>
  </xdr:oneCellAnchor>
  <xdr:oneCellAnchor>
    <xdr:from>
      <xdr:col>2</xdr:col>
      <xdr:colOff>0</xdr:colOff>
      <xdr:row>149</xdr:row>
      <xdr:rowOff>0</xdr:rowOff>
    </xdr:from>
    <xdr:ext cx="476250" cy="476250"/>
    <xdr:pic>
      <xdr:nvPicPr>
        <xdr:cNvPr id="0" name="image543.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150</xdr:row>
      <xdr:rowOff>0</xdr:rowOff>
    </xdr:from>
    <xdr:ext cx="476250" cy="476250"/>
    <xdr:pic>
      <xdr:nvPicPr>
        <xdr:cNvPr id="0" name="image345.png"/>
        <xdr:cNvPicPr preferRelativeResize="0"/>
      </xdr:nvPicPr>
      <xdr:blipFill>
        <a:blip cstate="print" r:embed="rId92"/>
        <a:stretch>
          <a:fillRect/>
        </a:stretch>
      </xdr:blipFill>
      <xdr:spPr>
        <a:prstGeom prst="rect">
          <a:avLst/>
        </a:prstGeom>
        <a:noFill/>
      </xdr:spPr>
    </xdr:pic>
    <xdr:clientData fLocksWithSheet="0"/>
  </xdr:oneCellAnchor>
  <xdr:oneCellAnchor>
    <xdr:from>
      <xdr:col>2</xdr:col>
      <xdr:colOff>0</xdr:colOff>
      <xdr:row>151</xdr:row>
      <xdr:rowOff>0</xdr:rowOff>
    </xdr:from>
    <xdr:ext cx="476250" cy="476250"/>
    <xdr:pic>
      <xdr:nvPicPr>
        <xdr:cNvPr id="0" name="image215.jpg"/>
        <xdr:cNvPicPr preferRelativeResize="0"/>
      </xdr:nvPicPr>
      <xdr:blipFill>
        <a:blip cstate="print" r:embed="rId93"/>
        <a:stretch>
          <a:fillRect/>
        </a:stretch>
      </xdr:blipFill>
      <xdr:spPr>
        <a:prstGeom prst="rect">
          <a:avLst/>
        </a:prstGeom>
        <a:noFill/>
      </xdr:spPr>
    </xdr:pic>
    <xdr:clientData fLocksWithSheet="0"/>
  </xdr:oneCellAnchor>
  <xdr:oneCellAnchor>
    <xdr:from>
      <xdr:col>2</xdr:col>
      <xdr:colOff>0</xdr:colOff>
      <xdr:row>152</xdr:row>
      <xdr:rowOff>0</xdr:rowOff>
    </xdr:from>
    <xdr:ext cx="476250" cy="476250"/>
    <xdr:pic>
      <xdr:nvPicPr>
        <xdr:cNvPr id="0" name="image360.png"/>
        <xdr:cNvPicPr preferRelativeResize="0"/>
      </xdr:nvPicPr>
      <xdr:blipFill>
        <a:blip cstate="print" r:embed="rId94"/>
        <a:stretch>
          <a:fillRect/>
        </a:stretch>
      </xdr:blipFill>
      <xdr:spPr>
        <a:prstGeom prst="rect">
          <a:avLst/>
        </a:prstGeom>
        <a:noFill/>
      </xdr:spPr>
    </xdr:pic>
    <xdr:clientData fLocksWithSheet="0"/>
  </xdr:oneCellAnchor>
  <xdr:oneCellAnchor>
    <xdr:from>
      <xdr:col>2</xdr:col>
      <xdr:colOff>0</xdr:colOff>
      <xdr:row>153</xdr:row>
      <xdr:rowOff>0</xdr:rowOff>
    </xdr:from>
    <xdr:ext cx="476250" cy="476250"/>
    <xdr:pic>
      <xdr:nvPicPr>
        <xdr:cNvPr id="0" name="image181.jpg"/>
        <xdr:cNvPicPr preferRelativeResize="0"/>
      </xdr:nvPicPr>
      <xdr:blipFill>
        <a:blip cstate="print" r:embed="rId95"/>
        <a:stretch>
          <a:fillRect/>
        </a:stretch>
      </xdr:blipFill>
      <xdr:spPr>
        <a:prstGeom prst="rect">
          <a:avLst/>
        </a:prstGeom>
        <a:noFill/>
      </xdr:spPr>
    </xdr:pic>
    <xdr:clientData fLocksWithSheet="0"/>
  </xdr:oneCellAnchor>
  <xdr:oneCellAnchor>
    <xdr:from>
      <xdr:col>2</xdr:col>
      <xdr:colOff>0</xdr:colOff>
      <xdr:row>154</xdr:row>
      <xdr:rowOff>0</xdr:rowOff>
    </xdr:from>
    <xdr:ext cx="476250" cy="476250"/>
    <xdr:pic>
      <xdr:nvPicPr>
        <xdr:cNvPr id="0" name="image604.png"/>
        <xdr:cNvPicPr preferRelativeResize="0"/>
      </xdr:nvPicPr>
      <xdr:blipFill>
        <a:blip cstate="print" r:embed="rId91"/>
        <a:stretch>
          <a:fillRect/>
        </a:stretch>
      </xdr:blipFill>
      <xdr:spPr>
        <a:prstGeom prst="rect">
          <a:avLst/>
        </a:prstGeom>
        <a:noFill/>
      </xdr:spPr>
    </xdr:pic>
    <xdr:clientData fLocksWithSheet="0"/>
  </xdr:oneCellAnchor>
  <xdr:oneCellAnchor>
    <xdr:from>
      <xdr:col>2</xdr:col>
      <xdr:colOff>0</xdr:colOff>
      <xdr:row>155</xdr:row>
      <xdr:rowOff>0</xdr:rowOff>
    </xdr:from>
    <xdr:ext cx="476250" cy="476250"/>
    <xdr:pic>
      <xdr:nvPicPr>
        <xdr:cNvPr id="0" name="image141.jpg"/>
        <xdr:cNvPicPr preferRelativeResize="0"/>
      </xdr:nvPicPr>
      <xdr:blipFill>
        <a:blip cstate="print" r:embed="rId96"/>
        <a:stretch>
          <a:fillRect/>
        </a:stretch>
      </xdr:blipFill>
      <xdr:spPr>
        <a:prstGeom prst="rect">
          <a:avLst/>
        </a:prstGeom>
        <a:noFill/>
      </xdr:spPr>
    </xdr:pic>
    <xdr:clientData fLocksWithSheet="0"/>
  </xdr:oneCellAnchor>
  <xdr:oneCellAnchor>
    <xdr:from>
      <xdr:col>2</xdr:col>
      <xdr:colOff>0</xdr:colOff>
      <xdr:row>156</xdr:row>
      <xdr:rowOff>0</xdr:rowOff>
    </xdr:from>
    <xdr:ext cx="476250" cy="476250"/>
    <xdr:pic>
      <xdr:nvPicPr>
        <xdr:cNvPr id="0" name="image604.png"/>
        <xdr:cNvPicPr preferRelativeResize="0"/>
      </xdr:nvPicPr>
      <xdr:blipFill>
        <a:blip cstate="print" r:embed="rId91"/>
        <a:stretch>
          <a:fillRect/>
        </a:stretch>
      </xdr:blipFill>
      <xdr:spPr>
        <a:prstGeom prst="rect">
          <a:avLst/>
        </a:prstGeom>
        <a:noFill/>
      </xdr:spPr>
    </xdr:pic>
    <xdr:clientData fLocksWithSheet="0"/>
  </xdr:oneCellAnchor>
  <xdr:oneCellAnchor>
    <xdr:from>
      <xdr:col>2</xdr:col>
      <xdr:colOff>0</xdr:colOff>
      <xdr:row>157</xdr:row>
      <xdr:rowOff>0</xdr:rowOff>
    </xdr:from>
    <xdr:ext cx="476250" cy="476250"/>
    <xdr:pic>
      <xdr:nvPicPr>
        <xdr:cNvPr id="0" name="image345.png"/>
        <xdr:cNvPicPr preferRelativeResize="0"/>
      </xdr:nvPicPr>
      <xdr:blipFill>
        <a:blip cstate="print" r:embed="rId92"/>
        <a:stretch>
          <a:fillRect/>
        </a:stretch>
      </xdr:blipFill>
      <xdr:spPr>
        <a:prstGeom prst="rect">
          <a:avLst/>
        </a:prstGeom>
        <a:noFill/>
      </xdr:spPr>
    </xdr:pic>
    <xdr:clientData fLocksWithSheet="0"/>
  </xdr:oneCellAnchor>
  <xdr:oneCellAnchor>
    <xdr:from>
      <xdr:col>2</xdr:col>
      <xdr:colOff>0</xdr:colOff>
      <xdr:row>158</xdr:row>
      <xdr:rowOff>0</xdr:rowOff>
    </xdr:from>
    <xdr:ext cx="476250" cy="476250"/>
    <xdr:pic>
      <xdr:nvPicPr>
        <xdr:cNvPr id="0" name="image579.jpg"/>
        <xdr:cNvPicPr preferRelativeResize="0"/>
      </xdr:nvPicPr>
      <xdr:blipFill>
        <a:blip cstate="print" r:embed="rId97"/>
        <a:stretch>
          <a:fillRect/>
        </a:stretch>
      </xdr:blipFill>
      <xdr:spPr>
        <a:prstGeom prst="rect">
          <a:avLst/>
        </a:prstGeom>
        <a:noFill/>
      </xdr:spPr>
    </xdr:pic>
    <xdr:clientData fLocksWithSheet="0"/>
  </xdr:oneCellAnchor>
  <xdr:oneCellAnchor>
    <xdr:from>
      <xdr:col>2</xdr:col>
      <xdr:colOff>0</xdr:colOff>
      <xdr:row>159</xdr:row>
      <xdr:rowOff>0</xdr:rowOff>
    </xdr:from>
    <xdr:ext cx="466725" cy="476250"/>
    <xdr:pic>
      <xdr:nvPicPr>
        <xdr:cNvPr id="0" name="image365.png"/>
        <xdr:cNvPicPr preferRelativeResize="0"/>
      </xdr:nvPicPr>
      <xdr:blipFill>
        <a:blip cstate="print" r:embed="rId98"/>
        <a:stretch>
          <a:fillRect/>
        </a:stretch>
      </xdr:blipFill>
      <xdr:spPr>
        <a:prstGeom prst="rect">
          <a:avLst/>
        </a:prstGeom>
        <a:noFill/>
      </xdr:spPr>
    </xdr:pic>
    <xdr:clientData fLocksWithSheet="0"/>
  </xdr:oneCellAnchor>
  <xdr:oneCellAnchor>
    <xdr:from>
      <xdr:col>2</xdr:col>
      <xdr:colOff>0</xdr:colOff>
      <xdr:row>160</xdr:row>
      <xdr:rowOff>0</xdr:rowOff>
    </xdr:from>
    <xdr:ext cx="476250" cy="476250"/>
    <xdr:pic>
      <xdr:nvPicPr>
        <xdr:cNvPr id="0" name="image348.png"/>
        <xdr:cNvPicPr preferRelativeResize="0"/>
      </xdr:nvPicPr>
      <xdr:blipFill>
        <a:blip cstate="print" r:embed="rId99"/>
        <a:stretch>
          <a:fillRect/>
        </a:stretch>
      </xdr:blipFill>
      <xdr:spPr>
        <a:prstGeom prst="rect">
          <a:avLst/>
        </a:prstGeom>
        <a:noFill/>
      </xdr:spPr>
    </xdr:pic>
    <xdr:clientData fLocksWithSheet="0"/>
  </xdr:oneCellAnchor>
  <xdr:oneCellAnchor>
    <xdr:from>
      <xdr:col>2</xdr:col>
      <xdr:colOff>0</xdr:colOff>
      <xdr:row>161</xdr:row>
      <xdr:rowOff>0</xdr:rowOff>
    </xdr:from>
    <xdr:ext cx="476250" cy="476250"/>
    <xdr:pic>
      <xdr:nvPicPr>
        <xdr:cNvPr id="0" name="image363.png"/>
        <xdr:cNvPicPr preferRelativeResize="0"/>
      </xdr:nvPicPr>
      <xdr:blipFill>
        <a:blip cstate="print" r:embed="rId100"/>
        <a:stretch>
          <a:fillRect/>
        </a:stretch>
      </xdr:blipFill>
      <xdr:spPr>
        <a:prstGeom prst="rect">
          <a:avLst/>
        </a:prstGeom>
        <a:noFill/>
      </xdr:spPr>
    </xdr:pic>
    <xdr:clientData fLocksWithSheet="0"/>
  </xdr:oneCellAnchor>
  <xdr:oneCellAnchor>
    <xdr:from>
      <xdr:col>2</xdr:col>
      <xdr:colOff>0</xdr:colOff>
      <xdr:row>162</xdr:row>
      <xdr:rowOff>0</xdr:rowOff>
    </xdr:from>
    <xdr:ext cx="476250" cy="476250"/>
    <xdr:pic>
      <xdr:nvPicPr>
        <xdr:cNvPr id="0" name="image349.png"/>
        <xdr:cNvPicPr preferRelativeResize="0"/>
      </xdr:nvPicPr>
      <xdr:blipFill>
        <a:blip cstate="print" r:embed="rId74"/>
        <a:stretch>
          <a:fillRect/>
        </a:stretch>
      </xdr:blipFill>
      <xdr:spPr>
        <a:prstGeom prst="rect">
          <a:avLst/>
        </a:prstGeom>
        <a:noFill/>
      </xdr:spPr>
    </xdr:pic>
    <xdr:clientData fLocksWithSheet="0"/>
  </xdr:oneCellAnchor>
  <xdr:oneCellAnchor>
    <xdr:from>
      <xdr:col>2</xdr:col>
      <xdr:colOff>0</xdr:colOff>
      <xdr:row>163</xdr:row>
      <xdr:rowOff>0</xdr:rowOff>
    </xdr:from>
    <xdr:ext cx="466725" cy="476250"/>
    <xdr:pic>
      <xdr:nvPicPr>
        <xdr:cNvPr id="0" name="image396.png"/>
        <xdr:cNvPicPr preferRelativeResize="0"/>
      </xdr:nvPicPr>
      <xdr:blipFill>
        <a:blip cstate="print" r:embed="rId101"/>
        <a:stretch>
          <a:fillRect/>
        </a:stretch>
      </xdr:blipFill>
      <xdr:spPr>
        <a:prstGeom prst="rect">
          <a:avLst/>
        </a:prstGeom>
        <a:noFill/>
      </xdr:spPr>
    </xdr:pic>
    <xdr:clientData fLocksWithSheet="0"/>
  </xdr:oneCellAnchor>
  <xdr:oneCellAnchor>
    <xdr:from>
      <xdr:col>2</xdr:col>
      <xdr:colOff>0</xdr:colOff>
      <xdr:row>164</xdr:row>
      <xdr:rowOff>0</xdr:rowOff>
    </xdr:from>
    <xdr:ext cx="476250" cy="476250"/>
    <xdr:pic>
      <xdr:nvPicPr>
        <xdr:cNvPr id="0" name="image349.png"/>
        <xdr:cNvPicPr preferRelativeResize="0"/>
      </xdr:nvPicPr>
      <xdr:blipFill>
        <a:blip cstate="print" r:embed="rId74"/>
        <a:stretch>
          <a:fillRect/>
        </a:stretch>
      </xdr:blipFill>
      <xdr:spPr>
        <a:prstGeom prst="rect">
          <a:avLst/>
        </a:prstGeom>
        <a:noFill/>
      </xdr:spPr>
    </xdr:pic>
    <xdr:clientData fLocksWithSheet="0"/>
  </xdr:oneCellAnchor>
  <xdr:oneCellAnchor>
    <xdr:from>
      <xdr:col>2</xdr:col>
      <xdr:colOff>0</xdr:colOff>
      <xdr:row>165</xdr:row>
      <xdr:rowOff>0</xdr:rowOff>
    </xdr:from>
    <xdr:ext cx="476250" cy="476250"/>
    <xdr:pic>
      <xdr:nvPicPr>
        <xdr:cNvPr id="0" name="image579.jpg"/>
        <xdr:cNvPicPr preferRelativeResize="0"/>
      </xdr:nvPicPr>
      <xdr:blipFill>
        <a:blip cstate="print" r:embed="rId97"/>
        <a:stretch>
          <a:fillRect/>
        </a:stretch>
      </xdr:blipFill>
      <xdr:spPr>
        <a:prstGeom prst="rect">
          <a:avLst/>
        </a:prstGeom>
        <a:noFill/>
      </xdr:spPr>
    </xdr:pic>
    <xdr:clientData fLocksWithSheet="0"/>
  </xdr:oneCellAnchor>
  <xdr:oneCellAnchor>
    <xdr:from>
      <xdr:col>2</xdr:col>
      <xdr:colOff>0</xdr:colOff>
      <xdr:row>166</xdr:row>
      <xdr:rowOff>0</xdr:rowOff>
    </xdr:from>
    <xdr:ext cx="476250" cy="476250"/>
    <xdr:pic>
      <xdr:nvPicPr>
        <xdr:cNvPr id="0" name="image344.png"/>
        <xdr:cNvPicPr preferRelativeResize="0"/>
      </xdr:nvPicPr>
      <xdr:blipFill>
        <a:blip cstate="print" r:embed="rId102"/>
        <a:stretch>
          <a:fillRect/>
        </a:stretch>
      </xdr:blipFill>
      <xdr:spPr>
        <a:prstGeom prst="rect">
          <a:avLst/>
        </a:prstGeom>
        <a:noFill/>
      </xdr:spPr>
    </xdr:pic>
    <xdr:clientData fLocksWithSheet="0"/>
  </xdr:oneCellAnchor>
  <xdr:oneCellAnchor>
    <xdr:from>
      <xdr:col>2</xdr:col>
      <xdr:colOff>0</xdr:colOff>
      <xdr:row>167</xdr:row>
      <xdr:rowOff>0</xdr:rowOff>
    </xdr:from>
    <xdr:ext cx="476250" cy="476250"/>
    <xdr:pic>
      <xdr:nvPicPr>
        <xdr:cNvPr id="0" name="image582.jpg"/>
        <xdr:cNvPicPr preferRelativeResize="0"/>
      </xdr:nvPicPr>
      <xdr:blipFill>
        <a:blip cstate="print" r:embed="rId103"/>
        <a:stretch>
          <a:fillRect/>
        </a:stretch>
      </xdr:blipFill>
      <xdr:spPr>
        <a:prstGeom prst="rect">
          <a:avLst/>
        </a:prstGeom>
        <a:noFill/>
      </xdr:spPr>
    </xdr:pic>
    <xdr:clientData fLocksWithSheet="0"/>
  </xdr:oneCellAnchor>
  <xdr:oneCellAnchor>
    <xdr:from>
      <xdr:col>2</xdr:col>
      <xdr:colOff>0</xdr:colOff>
      <xdr:row>168</xdr:row>
      <xdr:rowOff>0</xdr:rowOff>
    </xdr:from>
    <xdr:ext cx="476250" cy="476250"/>
    <xdr:pic>
      <xdr:nvPicPr>
        <xdr:cNvPr id="0" name="image157.jpg"/>
        <xdr:cNvPicPr preferRelativeResize="0"/>
      </xdr:nvPicPr>
      <xdr:blipFill>
        <a:blip cstate="print" r:embed="rId104"/>
        <a:stretch>
          <a:fillRect/>
        </a:stretch>
      </xdr:blipFill>
      <xdr:spPr>
        <a:prstGeom prst="rect">
          <a:avLst/>
        </a:prstGeom>
        <a:noFill/>
      </xdr:spPr>
    </xdr:pic>
    <xdr:clientData fLocksWithSheet="0"/>
  </xdr:oneCellAnchor>
  <xdr:oneCellAnchor>
    <xdr:from>
      <xdr:col>2</xdr:col>
      <xdr:colOff>0</xdr:colOff>
      <xdr:row>169</xdr:row>
      <xdr:rowOff>0</xdr:rowOff>
    </xdr:from>
    <xdr:ext cx="476250" cy="476250"/>
    <xdr:pic>
      <xdr:nvPicPr>
        <xdr:cNvPr id="0" name="image334.png"/>
        <xdr:cNvPicPr preferRelativeResize="0"/>
      </xdr:nvPicPr>
      <xdr:blipFill>
        <a:blip cstate="print" r:embed="rId105"/>
        <a:stretch>
          <a:fillRect/>
        </a:stretch>
      </xdr:blipFill>
      <xdr:spPr>
        <a:prstGeom prst="rect">
          <a:avLst/>
        </a:prstGeom>
        <a:noFill/>
      </xdr:spPr>
    </xdr:pic>
    <xdr:clientData fLocksWithSheet="0"/>
  </xdr:oneCellAnchor>
  <xdr:oneCellAnchor>
    <xdr:from>
      <xdr:col>2</xdr:col>
      <xdr:colOff>0</xdr:colOff>
      <xdr:row>170</xdr:row>
      <xdr:rowOff>0</xdr:rowOff>
    </xdr:from>
    <xdr:ext cx="476250" cy="476250"/>
    <xdr:pic>
      <xdr:nvPicPr>
        <xdr:cNvPr id="0" name="image157.jpg"/>
        <xdr:cNvPicPr preferRelativeResize="0"/>
      </xdr:nvPicPr>
      <xdr:blipFill>
        <a:blip cstate="print" r:embed="rId104"/>
        <a:stretch>
          <a:fillRect/>
        </a:stretch>
      </xdr:blipFill>
      <xdr:spPr>
        <a:prstGeom prst="rect">
          <a:avLst/>
        </a:prstGeom>
        <a:noFill/>
      </xdr:spPr>
    </xdr:pic>
    <xdr:clientData fLocksWithSheet="0"/>
  </xdr:oneCellAnchor>
  <xdr:oneCellAnchor>
    <xdr:from>
      <xdr:col>2</xdr:col>
      <xdr:colOff>0</xdr:colOff>
      <xdr:row>171</xdr:row>
      <xdr:rowOff>0</xdr:rowOff>
    </xdr:from>
    <xdr:ext cx="476250" cy="476250"/>
    <xdr:pic>
      <xdr:nvPicPr>
        <xdr:cNvPr id="0" name="image349.png"/>
        <xdr:cNvPicPr preferRelativeResize="0"/>
      </xdr:nvPicPr>
      <xdr:blipFill>
        <a:blip cstate="print" r:embed="rId74"/>
        <a:stretch>
          <a:fillRect/>
        </a:stretch>
      </xdr:blipFill>
      <xdr:spPr>
        <a:prstGeom prst="rect">
          <a:avLst/>
        </a:prstGeom>
        <a:noFill/>
      </xdr:spPr>
    </xdr:pic>
    <xdr:clientData fLocksWithSheet="0"/>
  </xdr:oneCellAnchor>
  <xdr:oneCellAnchor>
    <xdr:from>
      <xdr:col>2</xdr:col>
      <xdr:colOff>0</xdr:colOff>
      <xdr:row>172</xdr:row>
      <xdr:rowOff>0</xdr:rowOff>
    </xdr:from>
    <xdr:ext cx="476250" cy="476250"/>
    <xdr:pic>
      <xdr:nvPicPr>
        <xdr:cNvPr id="0" name="image348.png"/>
        <xdr:cNvPicPr preferRelativeResize="0"/>
      </xdr:nvPicPr>
      <xdr:blipFill>
        <a:blip cstate="print" r:embed="rId99"/>
        <a:stretch>
          <a:fillRect/>
        </a:stretch>
      </xdr:blipFill>
      <xdr:spPr>
        <a:prstGeom prst="rect">
          <a:avLst/>
        </a:prstGeom>
        <a:noFill/>
      </xdr:spPr>
    </xdr:pic>
    <xdr:clientData fLocksWithSheet="0"/>
  </xdr:oneCellAnchor>
  <xdr:oneCellAnchor>
    <xdr:from>
      <xdr:col>2</xdr:col>
      <xdr:colOff>0</xdr:colOff>
      <xdr:row>173</xdr:row>
      <xdr:rowOff>0</xdr:rowOff>
    </xdr:from>
    <xdr:ext cx="476250" cy="476250"/>
    <xdr:pic>
      <xdr:nvPicPr>
        <xdr:cNvPr id="0" name="image562.jpg"/>
        <xdr:cNvPicPr preferRelativeResize="0"/>
      </xdr:nvPicPr>
      <xdr:blipFill>
        <a:blip cstate="print" r:embed="rId106"/>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476250" cy="476250"/>
    <xdr:pic>
      <xdr:nvPicPr>
        <xdr:cNvPr id="0" name="image476.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476250" cy="476250"/>
    <xdr:pic>
      <xdr:nvPicPr>
        <xdr:cNvPr id="0" name="image108.jp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476250" cy="476250"/>
    <xdr:pic>
      <xdr:nvPicPr>
        <xdr:cNvPr id="0" name="image476.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4</xdr:row>
      <xdr:rowOff>0</xdr:rowOff>
    </xdr:from>
    <xdr:ext cx="476250" cy="476250"/>
    <xdr:pic>
      <xdr:nvPicPr>
        <xdr:cNvPr id="0" name="image463.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5</xdr:row>
      <xdr:rowOff>0</xdr:rowOff>
    </xdr:from>
    <xdr:ext cx="476250" cy="476250"/>
    <xdr:pic>
      <xdr:nvPicPr>
        <xdr:cNvPr id="0" name="image472.jp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6</xdr:row>
      <xdr:rowOff>0</xdr:rowOff>
    </xdr:from>
    <xdr:ext cx="476250" cy="476250"/>
    <xdr:pic>
      <xdr:nvPicPr>
        <xdr:cNvPr id="0" name="image476.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xdr:row>
      <xdr:rowOff>0</xdr:rowOff>
    </xdr:from>
    <xdr:ext cx="476250" cy="476250"/>
    <xdr:pic>
      <xdr:nvPicPr>
        <xdr:cNvPr id="0" name="image468.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8</xdr:row>
      <xdr:rowOff>0</xdr:rowOff>
    </xdr:from>
    <xdr:ext cx="476250" cy="476250"/>
    <xdr:pic>
      <xdr:nvPicPr>
        <xdr:cNvPr id="0" name="image463.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9</xdr:row>
      <xdr:rowOff>0</xdr:rowOff>
    </xdr:from>
    <xdr:ext cx="476250" cy="476250"/>
    <xdr:pic>
      <xdr:nvPicPr>
        <xdr:cNvPr id="0" name="image463.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10</xdr:row>
      <xdr:rowOff>0</xdr:rowOff>
    </xdr:from>
    <xdr:ext cx="476250" cy="476250"/>
    <xdr:pic>
      <xdr:nvPicPr>
        <xdr:cNvPr id="0" name="image319.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11</xdr:row>
      <xdr:rowOff>0</xdr:rowOff>
    </xdr:from>
    <xdr:ext cx="476250" cy="476250"/>
    <xdr:pic>
      <xdr:nvPicPr>
        <xdr:cNvPr id="0" name="image420.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12</xdr:row>
      <xdr:rowOff>0</xdr:rowOff>
    </xdr:from>
    <xdr:ext cx="476250" cy="476250"/>
    <xdr:pic>
      <xdr:nvPicPr>
        <xdr:cNvPr id="0" name="image476.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13</xdr:row>
      <xdr:rowOff>0</xdr:rowOff>
    </xdr:from>
    <xdr:ext cx="476250" cy="476250"/>
    <xdr:pic>
      <xdr:nvPicPr>
        <xdr:cNvPr id="0" name="image301.jp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14</xdr:row>
      <xdr:rowOff>0</xdr:rowOff>
    </xdr:from>
    <xdr:ext cx="476250" cy="476250"/>
    <xdr:pic>
      <xdr:nvPicPr>
        <xdr:cNvPr id="0" name="image483.jp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15</xdr:row>
      <xdr:rowOff>0</xdr:rowOff>
    </xdr:from>
    <xdr:ext cx="476250" cy="476250"/>
    <xdr:pic>
      <xdr:nvPicPr>
        <xdr:cNvPr id="0" name="image556.jp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16</xdr:row>
      <xdr:rowOff>0</xdr:rowOff>
    </xdr:from>
    <xdr:ext cx="476250" cy="476250"/>
    <xdr:pic>
      <xdr:nvPicPr>
        <xdr:cNvPr id="0" name="image475.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17</xdr:row>
      <xdr:rowOff>0</xdr:rowOff>
    </xdr:from>
    <xdr:ext cx="476250" cy="476250"/>
    <xdr:pic>
      <xdr:nvPicPr>
        <xdr:cNvPr id="0" name="image383.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18</xdr:row>
      <xdr:rowOff>0</xdr:rowOff>
    </xdr:from>
    <xdr:ext cx="476250" cy="476250"/>
    <xdr:pic>
      <xdr:nvPicPr>
        <xdr:cNvPr id="0" name="image562.jp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19</xdr:row>
      <xdr:rowOff>0</xdr:rowOff>
    </xdr:from>
    <xdr:ext cx="476250" cy="476250"/>
    <xdr:pic>
      <xdr:nvPicPr>
        <xdr:cNvPr id="0" name="image337.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20</xdr:row>
      <xdr:rowOff>0</xdr:rowOff>
    </xdr:from>
    <xdr:ext cx="476250" cy="476250"/>
    <xdr:pic>
      <xdr:nvPicPr>
        <xdr:cNvPr id="0" name="image333.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21</xdr:row>
      <xdr:rowOff>0</xdr:rowOff>
    </xdr:from>
    <xdr:ext cx="476250" cy="476250"/>
    <xdr:pic>
      <xdr:nvPicPr>
        <xdr:cNvPr id="0" name="image383.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22</xdr:row>
      <xdr:rowOff>0</xdr:rowOff>
    </xdr:from>
    <xdr:ext cx="476250" cy="476250"/>
    <xdr:pic>
      <xdr:nvPicPr>
        <xdr:cNvPr id="0" name="image8.jp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23</xdr:row>
      <xdr:rowOff>0</xdr:rowOff>
    </xdr:from>
    <xdr:ext cx="476250" cy="476250"/>
    <xdr:pic>
      <xdr:nvPicPr>
        <xdr:cNvPr id="0" name="image471.jp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24</xdr:row>
      <xdr:rowOff>0</xdr:rowOff>
    </xdr:from>
    <xdr:ext cx="476250" cy="476250"/>
    <xdr:pic>
      <xdr:nvPicPr>
        <xdr:cNvPr id="0" name="image315.jp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25</xdr:row>
      <xdr:rowOff>0</xdr:rowOff>
    </xdr:from>
    <xdr:ext cx="476250" cy="476250"/>
    <xdr:pic>
      <xdr:nvPicPr>
        <xdr:cNvPr id="0" name="image469.jp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26</xdr:row>
      <xdr:rowOff>0</xdr:rowOff>
    </xdr:from>
    <xdr:ext cx="476250" cy="476250"/>
    <xdr:pic>
      <xdr:nvPicPr>
        <xdr:cNvPr id="0" name="image315.jp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27</xdr:row>
      <xdr:rowOff>0</xdr:rowOff>
    </xdr:from>
    <xdr:ext cx="476250" cy="476250"/>
    <xdr:pic>
      <xdr:nvPicPr>
        <xdr:cNvPr id="0" name="image229.jp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28</xdr:row>
      <xdr:rowOff>0</xdr:rowOff>
    </xdr:from>
    <xdr:ext cx="476250" cy="476250"/>
    <xdr:pic>
      <xdr:nvPicPr>
        <xdr:cNvPr id="0" name="image562.jp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29</xdr:row>
      <xdr:rowOff>0</xdr:rowOff>
    </xdr:from>
    <xdr:ext cx="476250" cy="476250"/>
    <xdr:pic>
      <xdr:nvPicPr>
        <xdr:cNvPr id="0" name="image496.jp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30</xdr:row>
      <xdr:rowOff>0</xdr:rowOff>
    </xdr:from>
    <xdr:ext cx="476250" cy="476250"/>
    <xdr:pic>
      <xdr:nvPicPr>
        <xdr:cNvPr id="0" name="image473.jp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31</xdr:row>
      <xdr:rowOff>0</xdr:rowOff>
    </xdr:from>
    <xdr:ext cx="476250" cy="476250"/>
    <xdr:pic>
      <xdr:nvPicPr>
        <xdr:cNvPr id="0" name="image319.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32</xdr:row>
      <xdr:rowOff>0</xdr:rowOff>
    </xdr:from>
    <xdr:ext cx="476250" cy="476250"/>
    <xdr:pic>
      <xdr:nvPicPr>
        <xdr:cNvPr id="0" name="image566.jp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33</xdr:row>
      <xdr:rowOff>0</xdr:rowOff>
    </xdr:from>
    <xdr:ext cx="476250" cy="476250"/>
    <xdr:pic>
      <xdr:nvPicPr>
        <xdr:cNvPr id="0" name="image151.jp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34</xdr:row>
      <xdr:rowOff>0</xdr:rowOff>
    </xdr:from>
    <xdr:ext cx="476250" cy="476250"/>
    <xdr:pic>
      <xdr:nvPicPr>
        <xdr:cNvPr id="0" name="image301.jp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35</xdr:row>
      <xdr:rowOff>0</xdr:rowOff>
    </xdr:from>
    <xdr:ext cx="476250" cy="476250"/>
    <xdr:pic>
      <xdr:nvPicPr>
        <xdr:cNvPr id="0" name="image490.jp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36</xdr:row>
      <xdr:rowOff>0</xdr:rowOff>
    </xdr:from>
    <xdr:ext cx="476250" cy="476250"/>
    <xdr:pic>
      <xdr:nvPicPr>
        <xdr:cNvPr id="0" name="image562.jp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37</xdr:row>
      <xdr:rowOff>0</xdr:rowOff>
    </xdr:from>
    <xdr:ext cx="476250" cy="476250"/>
    <xdr:pic>
      <xdr:nvPicPr>
        <xdr:cNvPr id="0" name="image555.jp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38</xdr:row>
      <xdr:rowOff>0</xdr:rowOff>
    </xdr:from>
    <xdr:ext cx="476250" cy="476250"/>
    <xdr:pic>
      <xdr:nvPicPr>
        <xdr:cNvPr id="0" name="image345.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39</xdr:row>
      <xdr:rowOff>0</xdr:rowOff>
    </xdr:from>
    <xdr:ext cx="476250" cy="476250"/>
    <xdr:pic>
      <xdr:nvPicPr>
        <xdr:cNvPr id="0" name="image482.jp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40</xdr:row>
      <xdr:rowOff>0</xdr:rowOff>
    </xdr:from>
    <xdr:ext cx="476250" cy="476250"/>
    <xdr:pic>
      <xdr:nvPicPr>
        <xdr:cNvPr id="0" name="image349.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41</xdr:row>
      <xdr:rowOff>0</xdr:rowOff>
    </xdr:from>
    <xdr:ext cx="476250" cy="476250"/>
    <xdr:pic>
      <xdr:nvPicPr>
        <xdr:cNvPr id="0" name="image477.jp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42</xdr:row>
      <xdr:rowOff>0</xdr:rowOff>
    </xdr:from>
    <xdr:ext cx="476250" cy="476250"/>
    <xdr:pic>
      <xdr:nvPicPr>
        <xdr:cNvPr id="0" name="image259.jp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43</xdr:row>
      <xdr:rowOff>0</xdr:rowOff>
    </xdr:from>
    <xdr:ext cx="476250" cy="476250"/>
    <xdr:pic>
      <xdr:nvPicPr>
        <xdr:cNvPr id="0" name="image420.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44</xdr:row>
      <xdr:rowOff>0</xdr:rowOff>
    </xdr:from>
    <xdr:ext cx="476250" cy="476250"/>
    <xdr:pic>
      <xdr:nvPicPr>
        <xdr:cNvPr id="0" name="image298.jp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45</xdr:row>
      <xdr:rowOff>0</xdr:rowOff>
    </xdr:from>
    <xdr:ext cx="476250" cy="476250"/>
    <xdr:pic>
      <xdr:nvPicPr>
        <xdr:cNvPr id="0" name="image297.jp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46</xdr:row>
      <xdr:rowOff>0</xdr:rowOff>
    </xdr:from>
    <xdr:ext cx="476250" cy="476250"/>
    <xdr:pic>
      <xdr:nvPicPr>
        <xdr:cNvPr id="0" name="image474.jp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47</xdr:row>
      <xdr:rowOff>0</xdr:rowOff>
    </xdr:from>
    <xdr:ext cx="476250" cy="476250"/>
    <xdr:pic>
      <xdr:nvPicPr>
        <xdr:cNvPr id="0" name="image258.jp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48</xdr:row>
      <xdr:rowOff>0</xdr:rowOff>
    </xdr:from>
    <xdr:ext cx="476250" cy="476250"/>
    <xdr:pic>
      <xdr:nvPicPr>
        <xdr:cNvPr id="0" name="image546.jp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49</xdr:row>
      <xdr:rowOff>0</xdr:rowOff>
    </xdr:from>
    <xdr:ext cx="476250" cy="476250"/>
    <xdr:pic>
      <xdr:nvPicPr>
        <xdr:cNvPr id="0" name="image253.jp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50</xdr:row>
      <xdr:rowOff>0</xdr:rowOff>
    </xdr:from>
    <xdr:ext cx="476250" cy="476250"/>
    <xdr:pic>
      <xdr:nvPicPr>
        <xdr:cNvPr id="0" name="image560.jp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51</xdr:row>
      <xdr:rowOff>0</xdr:rowOff>
    </xdr:from>
    <xdr:ext cx="476250" cy="476250"/>
    <xdr:pic>
      <xdr:nvPicPr>
        <xdr:cNvPr id="0" name="image328.jp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52</xdr:row>
      <xdr:rowOff>0</xdr:rowOff>
    </xdr:from>
    <xdr:ext cx="476250" cy="476250"/>
    <xdr:pic>
      <xdr:nvPicPr>
        <xdr:cNvPr id="0" name="image530.jpg"/>
        <xdr:cNvPicPr preferRelativeResize="0"/>
      </xdr:nvPicPr>
      <xdr:blipFill>
        <a:blip cstate="print" r:embed="rId40"/>
        <a:stretch>
          <a:fillRect/>
        </a:stretch>
      </xdr:blipFill>
      <xdr:spPr>
        <a:prstGeom prst="rect">
          <a:avLst/>
        </a:prstGeom>
        <a:noFill/>
      </xdr:spPr>
    </xdr:pic>
    <xdr:clientData fLocksWithSheet="0"/>
  </xdr:oneCellAnchor>
  <xdr:oneCellAnchor>
    <xdr:from>
      <xdr:col>3</xdr:col>
      <xdr:colOff>0</xdr:colOff>
      <xdr:row>53</xdr:row>
      <xdr:rowOff>0</xdr:rowOff>
    </xdr:from>
    <xdr:ext cx="476250" cy="476250"/>
    <xdr:pic>
      <xdr:nvPicPr>
        <xdr:cNvPr id="0" name="image108.jp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54</xdr:row>
      <xdr:rowOff>0</xdr:rowOff>
    </xdr:from>
    <xdr:ext cx="476250" cy="476250"/>
    <xdr:pic>
      <xdr:nvPicPr>
        <xdr:cNvPr id="0" name="image560.jp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55</xdr:row>
      <xdr:rowOff>0</xdr:rowOff>
    </xdr:from>
    <xdr:ext cx="476250" cy="476250"/>
    <xdr:pic>
      <xdr:nvPicPr>
        <xdr:cNvPr id="0" name="image471.jp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56</xdr:row>
      <xdr:rowOff>0</xdr:rowOff>
    </xdr:from>
    <xdr:ext cx="476250" cy="476250"/>
    <xdr:pic>
      <xdr:nvPicPr>
        <xdr:cNvPr id="0" name="image383.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57</xdr:row>
      <xdr:rowOff>0</xdr:rowOff>
    </xdr:from>
    <xdr:ext cx="476250" cy="476250"/>
    <xdr:pic>
      <xdr:nvPicPr>
        <xdr:cNvPr id="0" name="image211.jp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58</xdr:row>
      <xdr:rowOff>0</xdr:rowOff>
    </xdr:from>
    <xdr:ext cx="476250" cy="476250"/>
    <xdr:pic>
      <xdr:nvPicPr>
        <xdr:cNvPr id="0" name="image271.jp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59</xdr:row>
      <xdr:rowOff>0</xdr:rowOff>
    </xdr:from>
    <xdr:ext cx="476250" cy="476250"/>
    <xdr:pic>
      <xdr:nvPicPr>
        <xdr:cNvPr id="0" name="image591.jp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60</xdr:row>
      <xdr:rowOff>0</xdr:rowOff>
    </xdr:from>
    <xdr:ext cx="476250" cy="476250"/>
    <xdr:pic>
      <xdr:nvPicPr>
        <xdr:cNvPr id="0" name="image175.jp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61</xdr:row>
      <xdr:rowOff>0</xdr:rowOff>
    </xdr:from>
    <xdr:ext cx="476250" cy="476250"/>
    <xdr:pic>
      <xdr:nvPicPr>
        <xdr:cNvPr id="0" name="image241.jp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62</xdr:row>
      <xdr:rowOff>0</xdr:rowOff>
    </xdr:from>
    <xdr:ext cx="476250" cy="476250"/>
    <xdr:pic>
      <xdr:nvPicPr>
        <xdr:cNvPr id="0" name="image557.jpg"/>
        <xdr:cNvPicPr preferRelativeResize="0"/>
      </xdr:nvPicPr>
      <xdr:blipFill>
        <a:blip cstate="print" r:embed="rId46"/>
        <a:stretch>
          <a:fillRect/>
        </a:stretch>
      </xdr:blipFill>
      <xdr:spPr>
        <a:prstGeom prst="rect">
          <a:avLst/>
        </a:prstGeom>
        <a:noFill/>
      </xdr:spPr>
    </xdr:pic>
    <xdr:clientData fLocksWithSheet="0"/>
  </xdr:oneCellAnchor>
  <xdr:oneCellAnchor>
    <xdr:from>
      <xdr:col>3</xdr:col>
      <xdr:colOff>0</xdr:colOff>
      <xdr:row>63</xdr:row>
      <xdr:rowOff>0</xdr:rowOff>
    </xdr:from>
    <xdr:ext cx="476250" cy="476250"/>
    <xdr:pic>
      <xdr:nvPicPr>
        <xdr:cNvPr id="0" name="image581.jp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64</xdr:row>
      <xdr:rowOff>0</xdr:rowOff>
    </xdr:from>
    <xdr:ext cx="476250" cy="476250"/>
    <xdr:pic>
      <xdr:nvPicPr>
        <xdr:cNvPr id="0" name="image297.jp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65</xdr:row>
      <xdr:rowOff>0</xdr:rowOff>
    </xdr:from>
    <xdr:ext cx="476250" cy="476250"/>
    <xdr:pic>
      <xdr:nvPicPr>
        <xdr:cNvPr id="0" name="image311.jpg"/>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66</xdr:row>
      <xdr:rowOff>0</xdr:rowOff>
    </xdr:from>
    <xdr:ext cx="476250" cy="476250"/>
    <xdr:pic>
      <xdr:nvPicPr>
        <xdr:cNvPr id="0" name="image291.jp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67</xdr:row>
      <xdr:rowOff>0</xdr:rowOff>
    </xdr:from>
    <xdr:ext cx="476250" cy="476250"/>
    <xdr:pic>
      <xdr:nvPicPr>
        <xdr:cNvPr id="0" name="image592.jp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68</xdr:row>
      <xdr:rowOff>0</xdr:rowOff>
    </xdr:from>
    <xdr:ext cx="476250" cy="476250"/>
    <xdr:pic>
      <xdr:nvPicPr>
        <xdr:cNvPr id="0" name="image299.jp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69</xdr:row>
      <xdr:rowOff>0</xdr:rowOff>
    </xdr:from>
    <xdr:ext cx="476250" cy="476250"/>
    <xdr:pic>
      <xdr:nvPicPr>
        <xdr:cNvPr id="0" name="image481.jpg"/>
        <xdr:cNvPicPr preferRelativeResize="0"/>
      </xdr:nvPicPr>
      <xdr:blipFill>
        <a:blip cstate="print" r:embed="rId52"/>
        <a:stretch>
          <a:fillRect/>
        </a:stretch>
      </xdr:blipFill>
      <xdr:spPr>
        <a:prstGeom prst="rect">
          <a:avLst/>
        </a:prstGeom>
        <a:noFill/>
      </xdr:spPr>
    </xdr:pic>
    <xdr:clientData fLocksWithSheet="0"/>
  </xdr:oneCellAnchor>
  <xdr:oneCellAnchor>
    <xdr:from>
      <xdr:col>3</xdr:col>
      <xdr:colOff>0</xdr:colOff>
      <xdr:row>70</xdr:row>
      <xdr:rowOff>0</xdr:rowOff>
    </xdr:from>
    <xdr:ext cx="476250" cy="476250"/>
    <xdr:pic>
      <xdr:nvPicPr>
        <xdr:cNvPr id="0" name="image478.jp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71</xdr:row>
      <xdr:rowOff>0</xdr:rowOff>
    </xdr:from>
    <xdr:ext cx="476250" cy="476250"/>
    <xdr:pic>
      <xdr:nvPicPr>
        <xdr:cNvPr id="0" name="image348.png"/>
        <xdr:cNvPicPr preferRelativeResize="0"/>
      </xdr:nvPicPr>
      <xdr:blipFill>
        <a:blip cstate="print" r:embed="rId54"/>
        <a:stretch>
          <a:fillRect/>
        </a:stretch>
      </xdr:blipFill>
      <xdr:spPr>
        <a:prstGeom prst="rect">
          <a:avLst/>
        </a:prstGeom>
        <a:noFill/>
      </xdr:spPr>
    </xdr:pic>
    <xdr:clientData fLocksWithSheet="0"/>
  </xdr:oneCellAnchor>
  <xdr:oneCellAnchor>
    <xdr:from>
      <xdr:col>3</xdr:col>
      <xdr:colOff>0</xdr:colOff>
      <xdr:row>72</xdr:row>
      <xdr:rowOff>0</xdr:rowOff>
    </xdr:from>
    <xdr:ext cx="476250" cy="476250"/>
    <xdr:pic>
      <xdr:nvPicPr>
        <xdr:cNvPr id="0" name="image557.jpg"/>
        <xdr:cNvPicPr preferRelativeResize="0"/>
      </xdr:nvPicPr>
      <xdr:blipFill>
        <a:blip cstate="print" r:embed="rId46"/>
        <a:stretch>
          <a:fillRect/>
        </a:stretch>
      </xdr:blipFill>
      <xdr:spPr>
        <a:prstGeom prst="rect">
          <a:avLst/>
        </a:prstGeom>
        <a:noFill/>
      </xdr:spPr>
    </xdr:pic>
    <xdr:clientData fLocksWithSheet="0"/>
  </xdr:oneCellAnchor>
  <xdr:oneCellAnchor>
    <xdr:from>
      <xdr:col>3</xdr:col>
      <xdr:colOff>0</xdr:colOff>
      <xdr:row>73</xdr:row>
      <xdr:rowOff>0</xdr:rowOff>
    </xdr:from>
    <xdr:ext cx="476250" cy="476250"/>
    <xdr:pic>
      <xdr:nvPicPr>
        <xdr:cNvPr id="0" name="image480.jp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74</xdr:row>
      <xdr:rowOff>0</xdr:rowOff>
    </xdr:from>
    <xdr:ext cx="476250" cy="476250"/>
    <xdr:pic>
      <xdr:nvPicPr>
        <xdr:cNvPr id="0" name="image479.jp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75</xdr:row>
      <xdr:rowOff>0</xdr:rowOff>
    </xdr:from>
    <xdr:ext cx="476250" cy="476250"/>
    <xdr:pic>
      <xdr:nvPicPr>
        <xdr:cNvPr id="0" name="image486.jp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76</xdr:row>
      <xdr:rowOff>0</xdr:rowOff>
    </xdr:from>
    <xdr:ext cx="476250" cy="476250"/>
    <xdr:pic>
      <xdr:nvPicPr>
        <xdr:cNvPr id="0" name="image195.jp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77</xdr:row>
      <xdr:rowOff>0</xdr:rowOff>
    </xdr:from>
    <xdr:ext cx="476250" cy="476250"/>
    <xdr:pic>
      <xdr:nvPicPr>
        <xdr:cNvPr id="0" name="image566.jp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78</xdr:row>
      <xdr:rowOff>0</xdr:rowOff>
    </xdr:from>
    <xdr:ext cx="476250" cy="476250"/>
    <xdr:pic>
      <xdr:nvPicPr>
        <xdr:cNvPr id="0" name="image500.jp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79</xdr:row>
      <xdr:rowOff>0</xdr:rowOff>
    </xdr:from>
    <xdr:ext cx="476250" cy="476250"/>
    <xdr:pic>
      <xdr:nvPicPr>
        <xdr:cNvPr id="0" name="image323.jp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80</xdr:row>
      <xdr:rowOff>0</xdr:rowOff>
    </xdr:from>
    <xdr:ext cx="476250" cy="476250"/>
    <xdr:pic>
      <xdr:nvPicPr>
        <xdr:cNvPr id="0" name="image88.jp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81</xdr:row>
      <xdr:rowOff>0</xdr:rowOff>
    </xdr:from>
    <xdr:ext cx="476250" cy="476250"/>
    <xdr:pic>
      <xdr:nvPicPr>
        <xdr:cNvPr id="0" name="image298.jp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82</xdr:row>
      <xdr:rowOff>0</xdr:rowOff>
    </xdr:from>
    <xdr:ext cx="476250" cy="476250"/>
    <xdr:pic>
      <xdr:nvPicPr>
        <xdr:cNvPr id="0" name="image495.jp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83</xdr:row>
      <xdr:rowOff>0</xdr:rowOff>
    </xdr:from>
    <xdr:ext cx="476250" cy="476250"/>
    <xdr:pic>
      <xdr:nvPicPr>
        <xdr:cNvPr id="0" name="image565.jp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84</xdr:row>
      <xdr:rowOff>0</xdr:rowOff>
    </xdr:from>
    <xdr:ext cx="476250" cy="476250"/>
    <xdr:pic>
      <xdr:nvPicPr>
        <xdr:cNvPr id="0" name="image126.jp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85</xdr:row>
      <xdr:rowOff>0</xdr:rowOff>
    </xdr:from>
    <xdr:ext cx="476250" cy="476250"/>
    <xdr:pic>
      <xdr:nvPicPr>
        <xdr:cNvPr id="0" name="image469.jp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86</xdr:row>
      <xdr:rowOff>0</xdr:rowOff>
    </xdr:from>
    <xdr:ext cx="476250" cy="476250"/>
    <xdr:pic>
      <xdr:nvPicPr>
        <xdr:cNvPr id="0" name="image485.jp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87</xdr:row>
      <xdr:rowOff>0</xdr:rowOff>
    </xdr:from>
    <xdr:ext cx="476250" cy="476250"/>
    <xdr:pic>
      <xdr:nvPicPr>
        <xdr:cNvPr id="0" name="image341.jp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88</xdr:row>
      <xdr:rowOff>0</xdr:rowOff>
    </xdr:from>
    <xdr:ext cx="476250" cy="476250"/>
    <xdr:pic>
      <xdr:nvPicPr>
        <xdr:cNvPr id="0" name="image299.jp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89</xdr:row>
      <xdr:rowOff>0</xdr:rowOff>
    </xdr:from>
    <xdr:ext cx="476250" cy="476250"/>
    <xdr:pic>
      <xdr:nvPicPr>
        <xdr:cNvPr id="0" name="image306.jp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90</xdr:row>
      <xdr:rowOff>0</xdr:rowOff>
    </xdr:from>
    <xdr:ext cx="476250" cy="476250"/>
    <xdr:pic>
      <xdr:nvPicPr>
        <xdr:cNvPr id="0" name="image487.jpg"/>
        <xdr:cNvPicPr preferRelativeResize="0"/>
      </xdr:nvPicPr>
      <xdr:blipFill>
        <a:blip cstate="print" r:embed="rId68"/>
        <a:stretch>
          <a:fillRect/>
        </a:stretch>
      </xdr:blipFill>
      <xdr:spPr>
        <a:prstGeom prst="rect">
          <a:avLst/>
        </a:prstGeom>
        <a:noFill/>
      </xdr:spPr>
    </xdr:pic>
    <xdr:clientData fLocksWithSheet="0"/>
  </xdr:oneCellAnchor>
  <xdr:oneCellAnchor>
    <xdr:from>
      <xdr:col>3</xdr:col>
      <xdr:colOff>0</xdr:colOff>
      <xdr:row>91</xdr:row>
      <xdr:rowOff>0</xdr:rowOff>
    </xdr:from>
    <xdr:ext cx="476250" cy="476250"/>
    <xdr:pic>
      <xdr:nvPicPr>
        <xdr:cNvPr id="0" name="image556.jp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92</xdr:row>
      <xdr:rowOff>0</xdr:rowOff>
    </xdr:from>
    <xdr:ext cx="476250" cy="476250"/>
    <xdr:pic>
      <xdr:nvPicPr>
        <xdr:cNvPr id="0" name="image88.jp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93</xdr:row>
      <xdr:rowOff>0</xdr:rowOff>
    </xdr:from>
    <xdr:ext cx="476250" cy="476250"/>
    <xdr:pic>
      <xdr:nvPicPr>
        <xdr:cNvPr id="0" name="image469.jp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94</xdr:row>
      <xdr:rowOff>0</xdr:rowOff>
    </xdr:from>
    <xdr:ext cx="476250" cy="476250"/>
    <xdr:pic>
      <xdr:nvPicPr>
        <xdr:cNvPr id="0" name="image477.jp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95</xdr:row>
      <xdr:rowOff>0</xdr:rowOff>
    </xdr:from>
    <xdr:ext cx="476250" cy="476250"/>
    <xdr:pic>
      <xdr:nvPicPr>
        <xdr:cNvPr id="0" name="image484.jp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96</xdr:row>
      <xdr:rowOff>0</xdr:rowOff>
    </xdr:from>
    <xdr:ext cx="476250" cy="476250"/>
    <xdr:pic>
      <xdr:nvPicPr>
        <xdr:cNvPr id="0" name="image187.jpg"/>
        <xdr:cNvPicPr preferRelativeResize="0"/>
      </xdr:nvPicPr>
      <xdr:blipFill>
        <a:blip cstate="print" r:embed="rId70"/>
        <a:stretch>
          <a:fillRect/>
        </a:stretch>
      </xdr:blipFill>
      <xdr:spPr>
        <a:prstGeom prst="rect">
          <a:avLst/>
        </a:prstGeom>
        <a:noFill/>
      </xdr:spPr>
    </xdr:pic>
    <xdr:clientData fLocksWithSheet="0"/>
  </xdr:oneCellAnchor>
  <xdr:oneCellAnchor>
    <xdr:from>
      <xdr:col>3</xdr:col>
      <xdr:colOff>0</xdr:colOff>
      <xdr:row>97</xdr:row>
      <xdr:rowOff>0</xdr:rowOff>
    </xdr:from>
    <xdr:ext cx="476250" cy="476250"/>
    <xdr:pic>
      <xdr:nvPicPr>
        <xdr:cNvPr id="0" name="image505.jp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98</xdr:row>
      <xdr:rowOff>0</xdr:rowOff>
    </xdr:from>
    <xdr:ext cx="476250" cy="476250"/>
    <xdr:pic>
      <xdr:nvPicPr>
        <xdr:cNvPr id="0" name="image497.jpg"/>
        <xdr:cNvPicPr preferRelativeResize="0"/>
      </xdr:nvPicPr>
      <xdr:blipFill>
        <a:blip cstate="print" r:embed="rId72"/>
        <a:stretch>
          <a:fillRect/>
        </a:stretch>
      </xdr:blipFill>
      <xdr:spPr>
        <a:prstGeom prst="rect">
          <a:avLst/>
        </a:prstGeom>
        <a:noFill/>
      </xdr:spPr>
    </xdr:pic>
    <xdr:clientData fLocksWithSheet="0"/>
  </xdr:oneCellAnchor>
  <xdr:oneCellAnchor>
    <xdr:from>
      <xdr:col>3</xdr:col>
      <xdr:colOff>0</xdr:colOff>
      <xdr:row>99</xdr:row>
      <xdr:rowOff>0</xdr:rowOff>
    </xdr:from>
    <xdr:ext cx="476250" cy="476250"/>
    <xdr:pic>
      <xdr:nvPicPr>
        <xdr:cNvPr id="0" name="image489.jp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100</xdr:row>
      <xdr:rowOff>0</xdr:rowOff>
    </xdr:from>
    <xdr:ext cx="476250" cy="476250"/>
    <xdr:pic>
      <xdr:nvPicPr>
        <xdr:cNvPr id="0" name="image298.jp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101</xdr:row>
      <xdr:rowOff>0</xdr:rowOff>
    </xdr:from>
    <xdr:ext cx="476250" cy="476250"/>
    <xdr:pic>
      <xdr:nvPicPr>
        <xdr:cNvPr id="0" name="image503.jpg"/>
        <xdr:cNvPicPr preferRelativeResize="0"/>
      </xdr:nvPicPr>
      <xdr:blipFill>
        <a:blip cstate="print" r:embed="rId74"/>
        <a:stretch>
          <a:fillRect/>
        </a:stretch>
      </xdr:blipFill>
      <xdr:spPr>
        <a:prstGeom prst="rect">
          <a:avLst/>
        </a:prstGeom>
        <a:noFill/>
      </xdr:spPr>
    </xdr:pic>
    <xdr:clientData fLocksWithSheet="0"/>
  </xdr:oneCellAnchor>
  <xdr:oneCellAnchor>
    <xdr:from>
      <xdr:col>3</xdr:col>
      <xdr:colOff>0</xdr:colOff>
      <xdr:row>102</xdr:row>
      <xdr:rowOff>0</xdr:rowOff>
    </xdr:from>
    <xdr:ext cx="476250" cy="476250"/>
    <xdr:pic>
      <xdr:nvPicPr>
        <xdr:cNvPr id="0" name="image499.jp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103</xdr:row>
      <xdr:rowOff>0</xdr:rowOff>
    </xdr:from>
    <xdr:ext cx="476250" cy="476250"/>
    <xdr:pic>
      <xdr:nvPicPr>
        <xdr:cNvPr id="0" name="image488.jpg"/>
        <xdr:cNvPicPr preferRelativeResize="0"/>
      </xdr:nvPicPr>
      <xdr:blipFill>
        <a:blip cstate="print" r:embed="rId76"/>
        <a:stretch>
          <a:fillRect/>
        </a:stretch>
      </xdr:blipFill>
      <xdr:spPr>
        <a:prstGeom prst="rect">
          <a:avLst/>
        </a:prstGeom>
        <a:noFill/>
      </xdr:spPr>
    </xdr:pic>
    <xdr:clientData fLocksWithSheet="0"/>
  </xdr:oneCellAnchor>
  <xdr:oneCellAnchor>
    <xdr:from>
      <xdr:col>3</xdr:col>
      <xdr:colOff>0</xdr:colOff>
      <xdr:row>104</xdr:row>
      <xdr:rowOff>0</xdr:rowOff>
    </xdr:from>
    <xdr:ext cx="476250" cy="476250"/>
    <xdr:pic>
      <xdr:nvPicPr>
        <xdr:cNvPr id="0" name="image323.jp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105</xdr:row>
      <xdr:rowOff>0</xdr:rowOff>
    </xdr:from>
    <xdr:ext cx="476250" cy="476250"/>
    <xdr:pic>
      <xdr:nvPicPr>
        <xdr:cNvPr id="0" name="image573.jp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0</xdr:colOff>
      <xdr:row>106</xdr:row>
      <xdr:rowOff>0</xdr:rowOff>
    </xdr:from>
    <xdr:ext cx="476250" cy="476250"/>
    <xdr:pic>
      <xdr:nvPicPr>
        <xdr:cNvPr id="0" name="image323.jp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107</xdr:row>
      <xdr:rowOff>0</xdr:rowOff>
    </xdr:from>
    <xdr:ext cx="476250" cy="476250"/>
    <xdr:pic>
      <xdr:nvPicPr>
        <xdr:cNvPr id="0" name="image480.jp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108</xdr:row>
      <xdr:rowOff>0</xdr:rowOff>
    </xdr:from>
    <xdr:ext cx="476250" cy="476250"/>
    <xdr:pic>
      <xdr:nvPicPr>
        <xdr:cNvPr id="0" name="image241.jp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109</xdr:row>
      <xdr:rowOff>0</xdr:rowOff>
    </xdr:from>
    <xdr:ext cx="476250" cy="476250"/>
    <xdr:pic>
      <xdr:nvPicPr>
        <xdr:cNvPr id="0" name="image305.jp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110</xdr:row>
      <xdr:rowOff>0</xdr:rowOff>
    </xdr:from>
    <xdr:ext cx="476250" cy="476250"/>
    <xdr:pic>
      <xdr:nvPicPr>
        <xdr:cNvPr id="0" name="image387.jpg"/>
        <xdr:cNvPicPr preferRelativeResize="0"/>
      </xdr:nvPicPr>
      <xdr:blipFill>
        <a:blip cstate="print" r:embed="rId79"/>
        <a:stretch>
          <a:fillRect/>
        </a:stretch>
      </xdr:blipFill>
      <xdr:spPr>
        <a:prstGeom prst="rect">
          <a:avLst/>
        </a:prstGeom>
        <a:noFill/>
      </xdr:spPr>
    </xdr:pic>
    <xdr:clientData fLocksWithSheet="0"/>
  </xdr:oneCellAnchor>
  <xdr:oneCellAnchor>
    <xdr:from>
      <xdr:col>3</xdr:col>
      <xdr:colOff>0</xdr:colOff>
      <xdr:row>111</xdr:row>
      <xdr:rowOff>0</xdr:rowOff>
    </xdr:from>
    <xdr:ext cx="476250" cy="476250"/>
    <xdr:pic>
      <xdr:nvPicPr>
        <xdr:cNvPr id="0" name="image285.jpg"/>
        <xdr:cNvPicPr preferRelativeResize="0"/>
      </xdr:nvPicPr>
      <xdr:blipFill>
        <a:blip cstate="print" r:embed="rId80"/>
        <a:stretch>
          <a:fillRect/>
        </a:stretch>
      </xdr:blipFill>
      <xdr:spPr>
        <a:prstGeom prst="rect">
          <a:avLst/>
        </a:prstGeom>
        <a:noFill/>
      </xdr:spPr>
    </xdr:pic>
    <xdr:clientData fLocksWithSheet="0"/>
  </xdr:oneCellAnchor>
  <xdr:oneCellAnchor>
    <xdr:from>
      <xdr:col>3</xdr:col>
      <xdr:colOff>0</xdr:colOff>
      <xdr:row>112</xdr:row>
      <xdr:rowOff>0</xdr:rowOff>
    </xdr:from>
    <xdr:ext cx="476250" cy="476250"/>
    <xdr:pic>
      <xdr:nvPicPr>
        <xdr:cNvPr id="0" name="image520.jp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113</xdr:row>
      <xdr:rowOff>0</xdr:rowOff>
    </xdr:from>
    <xdr:ext cx="476250" cy="476250"/>
    <xdr:pic>
      <xdr:nvPicPr>
        <xdr:cNvPr id="0" name="image524.jpg"/>
        <xdr:cNvPicPr preferRelativeResize="0"/>
      </xdr:nvPicPr>
      <xdr:blipFill>
        <a:blip cstate="print" r:embed="rId82"/>
        <a:stretch>
          <a:fillRect/>
        </a:stretch>
      </xdr:blipFill>
      <xdr:spPr>
        <a:prstGeom prst="rect">
          <a:avLst/>
        </a:prstGeom>
        <a:noFill/>
      </xdr:spPr>
    </xdr:pic>
    <xdr:clientData fLocksWithSheet="0"/>
  </xdr:oneCellAnchor>
  <xdr:oneCellAnchor>
    <xdr:from>
      <xdr:col>3</xdr:col>
      <xdr:colOff>0</xdr:colOff>
      <xdr:row>114</xdr:row>
      <xdr:rowOff>0</xdr:rowOff>
    </xdr:from>
    <xdr:ext cx="476250" cy="476250"/>
    <xdr:pic>
      <xdr:nvPicPr>
        <xdr:cNvPr id="0" name="image506.jp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115</xdr:row>
      <xdr:rowOff>0</xdr:rowOff>
    </xdr:from>
    <xdr:ext cx="476250" cy="476250"/>
    <xdr:pic>
      <xdr:nvPicPr>
        <xdr:cNvPr id="0" name="image185.jpg"/>
        <xdr:cNvPicPr preferRelativeResize="0"/>
      </xdr:nvPicPr>
      <xdr:blipFill>
        <a:blip cstate="print" r:embed="rId84"/>
        <a:stretch>
          <a:fillRect/>
        </a:stretch>
      </xdr:blipFill>
      <xdr:spPr>
        <a:prstGeom prst="rect">
          <a:avLst/>
        </a:prstGeom>
        <a:noFill/>
      </xdr:spPr>
    </xdr:pic>
    <xdr:clientData fLocksWithSheet="0"/>
  </xdr:oneCellAnchor>
  <xdr:oneCellAnchor>
    <xdr:from>
      <xdr:col>3</xdr:col>
      <xdr:colOff>0</xdr:colOff>
      <xdr:row>116</xdr:row>
      <xdr:rowOff>0</xdr:rowOff>
    </xdr:from>
    <xdr:ext cx="476250" cy="476250"/>
    <xdr:pic>
      <xdr:nvPicPr>
        <xdr:cNvPr id="0" name="image492.jpg"/>
        <xdr:cNvPicPr preferRelativeResize="0"/>
      </xdr:nvPicPr>
      <xdr:blipFill>
        <a:blip cstate="print" r:embed="rId85"/>
        <a:stretch>
          <a:fillRect/>
        </a:stretch>
      </xdr:blipFill>
      <xdr:spPr>
        <a:prstGeom prst="rect">
          <a:avLst/>
        </a:prstGeom>
        <a:noFill/>
      </xdr:spPr>
    </xdr:pic>
    <xdr:clientData fLocksWithSheet="0"/>
  </xdr:oneCellAnchor>
  <xdr:oneCellAnchor>
    <xdr:from>
      <xdr:col>3</xdr:col>
      <xdr:colOff>0</xdr:colOff>
      <xdr:row>117</xdr:row>
      <xdr:rowOff>0</xdr:rowOff>
    </xdr:from>
    <xdr:ext cx="476250" cy="476250"/>
    <xdr:pic>
      <xdr:nvPicPr>
        <xdr:cNvPr id="0" name="image581.jp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118</xdr:row>
      <xdr:rowOff>0</xdr:rowOff>
    </xdr:from>
    <xdr:ext cx="476250" cy="476250"/>
    <xdr:pic>
      <xdr:nvPicPr>
        <xdr:cNvPr id="0" name="image8.jp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119</xdr:row>
      <xdr:rowOff>0</xdr:rowOff>
    </xdr:from>
    <xdr:ext cx="476250" cy="476250"/>
    <xdr:pic>
      <xdr:nvPicPr>
        <xdr:cNvPr id="0" name="image126.jp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120</xdr:row>
      <xdr:rowOff>0</xdr:rowOff>
    </xdr:from>
    <xdr:ext cx="476250" cy="476250"/>
    <xdr:pic>
      <xdr:nvPicPr>
        <xdr:cNvPr id="0" name="image227.jp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121</xdr:row>
      <xdr:rowOff>0</xdr:rowOff>
    </xdr:from>
    <xdr:ext cx="476250" cy="476250"/>
    <xdr:pic>
      <xdr:nvPicPr>
        <xdr:cNvPr id="0" name="image181.jpg"/>
        <xdr:cNvPicPr preferRelativeResize="0"/>
      </xdr:nvPicPr>
      <xdr:blipFill>
        <a:blip cstate="print" r:embed="rId87"/>
        <a:stretch>
          <a:fillRect/>
        </a:stretch>
      </xdr:blipFill>
      <xdr:spPr>
        <a:prstGeom prst="rect">
          <a:avLst/>
        </a:prstGeom>
        <a:noFill/>
      </xdr:spPr>
    </xdr:pic>
    <xdr:clientData fLocksWithSheet="0"/>
  </xdr:oneCellAnchor>
  <xdr:oneCellAnchor>
    <xdr:from>
      <xdr:col>3</xdr:col>
      <xdr:colOff>0</xdr:colOff>
      <xdr:row>122</xdr:row>
      <xdr:rowOff>0</xdr:rowOff>
    </xdr:from>
    <xdr:ext cx="476250" cy="476250"/>
    <xdr:pic>
      <xdr:nvPicPr>
        <xdr:cNvPr id="0" name="image498.jpg"/>
        <xdr:cNvPicPr preferRelativeResize="0"/>
      </xdr:nvPicPr>
      <xdr:blipFill>
        <a:blip cstate="print" r:embed="rId88"/>
        <a:stretch>
          <a:fillRect/>
        </a:stretch>
      </xdr:blipFill>
      <xdr:spPr>
        <a:prstGeom prst="rect">
          <a:avLst/>
        </a:prstGeom>
        <a:noFill/>
      </xdr:spPr>
    </xdr:pic>
    <xdr:clientData fLocksWithSheet="0"/>
  </xdr:oneCellAnchor>
  <xdr:oneCellAnchor>
    <xdr:from>
      <xdr:col>3</xdr:col>
      <xdr:colOff>0</xdr:colOff>
      <xdr:row>123</xdr:row>
      <xdr:rowOff>0</xdr:rowOff>
    </xdr:from>
    <xdr:ext cx="476250" cy="476250"/>
    <xdr:pic>
      <xdr:nvPicPr>
        <xdr:cNvPr id="0" name="image383.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124</xdr:row>
      <xdr:rowOff>0</xdr:rowOff>
    </xdr:from>
    <xdr:ext cx="476250" cy="476250"/>
    <xdr:pic>
      <xdr:nvPicPr>
        <xdr:cNvPr id="0" name="image585.jp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125</xdr:row>
      <xdr:rowOff>0</xdr:rowOff>
    </xdr:from>
    <xdr:ext cx="476250" cy="476250"/>
    <xdr:pic>
      <xdr:nvPicPr>
        <xdr:cNvPr id="0" name="image292.jpg"/>
        <xdr:cNvPicPr preferRelativeResize="0"/>
      </xdr:nvPicPr>
      <xdr:blipFill>
        <a:blip cstate="print" r:embed="rId90"/>
        <a:stretch>
          <a:fillRect/>
        </a:stretch>
      </xdr:blipFill>
      <xdr:spPr>
        <a:prstGeom prst="rect">
          <a:avLst/>
        </a:prstGeom>
        <a:noFill/>
      </xdr:spPr>
    </xdr:pic>
    <xdr:clientData fLocksWithSheet="0"/>
  </xdr:oneCellAnchor>
  <xdr:oneCellAnchor>
    <xdr:from>
      <xdr:col>3</xdr:col>
      <xdr:colOff>0</xdr:colOff>
      <xdr:row>126</xdr:row>
      <xdr:rowOff>0</xdr:rowOff>
    </xdr:from>
    <xdr:ext cx="476250" cy="476250"/>
    <xdr:pic>
      <xdr:nvPicPr>
        <xdr:cNvPr id="0" name="image246.jpg"/>
        <xdr:cNvPicPr preferRelativeResize="0"/>
      </xdr:nvPicPr>
      <xdr:blipFill>
        <a:blip cstate="print" r:embed="rId91"/>
        <a:stretch>
          <a:fillRect/>
        </a:stretch>
      </xdr:blipFill>
      <xdr:spPr>
        <a:prstGeom prst="rect">
          <a:avLst/>
        </a:prstGeom>
        <a:noFill/>
      </xdr:spPr>
    </xdr:pic>
    <xdr:clientData fLocksWithSheet="0"/>
  </xdr:oneCellAnchor>
  <xdr:oneCellAnchor>
    <xdr:from>
      <xdr:col>3</xdr:col>
      <xdr:colOff>0</xdr:colOff>
      <xdr:row>127</xdr:row>
      <xdr:rowOff>0</xdr:rowOff>
    </xdr:from>
    <xdr:ext cx="476250" cy="476250"/>
    <xdr:pic>
      <xdr:nvPicPr>
        <xdr:cNvPr id="0" name="image229.jp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128</xdr:row>
      <xdr:rowOff>0</xdr:rowOff>
    </xdr:from>
    <xdr:ext cx="476250" cy="476250"/>
    <xdr:pic>
      <xdr:nvPicPr>
        <xdr:cNvPr id="0" name="image154.jp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129</xdr:row>
      <xdr:rowOff>0</xdr:rowOff>
    </xdr:from>
    <xdr:ext cx="476250" cy="476250"/>
    <xdr:pic>
      <xdr:nvPicPr>
        <xdr:cNvPr id="0" name="image472.jp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130</xdr:row>
      <xdr:rowOff>0</xdr:rowOff>
    </xdr:from>
    <xdr:ext cx="476250" cy="476250"/>
    <xdr:pic>
      <xdr:nvPicPr>
        <xdr:cNvPr id="0" name="image511.jpg"/>
        <xdr:cNvPicPr preferRelativeResize="0"/>
      </xdr:nvPicPr>
      <xdr:blipFill>
        <a:blip cstate="print" r:embed="rId93"/>
        <a:stretch>
          <a:fillRect/>
        </a:stretch>
      </xdr:blipFill>
      <xdr:spPr>
        <a:prstGeom prst="rect">
          <a:avLst/>
        </a:prstGeom>
        <a:noFill/>
      </xdr:spPr>
    </xdr:pic>
    <xdr:clientData fLocksWithSheet="0"/>
  </xdr:oneCellAnchor>
  <xdr:oneCellAnchor>
    <xdr:from>
      <xdr:col>3</xdr:col>
      <xdr:colOff>0</xdr:colOff>
      <xdr:row>131</xdr:row>
      <xdr:rowOff>0</xdr:rowOff>
    </xdr:from>
    <xdr:ext cx="476250" cy="476250"/>
    <xdr:pic>
      <xdr:nvPicPr>
        <xdr:cNvPr id="0" name="image469.jp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132</xdr:row>
      <xdr:rowOff>0</xdr:rowOff>
    </xdr:from>
    <xdr:ext cx="476250" cy="476250"/>
    <xdr:pic>
      <xdr:nvPicPr>
        <xdr:cNvPr id="0" name="image28.jp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133</xdr:row>
      <xdr:rowOff>0</xdr:rowOff>
    </xdr:from>
    <xdr:ext cx="476250" cy="476250"/>
    <xdr:pic>
      <xdr:nvPicPr>
        <xdr:cNvPr id="0" name="image22.jpg"/>
        <xdr:cNvPicPr preferRelativeResize="0"/>
      </xdr:nvPicPr>
      <xdr:blipFill>
        <a:blip cstate="print" r:embed="rId95"/>
        <a:stretch>
          <a:fillRect/>
        </a:stretch>
      </xdr:blipFill>
      <xdr:spPr>
        <a:prstGeom prst="rect">
          <a:avLst/>
        </a:prstGeom>
        <a:noFill/>
      </xdr:spPr>
    </xdr:pic>
    <xdr:clientData fLocksWithSheet="0"/>
  </xdr:oneCellAnchor>
  <xdr:oneCellAnchor>
    <xdr:from>
      <xdr:col>3</xdr:col>
      <xdr:colOff>0</xdr:colOff>
      <xdr:row>134</xdr:row>
      <xdr:rowOff>0</xdr:rowOff>
    </xdr:from>
    <xdr:ext cx="476250" cy="476250"/>
    <xdr:pic>
      <xdr:nvPicPr>
        <xdr:cNvPr id="0" name="image140.jp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135</xdr:row>
      <xdr:rowOff>0</xdr:rowOff>
    </xdr:from>
    <xdr:ext cx="476250" cy="476250"/>
    <xdr:pic>
      <xdr:nvPicPr>
        <xdr:cNvPr id="0" name="image158.jpg"/>
        <xdr:cNvPicPr preferRelativeResize="0"/>
      </xdr:nvPicPr>
      <xdr:blipFill>
        <a:blip cstate="print" r:embed="rId97"/>
        <a:stretch>
          <a:fillRect/>
        </a:stretch>
      </xdr:blipFill>
      <xdr:spPr>
        <a:prstGeom prst="rect">
          <a:avLst/>
        </a:prstGeom>
        <a:noFill/>
      </xdr:spPr>
    </xdr:pic>
    <xdr:clientData fLocksWithSheet="0"/>
  </xdr:oneCellAnchor>
  <xdr:oneCellAnchor>
    <xdr:from>
      <xdr:col>3</xdr:col>
      <xdr:colOff>0</xdr:colOff>
      <xdr:row>136</xdr:row>
      <xdr:rowOff>0</xdr:rowOff>
    </xdr:from>
    <xdr:ext cx="476250" cy="476250"/>
    <xdr:pic>
      <xdr:nvPicPr>
        <xdr:cNvPr id="0" name="image588.jpg"/>
        <xdr:cNvPicPr preferRelativeResize="0"/>
      </xdr:nvPicPr>
      <xdr:blipFill>
        <a:blip cstate="print" r:embed="rId98"/>
        <a:stretch>
          <a:fillRect/>
        </a:stretch>
      </xdr:blipFill>
      <xdr:spPr>
        <a:prstGeom prst="rect">
          <a:avLst/>
        </a:prstGeom>
        <a:noFill/>
      </xdr:spPr>
    </xdr:pic>
    <xdr:clientData fLocksWithSheet="0"/>
  </xdr:oneCellAnchor>
  <xdr:oneCellAnchor>
    <xdr:from>
      <xdr:col>3</xdr:col>
      <xdr:colOff>0</xdr:colOff>
      <xdr:row>137</xdr:row>
      <xdr:rowOff>0</xdr:rowOff>
    </xdr:from>
    <xdr:ext cx="476250" cy="476250"/>
    <xdr:pic>
      <xdr:nvPicPr>
        <xdr:cNvPr id="0" name="image144.jpg"/>
        <xdr:cNvPicPr preferRelativeResize="0"/>
      </xdr:nvPicPr>
      <xdr:blipFill>
        <a:blip cstate="print" r:embed="rId99"/>
        <a:stretch>
          <a:fillRect/>
        </a:stretch>
      </xdr:blipFill>
      <xdr:spPr>
        <a:prstGeom prst="rect">
          <a:avLst/>
        </a:prstGeom>
        <a:noFill/>
      </xdr:spPr>
    </xdr:pic>
    <xdr:clientData fLocksWithSheet="0"/>
  </xdr:oneCellAnchor>
  <xdr:oneCellAnchor>
    <xdr:from>
      <xdr:col>3</xdr:col>
      <xdr:colOff>0</xdr:colOff>
      <xdr:row>138</xdr:row>
      <xdr:rowOff>0</xdr:rowOff>
    </xdr:from>
    <xdr:ext cx="476250" cy="476250"/>
    <xdr:pic>
      <xdr:nvPicPr>
        <xdr:cNvPr id="0" name="image619.jp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139</xdr:row>
      <xdr:rowOff>0</xdr:rowOff>
    </xdr:from>
    <xdr:ext cx="476250" cy="476250"/>
    <xdr:pic>
      <xdr:nvPicPr>
        <xdr:cNvPr id="0" name="image513.jpg"/>
        <xdr:cNvPicPr preferRelativeResize="0"/>
      </xdr:nvPicPr>
      <xdr:blipFill>
        <a:blip cstate="print" r:embed="rId101"/>
        <a:stretch>
          <a:fillRect/>
        </a:stretch>
      </xdr:blipFill>
      <xdr:spPr>
        <a:prstGeom prst="rect">
          <a:avLst/>
        </a:prstGeom>
        <a:noFill/>
      </xdr:spPr>
    </xdr:pic>
    <xdr:clientData fLocksWithSheet="0"/>
  </xdr:oneCellAnchor>
  <xdr:oneCellAnchor>
    <xdr:from>
      <xdr:col>3</xdr:col>
      <xdr:colOff>0</xdr:colOff>
      <xdr:row>140</xdr:row>
      <xdr:rowOff>0</xdr:rowOff>
    </xdr:from>
    <xdr:ext cx="476250" cy="476250"/>
    <xdr:pic>
      <xdr:nvPicPr>
        <xdr:cNvPr id="0" name="image494.jp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141</xdr:row>
      <xdr:rowOff>0</xdr:rowOff>
    </xdr:from>
    <xdr:ext cx="476250" cy="476250"/>
    <xdr:pic>
      <xdr:nvPicPr>
        <xdr:cNvPr id="0" name="image501.jpg"/>
        <xdr:cNvPicPr preferRelativeResize="0"/>
      </xdr:nvPicPr>
      <xdr:blipFill>
        <a:blip cstate="print" r:embed="rId103"/>
        <a:stretch>
          <a:fillRect/>
        </a:stretch>
      </xdr:blipFill>
      <xdr:spPr>
        <a:prstGeom prst="rect">
          <a:avLst/>
        </a:prstGeom>
        <a:noFill/>
      </xdr:spPr>
    </xdr:pic>
    <xdr:clientData fLocksWithSheet="0"/>
  </xdr:oneCellAnchor>
  <xdr:oneCellAnchor>
    <xdr:from>
      <xdr:col>3</xdr:col>
      <xdr:colOff>0</xdr:colOff>
      <xdr:row>142</xdr:row>
      <xdr:rowOff>0</xdr:rowOff>
    </xdr:from>
    <xdr:ext cx="476250" cy="476250"/>
    <xdr:pic>
      <xdr:nvPicPr>
        <xdr:cNvPr id="0" name="image249.jpg"/>
        <xdr:cNvPicPr preferRelativeResize="0"/>
      </xdr:nvPicPr>
      <xdr:blipFill>
        <a:blip cstate="print" r:embed="rId104"/>
        <a:stretch>
          <a:fillRect/>
        </a:stretch>
      </xdr:blipFill>
      <xdr:spPr>
        <a:prstGeom prst="rect">
          <a:avLst/>
        </a:prstGeom>
        <a:noFill/>
      </xdr:spPr>
    </xdr:pic>
    <xdr:clientData fLocksWithSheet="0"/>
  </xdr:oneCellAnchor>
  <xdr:oneCellAnchor>
    <xdr:from>
      <xdr:col>3</xdr:col>
      <xdr:colOff>0</xdr:colOff>
      <xdr:row>143</xdr:row>
      <xdr:rowOff>0</xdr:rowOff>
    </xdr:from>
    <xdr:ext cx="476250" cy="476250"/>
    <xdr:pic>
      <xdr:nvPicPr>
        <xdr:cNvPr id="0" name="image509.jpg"/>
        <xdr:cNvPicPr preferRelativeResize="0"/>
      </xdr:nvPicPr>
      <xdr:blipFill>
        <a:blip cstate="print" r:embed="rId105"/>
        <a:stretch>
          <a:fillRect/>
        </a:stretch>
      </xdr:blipFill>
      <xdr:spPr>
        <a:prstGeom prst="rect">
          <a:avLst/>
        </a:prstGeom>
        <a:noFill/>
      </xdr:spPr>
    </xdr:pic>
    <xdr:clientData fLocksWithSheet="0"/>
  </xdr:oneCellAnchor>
  <xdr:oneCellAnchor>
    <xdr:from>
      <xdr:col>3</xdr:col>
      <xdr:colOff>0</xdr:colOff>
      <xdr:row>144</xdr:row>
      <xdr:rowOff>0</xdr:rowOff>
    </xdr:from>
    <xdr:ext cx="476250" cy="476250"/>
    <xdr:pic>
      <xdr:nvPicPr>
        <xdr:cNvPr id="0" name="image584.jpg"/>
        <xdr:cNvPicPr preferRelativeResize="0"/>
      </xdr:nvPicPr>
      <xdr:blipFill>
        <a:blip cstate="print" r:embed="rId106"/>
        <a:stretch>
          <a:fillRect/>
        </a:stretch>
      </xdr:blipFill>
      <xdr:spPr>
        <a:prstGeom prst="rect">
          <a:avLst/>
        </a:prstGeom>
        <a:noFill/>
      </xdr:spPr>
    </xdr:pic>
    <xdr:clientData fLocksWithSheet="0"/>
  </xdr:oneCellAnchor>
  <xdr:oneCellAnchor>
    <xdr:from>
      <xdr:col>3</xdr:col>
      <xdr:colOff>0</xdr:colOff>
      <xdr:row>145</xdr:row>
      <xdr:rowOff>0</xdr:rowOff>
    </xdr:from>
    <xdr:ext cx="476250" cy="476250"/>
    <xdr:pic>
      <xdr:nvPicPr>
        <xdr:cNvPr id="0" name="image293.jpg"/>
        <xdr:cNvPicPr preferRelativeResize="0"/>
      </xdr:nvPicPr>
      <xdr:blipFill>
        <a:blip cstate="print" r:embed="rId107"/>
        <a:stretch>
          <a:fillRect/>
        </a:stretch>
      </xdr:blipFill>
      <xdr:spPr>
        <a:prstGeom prst="rect">
          <a:avLst/>
        </a:prstGeom>
        <a:noFill/>
      </xdr:spPr>
    </xdr:pic>
    <xdr:clientData fLocksWithSheet="0"/>
  </xdr:oneCellAnchor>
  <xdr:oneCellAnchor>
    <xdr:from>
      <xdr:col>3</xdr:col>
      <xdr:colOff>0</xdr:colOff>
      <xdr:row>146</xdr:row>
      <xdr:rowOff>0</xdr:rowOff>
    </xdr:from>
    <xdr:ext cx="476250" cy="476250"/>
    <xdr:pic>
      <xdr:nvPicPr>
        <xdr:cNvPr id="0" name="image512.jpg"/>
        <xdr:cNvPicPr preferRelativeResize="0"/>
      </xdr:nvPicPr>
      <xdr:blipFill>
        <a:blip cstate="print" r:embed="rId108"/>
        <a:stretch>
          <a:fillRect/>
        </a:stretch>
      </xdr:blipFill>
      <xdr:spPr>
        <a:prstGeom prst="rect">
          <a:avLst/>
        </a:prstGeom>
        <a:noFill/>
      </xdr:spPr>
    </xdr:pic>
    <xdr:clientData fLocksWithSheet="0"/>
  </xdr:oneCellAnchor>
  <xdr:oneCellAnchor>
    <xdr:from>
      <xdr:col>3</xdr:col>
      <xdr:colOff>0</xdr:colOff>
      <xdr:row>147</xdr:row>
      <xdr:rowOff>0</xdr:rowOff>
    </xdr:from>
    <xdr:ext cx="476250" cy="476250"/>
    <xdr:pic>
      <xdr:nvPicPr>
        <xdr:cNvPr id="0" name="image516.jp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148</xdr:row>
      <xdr:rowOff>0</xdr:rowOff>
    </xdr:from>
    <xdr:ext cx="476250" cy="476250"/>
    <xdr:pic>
      <xdr:nvPicPr>
        <xdr:cNvPr id="0" name="image519.jpg"/>
        <xdr:cNvPicPr preferRelativeResize="0"/>
      </xdr:nvPicPr>
      <xdr:blipFill>
        <a:blip cstate="print" r:embed="rId110"/>
        <a:stretch>
          <a:fillRect/>
        </a:stretch>
      </xdr:blipFill>
      <xdr:spPr>
        <a:prstGeom prst="rect">
          <a:avLst/>
        </a:prstGeom>
        <a:noFill/>
      </xdr:spPr>
    </xdr:pic>
    <xdr:clientData fLocksWithSheet="0"/>
  </xdr:oneCellAnchor>
  <xdr:oneCellAnchor>
    <xdr:from>
      <xdr:col>3</xdr:col>
      <xdr:colOff>0</xdr:colOff>
      <xdr:row>149</xdr:row>
      <xdr:rowOff>0</xdr:rowOff>
    </xdr:from>
    <xdr:ext cx="476250" cy="476250"/>
    <xdr:pic>
      <xdr:nvPicPr>
        <xdr:cNvPr id="0" name="image313.jp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150</xdr:row>
      <xdr:rowOff>0</xdr:rowOff>
    </xdr:from>
    <xdr:ext cx="476250" cy="476250"/>
    <xdr:pic>
      <xdr:nvPicPr>
        <xdr:cNvPr id="0" name="image303.jpg"/>
        <xdr:cNvPicPr preferRelativeResize="0"/>
      </xdr:nvPicPr>
      <xdr:blipFill>
        <a:blip cstate="print" r:embed="rId112"/>
        <a:stretch>
          <a:fillRect/>
        </a:stretch>
      </xdr:blipFill>
      <xdr:spPr>
        <a:prstGeom prst="rect">
          <a:avLst/>
        </a:prstGeom>
        <a:noFill/>
      </xdr:spPr>
    </xdr:pic>
    <xdr:clientData fLocksWithSheet="0"/>
  </xdr:oneCellAnchor>
  <xdr:oneCellAnchor>
    <xdr:from>
      <xdr:col>3</xdr:col>
      <xdr:colOff>0</xdr:colOff>
      <xdr:row>151</xdr:row>
      <xdr:rowOff>0</xdr:rowOff>
    </xdr:from>
    <xdr:ext cx="476250" cy="476250"/>
    <xdr:pic>
      <xdr:nvPicPr>
        <xdr:cNvPr id="0" name="image219.jpg"/>
        <xdr:cNvPicPr preferRelativeResize="0"/>
      </xdr:nvPicPr>
      <xdr:blipFill>
        <a:blip cstate="print" r:embed="rId113"/>
        <a:stretch>
          <a:fillRect/>
        </a:stretch>
      </xdr:blipFill>
      <xdr:spPr>
        <a:prstGeom prst="rect">
          <a:avLst/>
        </a:prstGeom>
        <a:noFill/>
      </xdr:spPr>
    </xdr:pic>
    <xdr:clientData fLocksWithSheet="0"/>
  </xdr:oneCellAnchor>
  <xdr:oneCellAnchor>
    <xdr:from>
      <xdr:col>3</xdr:col>
      <xdr:colOff>0</xdr:colOff>
      <xdr:row>152</xdr:row>
      <xdr:rowOff>0</xdr:rowOff>
    </xdr:from>
    <xdr:ext cx="476250" cy="476250"/>
    <xdr:pic>
      <xdr:nvPicPr>
        <xdr:cNvPr id="0" name="image267.jpg"/>
        <xdr:cNvPicPr preferRelativeResize="0"/>
      </xdr:nvPicPr>
      <xdr:blipFill>
        <a:blip cstate="print" r:embed="rId114"/>
        <a:stretch>
          <a:fillRect/>
        </a:stretch>
      </xdr:blipFill>
      <xdr:spPr>
        <a:prstGeom prst="rect">
          <a:avLst/>
        </a:prstGeom>
        <a:noFill/>
      </xdr:spPr>
    </xdr:pic>
    <xdr:clientData fLocksWithSheet="0"/>
  </xdr:oneCellAnchor>
  <xdr:oneCellAnchor>
    <xdr:from>
      <xdr:col>3</xdr:col>
      <xdr:colOff>0</xdr:colOff>
      <xdr:row>153</xdr:row>
      <xdr:rowOff>0</xdr:rowOff>
    </xdr:from>
    <xdr:ext cx="476250" cy="476250"/>
    <xdr:pic>
      <xdr:nvPicPr>
        <xdr:cNvPr id="0" name="image479.jp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154</xdr:row>
      <xdr:rowOff>0</xdr:rowOff>
    </xdr:from>
    <xdr:ext cx="476250" cy="476250"/>
    <xdr:pic>
      <xdr:nvPicPr>
        <xdr:cNvPr id="0" name="image518.jp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155</xdr:row>
      <xdr:rowOff>0</xdr:rowOff>
    </xdr:from>
    <xdr:ext cx="476250" cy="476250"/>
    <xdr:pic>
      <xdr:nvPicPr>
        <xdr:cNvPr id="0" name="image254.jpg"/>
        <xdr:cNvPicPr preferRelativeResize="0"/>
      </xdr:nvPicPr>
      <xdr:blipFill>
        <a:blip cstate="print" r:embed="rId116"/>
        <a:stretch>
          <a:fillRect/>
        </a:stretch>
      </xdr:blipFill>
      <xdr:spPr>
        <a:prstGeom prst="rect">
          <a:avLst/>
        </a:prstGeom>
        <a:noFill/>
      </xdr:spPr>
    </xdr:pic>
    <xdr:clientData fLocksWithSheet="0"/>
  </xdr:oneCellAnchor>
  <xdr:oneCellAnchor>
    <xdr:from>
      <xdr:col>3</xdr:col>
      <xdr:colOff>0</xdr:colOff>
      <xdr:row>156</xdr:row>
      <xdr:rowOff>0</xdr:rowOff>
    </xdr:from>
    <xdr:ext cx="476250" cy="476250"/>
    <xdr:pic>
      <xdr:nvPicPr>
        <xdr:cNvPr id="0" name="image510.jpg"/>
        <xdr:cNvPicPr preferRelativeResize="0"/>
      </xdr:nvPicPr>
      <xdr:blipFill>
        <a:blip cstate="print" r:embed="rId117"/>
        <a:stretch>
          <a:fillRect/>
        </a:stretch>
      </xdr:blipFill>
      <xdr:spPr>
        <a:prstGeom prst="rect">
          <a:avLst/>
        </a:prstGeom>
        <a:noFill/>
      </xdr:spPr>
    </xdr:pic>
    <xdr:clientData fLocksWithSheet="0"/>
  </xdr:oneCellAnchor>
  <xdr:oneCellAnchor>
    <xdr:from>
      <xdr:col>3</xdr:col>
      <xdr:colOff>0</xdr:colOff>
      <xdr:row>157</xdr:row>
      <xdr:rowOff>0</xdr:rowOff>
    </xdr:from>
    <xdr:ext cx="476250" cy="476250"/>
    <xdr:pic>
      <xdr:nvPicPr>
        <xdr:cNvPr id="0" name="image402.jpg"/>
        <xdr:cNvPicPr preferRelativeResize="0"/>
      </xdr:nvPicPr>
      <xdr:blipFill>
        <a:blip cstate="print" r:embed="rId118"/>
        <a:stretch>
          <a:fillRect/>
        </a:stretch>
      </xdr:blipFill>
      <xdr:spPr>
        <a:prstGeom prst="rect">
          <a:avLst/>
        </a:prstGeom>
        <a:noFill/>
      </xdr:spPr>
    </xdr:pic>
    <xdr:clientData fLocksWithSheet="0"/>
  </xdr:oneCellAnchor>
  <xdr:oneCellAnchor>
    <xdr:from>
      <xdr:col>3</xdr:col>
      <xdr:colOff>0</xdr:colOff>
      <xdr:row>158</xdr:row>
      <xdr:rowOff>0</xdr:rowOff>
    </xdr:from>
    <xdr:ext cx="476250" cy="476250"/>
    <xdr:pic>
      <xdr:nvPicPr>
        <xdr:cNvPr id="0" name="image601.jp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159</xdr:row>
      <xdr:rowOff>0</xdr:rowOff>
    </xdr:from>
    <xdr:ext cx="476250" cy="476250"/>
    <xdr:pic>
      <xdr:nvPicPr>
        <xdr:cNvPr id="0" name="image517.jpg"/>
        <xdr:cNvPicPr preferRelativeResize="0"/>
      </xdr:nvPicPr>
      <xdr:blipFill>
        <a:blip cstate="print" r:embed="rId120"/>
        <a:stretch>
          <a:fillRect/>
        </a:stretch>
      </xdr:blipFill>
      <xdr:spPr>
        <a:prstGeom prst="rect">
          <a:avLst/>
        </a:prstGeom>
        <a:noFill/>
      </xdr:spPr>
    </xdr:pic>
    <xdr:clientData fLocksWithSheet="0"/>
  </xdr:oneCellAnchor>
  <xdr:oneCellAnchor>
    <xdr:from>
      <xdr:col>3</xdr:col>
      <xdr:colOff>0</xdr:colOff>
      <xdr:row>160</xdr:row>
      <xdr:rowOff>0</xdr:rowOff>
    </xdr:from>
    <xdr:ext cx="476250" cy="476250"/>
    <xdr:pic>
      <xdr:nvPicPr>
        <xdr:cNvPr id="0" name="image529.jp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161</xdr:row>
      <xdr:rowOff>0</xdr:rowOff>
    </xdr:from>
    <xdr:ext cx="476250" cy="476250"/>
    <xdr:pic>
      <xdr:nvPicPr>
        <xdr:cNvPr id="0" name="image514.jpg"/>
        <xdr:cNvPicPr preferRelativeResize="0"/>
      </xdr:nvPicPr>
      <xdr:blipFill>
        <a:blip cstate="print" r:embed="rId122"/>
        <a:stretch>
          <a:fillRect/>
        </a:stretch>
      </xdr:blipFill>
      <xdr:spPr>
        <a:prstGeom prst="rect">
          <a:avLst/>
        </a:prstGeom>
        <a:noFill/>
      </xdr:spPr>
    </xdr:pic>
    <xdr:clientData fLocksWithSheet="0"/>
  </xdr:oneCellAnchor>
  <xdr:oneCellAnchor>
    <xdr:from>
      <xdr:col>3</xdr:col>
      <xdr:colOff>0</xdr:colOff>
      <xdr:row>162</xdr:row>
      <xdr:rowOff>0</xdr:rowOff>
    </xdr:from>
    <xdr:ext cx="476250" cy="476250"/>
    <xdr:pic>
      <xdr:nvPicPr>
        <xdr:cNvPr id="0" name="image561.jpg"/>
        <xdr:cNvPicPr preferRelativeResize="0"/>
      </xdr:nvPicPr>
      <xdr:blipFill>
        <a:blip cstate="print" r:embed="rId123"/>
        <a:stretch>
          <a:fillRect/>
        </a:stretch>
      </xdr:blipFill>
      <xdr:spPr>
        <a:prstGeom prst="rect">
          <a:avLst/>
        </a:prstGeom>
        <a:noFill/>
      </xdr:spPr>
    </xdr:pic>
    <xdr:clientData fLocksWithSheet="0"/>
  </xdr:oneCellAnchor>
  <xdr:oneCellAnchor>
    <xdr:from>
      <xdr:col>3</xdr:col>
      <xdr:colOff>0</xdr:colOff>
      <xdr:row>163</xdr:row>
      <xdr:rowOff>0</xdr:rowOff>
    </xdr:from>
    <xdr:ext cx="476250" cy="476250"/>
    <xdr:pic>
      <xdr:nvPicPr>
        <xdr:cNvPr id="0" name="image132.jpg"/>
        <xdr:cNvPicPr preferRelativeResize="0"/>
      </xdr:nvPicPr>
      <xdr:blipFill>
        <a:blip cstate="print" r:embed="rId124"/>
        <a:stretch>
          <a:fillRect/>
        </a:stretch>
      </xdr:blipFill>
      <xdr:spPr>
        <a:prstGeom prst="rect">
          <a:avLst/>
        </a:prstGeom>
        <a:noFill/>
      </xdr:spPr>
    </xdr:pic>
    <xdr:clientData fLocksWithSheet="0"/>
  </xdr:oneCellAnchor>
  <xdr:oneCellAnchor>
    <xdr:from>
      <xdr:col>3</xdr:col>
      <xdr:colOff>0</xdr:colOff>
      <xdr:row>164</xdr:row>
      <xdr:rowOff>0</xdr:rowOff>
    </xdr:from>
    <xdr:ext cx="476250" cy="476250"/>
    <xdr:pic>
      <xdr:nvPicPr>
        <xdr:cNvPr id="0" name="image508.jpg"/>
        <xdr:cNvPicPr preferRelativeResize="0"/>
      </xdr:nvPicPr>
      <xdr:blipFill>
        <a:blip cstate="print" r:embed="rId125"/>
        <a:stretch>
          <a:fillRect/>
        </a:stretch>
      </xdr:blipFill>
      <xdr:spPr>
        <a:prstGeom prst="rect">
          <a:avLst/>
        </a:prstGeom>
        <a:noFill/>
      </xdr:spPr>
    </xdr:pic>
    <xdr:clientData fLocksWithSheet="0"/>
  </xdr:oneCellAnchor>
  <xdr:oneCellAnchor>
    <xdr:from>
      <xdr:col>3</xdr:col>
      <xdr:colOff>0</xdr:colOff>
      <xdr:row>165</xdr:row>
      <xdr:rowOff>0</xdr:rowOff>
    </xdr:from>
    <xdr:ext cx="476250" cy="476250"/>
    <xdr:pic>
      <xdr:nvPicPr>
        <xdr:cNvPr id="0" name="image525.jpg"/>
        <xdr:cNvPicPr preferRelativeResize="0"/>
      </xdr:nvPicPr>
      <xdr:blipFill>
        <a:blip cstate="print" r:embed="rId126"/>
        <a:stretch>
          <a:fillRect/>
        </a:stretch>
      </xdr:blipFill>
      <xdr:spPr>
        <a:prstGeom prst="rect">
          <a:avLst/>
        </a:prstGeom>
        <a:noFill/>
      </xdr:spPr>
    </xdr:pic>
    <xdr:clientData fLocksWithSheet="0"/>
  </xdr:oneCellAnchor>
  <xdr:oneCellAnchor>
    <xdr:from>
      <xdr:col>3</xdr:col>
      <xdr:colOff>0</xdr:colOff>
      <xdr:row>166</xdr:row>
      <xdr:rowOff>0</xdr:rowOff>
    </xdr:from>
    <xdr:ext cx="476250" cy="476250"/>
    <xdr:pic>
      <xdr:nvPicPr>
        <xdr:cNvPr id="0" name="image514.jpg"/>
        <xdr:cNvPicPr preferRelativeResize="0"/>
      </xdr:nvPicPr>
      <xdr:blipFill>
        <a:blip cstate="print" r:embed="rId122"/>
        <a:stretch>
          <a:fillRect/>
        </a:stretch>
      </xdr:blipFill>
      <xdr:spPr>
        <a:prstGeom prst="rect">
          <a:avLst/>
        </a:prstGeom>
        <a:noFill/>
      </xdr:spPr>
    </xdr:pic>
    <xdr:clientData fLocksWithSheet="0"/>
  </xdr:oneCellAnchor>
  <xdr:oneCellAnchor>
    <xdr:from>
      <xdr:col>3</xdr:col>
      <xdr:colOff>0</xdr:colOff>
      <xdr:row>167</xdr:row>
      <xdr:rowOff>0</xdr:rowOff>
    </xdr:from>
    <xdr:ext cx="476250" cy="476250"/>
    <xdr:pic>
      <xdr:nvPicPr>
        <xdr:cNvPr id="0" name="image523.jpg"/>
        <xdr:cNvPicPr preferRelativeResize="0"/>
      </xdr:nvPicPr>
      <xdr:blipFill>
        <a:blip cstate="print" r:embed="rId127"/>
        <a:stretch>
          <a:fillRect/>
        </a:stretch>
      </xdr:blipFill>
      <xdr:spPr>
        <a:prstGeom prst="rect">
          <a:avLst/>
        </a:prstGeom>
        <a:noFill/>
      </xdr:spPr>
    </xdr:pic>
    <xdr:clientData fLocksWithSheet="0"/>
  </xdr:oneCellAnchor>
  <xdr:oneCellAnchor>
    <xdr:from>
      <xdr:col>3</xdr:col>
      <xdr:colOff>0</xdr:colOff>
      <xdr:row>168</xdr:row>
      <xdr:rowOff>0</xdr:rowOff>
    </xdr:from>
    <xdr:ext cx="476250" cy="476250"/>
    <xdr:pic>
      <xdr:nvPicPr>
        <xdr:cNvPr id="0" name="image310.jpg"/>
        <xdr:cNvPicPr preferRelativeResize="0"/>
      </xdr:nvPicPr>
      <xdr:blipFill>
        <a:blip cstate="print" r:embed="rId128"/>
        <a:stretch>
          <a:fillRect/>
        </a:stretch>
      </xdr:blipFill>
      <xdr:spPr>
        <a:prstGeom prst="rect">
          <a:avLst/>
        </a:prstGeom>
        <a:noFill/>
      </xdr:spPr>
    </xdr:pic>
    <xdr:clientData fLocksWithSheet="0"/>
  </xdr:oneCellAnchor>
  <xdr:oneCellAnchor>
    <xdr:from>
      <xdr:col>3</xdr:col>
      <xdr:colOff>0</xdr:colOff>
      <xdr:row>169</xdr:row>
      <xdr:rowOff>0</xdr:rowOff>
    </xdr:from>
    <xdr:ext cx="476250" cy="476250"/>
    <xdr:pic>
      <xdr:nvPicPr>
        <xdr:cNvPr id="0" name="image110.jpg"/>
        <xdr:cNvPicPr preferRelativeResize="0"/>
      </xdr:nvPicPr>
      <xdr:blipFill>
        <a:blip cstate="print" r:embed="rId129"/>
        <a:stretch>
          <a:fillRect/>
        </a:stretch>
      </xdr:blipFill>
      <xdr:spPr>
        <a:prstGeom prst="rect">
          <a:avLst/>
        </a:prstGeom>
        <a:noFill/>
      </xdr:spPr>
    </xdr:pic>
    <xdr:clientData fLocksWithSheet="0"/>
  </xdr:oneCellAnchor>
  <xdr:oneCellAnchor>
    <xdr:from>
      <xdr:col>3</xdr:col>
      <xdr:colOff>0</xdr:colOff>
      <xdr:row>170</xdr:row>
      <xdr:rowOff>0</xdr:rowOff>
    </xdr:from>
    <xdr:ext cx="476250" cy="476250"/>
    <xdr:pic>
      <xdr:nvPicPr>
        <xdr:cNvPr id="0" name="image313.jp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171</xdr:row>
      <xdr:rowOff>0</xdr:rowOff>
    </xdr:from>
    <xdr:ext cx="476250" cy="476250"/>
    <xdr:pic>
      <xdr:nvPicPr>
        <xdr:cNvPr id="0" name="image184.jpg"/>
        <xdr:cNvPicPr preferRelativeResize="0"/>
      </xdr:nvPicPr>
      <xdr:blipFill>
        <a:blip cstate="print" r:embed="rId130"/>
        <a:stretch>
          <a:fillRect/>
        </a:stretch>
      </xdr:blipFill>
      <xdr:spPr>
        <a:prstGeom prst="rect">
          <a:avLst/>
        </a:prstGeom>
        <a:noFill/>
      </xdr:spPr>
    </xdr:pic>
    <xdr:clientData fLocksWithSheet="0"/>
  </xdr:oneCellAnchor>
  <xdr:oneCellAnchor>
    <xdr:from>
      <xdr:col>3</xdr:col>
      <xdr:colOff>0</xdr:colOff>
      <xdr:row>172</xdr:row>
      <xdr:rowOff>0</xdr:rowOff>
    </xdr:from>
    <xdr:ext cx="476250" cy="476250"/>
    <xdr:pic>
      <xdr:nvPicPr>
        <xdr:cNvPr id="0" name="image130.jpg"/>
        <xdr:cNvPicPr preferRelativeResize="0"/>
      </xdr:nvPicPr>
      <xdr:blipFill>
        <a:blip cstate="print" r:embed="rId131"/>
        <a:stretch>
          <a:fillRect/>
        </a:stretch>
      </xdr:blipFill>
      <xdr:spPr>
        <a:prstGeom prst="rect">
          <a:avLst/>
        </a:prstGeom>
        <a:noFill/>
      </xdr:spPr>
    </xdr:pic>
    <xdr:clientData fLocksWithSheet="0"/>
  </xdr:oneCellAnchor>
  <xdr:oneCellAnchor>
    <xdr:from>
      <xdr:col>3</xdr:col>
      <xdr:colOff>0</xdr:colOff>
      <xdr:row>173</xdr:row>
      <xdr:rowOff>0</xdr:rowOff>
    </xdr:from>
    <xdr:ext cx="476250" cy="476250"/>
    <xdr:pic>
      <xdr:nvPicPr>
        <xdr:cNvPr id="0" name="image521.jp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174</xdr:row>
      <xdr:rowOff>0</xdr:rowOff>
    </xdr:from>
    <xdr:ext cx="476250" cy="476250"/>
    <xdr:pic>
      <xdr:nvPicPr>
        <xdr:cNvPr id="0" name="image514.jpg"/>
        <xdr:cNvPicPr preferRelativeResize="0"/>
      </xdr:nvPicPr>
      <xdr:blipFill>
        <a:blip cstate="print" r:embed="rId122"/>
        <a:stretch>
          <a:fillRect/>
        </a:stretch>
      </xdr:blipFill>
      <xdr:spPr>
        <a:prstGeom prst="rect">
          <a:avLst/>
        </a:prstGeom>
        <a:noFill/>
      </xdr:spPr>
    </xdr:pic>
    <xdr:clientData fLocksWithSheet="0"/>
  </xdr:oneCellAnchor>
  <xdr:oneCellAnchor>
    <xdr:from>
      <xdr:col>3</xdr:col>
      <xdr:colOff>0</xdr:colOff>
      <xdr:row>175</xdr:row>
      <xdr:rowOff>0</xdr:rowOff>
    </xdr:from>
    <xdr:ext cx="476250" cy="476250"/>
    <xdr:pic>
      <xdr:nvPicPr>
        <xdr:cNvPr id="0" name="image514.jpg"/>
        <xdr:cNvPicPr preferRelativeResize="0"/>
      </xdr:nvPicPr>
      <xdr:blipFill>
        <a:blip cstate="print" r:embed="rId122"/>
        <a:stretch>
          <a:fillRect/>
        </a:stretch>
      </xdr:blipFill>
      <xdr:spPr>
        <a:prstGeom prst="rect">
          <a:avLst/>
        </a:prstGeom>
        <a:noFill/>
      </xdr:spPr>
    </xdr:pic>
    <xdr:clientData fLocksWithSheet="0"/>
  </xdr:oneCellAnchor>
  <xdr:oneCellAnchor>
    <xdr:from>
      <xdr:col>3</xdr:col>
      <xdr:colOff>0</xdr:colOff>
      <xdr:row>176</xdr:row>
      <xdr:rowOff>0</xdr:rowOff>
    </xdr:from>
    <xdr:ext cx="476250" cy="476250"/>
    <xdr:pic>
      <xdr:nvPicPr>
        <xdr:cNvPr id="0" name="image205.jpg"/>
        <xdr:cNvPicPr preferRelativeResize="0"/>
      </xdr:nvPicPr>
      <xdr:blipFill>
        <a:blip cstate="print" r:embed="rId133"/>
        <a:stretch>
          <a:fillRect/>
        </a:stretch>
      </xdr:blipFill>
      <xdr:spPr>
        <a:prstGeom prst="rect">
          <a:avLst/>
        </a:prstGeom>
        <a:noFill/>
      </xdr:spPr>
    </xdr:pic>
    <xdr:clientData fLocksWithSheet="0"/>
  </xdr:oneCellAnchor>
  <xdr:oneCellAnchor>
    <xdr:from>
      <xdr:col>3</xdr:col>
      <xdr:colOff>0</xdr:colOff>
      <xdr:row>177</xdr:row>
      <xdr:rowOff>0</xdr:rowOff>
    </xdr:from>
    <xdr:ext cx="476250" cy="476250"/>
    <xdr:pic>
      <xdr:nvPicPr>
        <xdr:cNvPr id="0" name="image268.jpg"/>
        <xdr:cNvPicPr preferRelativeResize="0"/>
      </xdr:nvPicPr>
      <xdr:blipFill>
        <a:blip cstate="print" r:embed="rId134"/>
        <a:stretch>
          <a:fillRect/>
        </a:stretch>
      </xdr:blipFill>
      <xdr:spPr>
        <a:prstGeom prst="rect">
          <a:avLst/>
        </a:prstGeom>
        <a:noFill/>
      </xdr:spPr>
    </xdr:pic>
    <xdr:clientData fLocksWithSheet="0"/>
  </xdr:oneCellAnchor>
  <xdr:oneCellAnchor>
    <xdr:from>
      <xdr:col>3</xdr:col>
      <xdr:colOff>0</xdr:colOff>
      <xdr:row>178</xdr:row>
      <xdr:rowOff>0</xdr:rowOff>
    </xdr:from>
    <xdr:ext cx="476250" cy="476250"/>
    <xdr:pic>
      <xdr:nvPicPr>
        <xdr:cNvPr id="0" name="image516.jp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179</xdr:row>
      <xdr:rowOff>0</xdr:rowOff>
    </xdr:from>
    <xdr:ext cx="476250" cy="476250"/>
    <xdr:pic>
      <xdr:nvPicPr>
        <xdr:cNvPr id="0" name="image205.jpg"/>
        <xdr:cNvPicPr preferRelativeResize="0"/>
      </xdr:nvPicPr>
      <xdr:blipFill>
        <a:blip cstate="print" r:embed="rId133"/>
        <a:stretch>
          <a:fillRect/>
        </a:stretch>
      </xdr:blipFill>
      <xdr:spPr>
        <a:prstGeom prst="rect">
          <a:avLst/>
        </a:prstGeom>
        <a:noFill/>
      </xdr:spPr>
    </xdr:pic>
    <xdr:clientData fLocksWithSheet="0"/>
  </xdr:oneCellAnchor>
  <xdr:oneCellAnchor>
    <xdr:from>
      <xdr:col>3</xdr:col>
      <xdr:colOff>0</xdr:colOff>
      <xdr:row>180</xdr:row>
      <xdr:rowOff>0</xdr:rowOff>
    </xdr:from>
    <xdr:ext cx="476250" cy="476250"/>
    <xdr:pic>
      <xdr:nvPicPr>
        <xdr:cNvPr id="0" name="image125.jpg"/>
        <xdr:cNvPicPr preferRelativeResize="0"/>
      </xdr:nvPicPr>
      <xdr:blipFill>
        <a:blip cstate="print" r:embed="rId135"/>
        <a:stretch>
          <a:fillRect/>
        </a:stretch>
      </xdr:blipFill>
      <xdr:spPr>
        <a:prstGeom prst="rect">
          <a:avLst/>
        </a:prstGeom>
        <a:noFill/>
      </xdr:spPr>
    </xdr:pic>
    <xdr:clientData fLocksWithSheet="0"/>
  </xdr:oneCellAnchor>
  <xdr:oneCellAnchor>
    <xdr:from>
      <xdr:col>3</xdr:col>
      <xdr:colOff>0</xdr:colOff>
      <xdr:row>181</xdr:row>
      <xdr:rowOff>0</xdr:rowOff>
    </xdr:from>
    <xdr:ext cx="476250" cy="476250"/>
    <xdr:pic>
      <xdr:nvPicPr>
        <xdr:cNvPr id="0" name="image482.jp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182</xdr:row>
      <xdr:rowOff>0</xdr:rowOff>
    </xdr:from>
    <xdr:ext cx="476250" cy="476250"/>
    <xdr:pic>
      <xdr:nvPicPr>
        <xdr:cNvPr id="0" name="image515.jpg"/>
        <xdr:cNvPicPr preferRelativeResize="0"/>
      </xdr:nvPicPr>
      <xdr:blipFill>
        <a:blip cstate="print" r:embed="rId136"/>
        <a:stretch>
          <a:fillRect/>
        </a:stretch>
      </xdr:blipFill>
      <xdr:spPr>
        <a:prstGeom prst="rect">
          <a:avLst/>
        </a:prstGeom>
        <a:noFill/>
      </xdr:spPr>
    </xdr:pic>
    <xdr:clientData fLocksWithSheet="0"/>
  </xdr:oneCellAnchor>
  <xdr:oneCellAnchor>
    <xdr:from>
      <xdr:col>3</xdr:col>
      <xdr:colOff>0</xdr:colOff>
      <xdr:row>183</xdr:row>
      <xdr:rowOff>0</xdr:rowOff>
    </xdr:from>
    <xdr:ext cx="476250" cy="476250"/>
    <xdr:pic>
      <xdr:nvPicPr>
        <xdr:cNvPr id="0" name="image522.jpg"/>
        <xdr:cNvPicPr preferRelativeResize="0"/>
      </xdr:nvPicPr>
      <xdr:blipFill>
        <a:blip cstate="print" r:embed="rId137"/>
        <a:stretch>
          <a:fillRect/>
        </a:stretch>
      </xdr:blipFill>
      <xdr:spPr>
        <a:prstGeom prst="rect">
          <a:avLst/>
        </a:prstGeom>
        <a:noFill/>
      </xdr:spPr>
    </xdr:pic>
    <xdr:clientData fLocksWithSheet="0"/>
  </xdr:oneCellAnchor>
  <xdr:oneCellAnchor>
    <xdr:from>
      <xdr:col>3</xdr:col>
      <xdr:colOff>0</xdr:colOff>
      <xdr:row>184</xdr:row>
      <xdr:rowOff>0</xdr:rowOff>
    </xdr:from>
    <xdr:ext cx="476250" cy="476250"/>
    <xdr:pic>
      <xdr:nvPicPr>
        <xdr:cNvPr id="0" name="image186.jpg"/>
        <xdr:cNvPicPr preferRelativeResize="0"/>
      </xdr:nvPicPr>
      <xdr:blipFill>
        <a:blip cstate="print" r:embed="rId138"/>
        <a:stretch>
          <a:fillRect/>
        </a:stretch>
      </xdr:blipFill>
      <xdr:spPr>
        <a:prstGeom prst="rect">
          <a:avLst/>
        </a:prstGeom>
        <a:noFill/>
      </xdr:spPr>
    </xdr:pic>
    <xdr:clientData fLocksWithSheet="0"/>
  </xdr:oneCellAnchor>
  <xdr:oneCellAnchor>
    <xdr:from>
      <xdr:col>3</xdr:col>
      <xdr:colOff>0</xdr:colOff>
      <xdr:row>185</xdr:row>
      <xdr:rowOff>0</xdr:rowOff>
    </xdr:from>
    <xdr:ext cx="476250" cy="476250"/>
    <xdr:pic>
      <xdr:nvPicPr>
        <xdr:cNvPr id="0" name="image527.jpg"/>
        <xdr:cNvPicPr preferRelativeResize="0"/>
      </xdr:nvPicPr>
      <xdr:blipFill>
        <a:blip cstate="print" r:embed="rId139"/>
        <a:stretch>
          <a:fillRect/>
        </a:stretch>
      </xdr:blipFill>
      <xdr:spPr>
        <a:prstGeom prst="rect">
          <a:avLst/>
        </a:prstGeom>
        <a:noFill/>
      </xdr:spPr>
    </xdr:pic>
    <xdr:clientData fLocksWithSheet="0"/>
  </xdr:oneCellAnchor>
  <xdr:oneCellAnchor>
    <xdr:from>
      <xdr:col>3</xdr:col>
      <xdr:colOff>0</xdr:colOff>
      <xdr:row>186</xdr:row>
      <xdr:rowOff>0</xdr:rowOff>
    </xdr:from>
    <xdr:ext cx="476250" cy="476250"/>
    <xdr:pic>
      <xdr:nvPicPr>
        <xdr:cNvPr id="0" name="image524.jpg"/>
        <xdr:cNvPicPr preferRelativeResize="0"/>
      </xdr:nvPicPr>
      <xdr:blipFill>
        <a:blip cstate="print" r:embed="rId82"/>
        <a:stretch>
          <a:fillRect/>
        </a:stretch>
      </xdr:blipFill>
      <xdr:spPr>
        <a:prstGeom prst="rect">
          <a:avLst/>
        </a:prstGeom>
        <a:noFill/>
      </xdr:spPr>
    </xdr:pic>
    <xdr:clientData fLocksWithSheet="0"/>
  </xdr:oneCellAnchor>
  <xdr:oneCellAnchor>
    <xdr:from>
      <xdr:col>3</xdr:col>
      <xdr:colOff>0</xdr:colOff>
      <xdr:row>187</xdr:row>
      <xdr:rowOff>0</xdr:rowOff>
    </xdr:from>
    <xdr:ext cx="476250" cy="476250"/>
    <xdr:pic>
      <xdr:nvPicPr>
        <xdr:cNvPr id="0" name="image303.jpg"/>
        <xdr:cNvPicPr preferRelativeResize="0"/>
      </xdr:nvPicPr>
      <xdr:blipFill>
        <a:blip cstate="print" r:embed="rId112"/>
        <a:stretch>
          <a:fillRect/>
        </a:stretch>
      </xdr:blipFill>
      <xdr:spPr>
        <a:prstGeom prst="rect">
          <a:avLst/>
        </a:prstGeom>
        <a:noFill/>
      </xdr:spPr>
    </xdr:pic>
    <xdr:clientData fLocksWithSheet="0"/>
  </xdr:oneCellAnchor>
  <xdr:oneCellAnchor>
    <xdr:from>
      <xdr:col>3</xdr:col>
      <xdr:colOff>0</xdr:colOff>
      <xdr:row>188</xdr:row>
      <xdr:rowOff>0</xdr:rowOff>
    </xdr:from>
    <xdr:ext cx="476250" cy="476250"/>
    <xdr:pic>
      <xdr:nvPicPr>
        <xdr:cNvPr id="0" name="image533.jpg"/>
        <xdr:cNvPicPr preferRelativeResize="0"/>
      </xdr:nvPicPr>
      <xdr:blipFill>
        <a:blip cstate="print" r:embed="rId140"/>
        <a:stretch>
          <a:fillRect/>
        </a:stretch>
      </xdr:blipFill>
      <xdr:spPr>
        <a:prstGeom prst="rect">
          <a:avLst/>
        </a:prstGeom>
        <a:noFill/>
      </xdr:spPr>
    </xdr:pic>
    <xdr:clientData fLocksWithSheet="0"/>
  </xdr:oneCellAnchor>
  <xdr:oneCellAnchor>
    <xdr:from>
      <xdr:col>3</xdr:col>
      <xdr:colOff>0</xdr:colOff>
      <xdr:row>189</xdr:row>
      <xdr:rowOff>0</xdr:rowOff>
    </xdr:from>
    <xdr:ext cx="476250" cy="476250"/>
    <xdr:pic>
      <xdr:nvPicPr>
        <xdr:cNvPr id="0" name="image150.jpg"/>
        <xdr:cNvPicPr preferRelativeResize="0"/>
      </xdr:nvPicPr>
      <xdr:blipFill>
        <a:blip cstate="print" r:embed="rId141"/>
        <a:stretch>
          <a:fillRect/>
        </a:stretch>
      </xdr:blipFill>
      <xdr:spPr>
        <a:prstGeom prst="rect">
          <a:avLst/>
        </a:prstGeom>
        <a:noFill/>
      </xdr:spPr>
    </xdr:pic>
    <xdr:clientData fLocksWithSheet="0"/>
  </xdr:oneCellAnchor>
  <xdr:oneCellAnchor>
    <xdr:from>
      <xdr:col>3</xdr:col>
      <xdr:colOff>0</xdr:colOff>
      <xdr:row>190</xdr:row>
      <xdr:rowOff>0</xdr:rowOff>
    </xdr:from>
    <xdr:ext cx="476250" cy="476250"/>
    <xdr:pic>
      <xdr:nvPicPr>
        <xdr:cNvPr id="0" name="image141.jpg"/>
        <xdr:cNvPicPr preferRelativeResize="0"/>
      </xdr:nvPicPr>
      <xdr:blipFill>
        <a:blip cstate="print" r:embed="rId142"/>
        <a:stretch>
          <a:fillRect/>
        </a:stretch>
      </xdr:blipFill>
      <xdr:spPr>
        <a:prstGeom prst="rect">
          <a:avLst/>
        </a:prstGeom>
        <a:noFill/>
      </xdr:spPr>
    </xdr:pic>
    <xdr:clientData fLocksWithSheet="0"/>
  </xdr:oneCellAnchor>
  <xdr:oneCellAnchor>
    <xdr:from>
      <xdr:col>3</xdr:col>
      <xdr:colOff>0</xdr:colOff>
      <xdr:row>191</xdr:row>
      <xdr:rowOff>0</xdr:rowOff>
    </xdr:from>
    <xdr:ext cx="476250" cy="476250"/>
    <xdr:pic>
      <xdr:nvPicPr>
        <xdr:cNvPr id="0" name="image93.jpg"/>
        <xdr:cNvPicPr preferRelativeResize="0"/>
      </xdr:nvPicPr>
      <xdr:blipFill>
        <a:blip cstate="print" r:embed="rId143"/>
        <a:stretch>
          <a:fillRect/>
        </a:stretch>
      </xdr:blipFill>
      <xdr:spPr>
        <a:prstGeom prst="rect">
          <a:avLst/>
        </a:prstGeom>
        <a:noFill/>
      </xdr:spPr>
    </xdr:pic>
    <xdr:clientData fLocksWithSheet="0"/>
  </xdr:oneCellAnchor>
  <xdr:oneCellAnchor>
    <xdr:from>
      <xdr:col>3</xdr:col>
      <xdr:colOff>0</xdr:colOff>
      <xdr:row>192</xdr:row>
      <xdr:rowOff>0</xdr:rowOff>
    </xdr:from>
    <xdr:ext cx="476250" cy="476250"/>
    <xdr:pic>
      <xdr:nvPicPr>
        <xdr:cNvPr id="0" name="image513.jpg"/>
        <xdr:cNvPicPr preferRelativeResize="0"/>
      </xdr:nvPicPr>
      <xdr:blipFill>
        <a:blip cstate="print" r:embed="rId101"/>
        <a:stretch>
          <a:fillRect/>
        </a:stretch>
      </xdr:blipFill>
      <xdr:spPr>
        <a:prstGeom prst="rect">
          <a:avLst/>
        </a:prstGeom>
        <a:noFill/>
      </xdr:spPr>
    </xdr:pic>
    <xdr:clientData fLocksWithSheet="0"/>
  </xdr:oneCellAnchor>
  <xdr:oneCellAnchor>
    <xdr:from>
      <xdr:col>3</xdr:col>
      <xdr:colOff>0</xdr:colOff>
      <xdr:row>193</xdr:row>
      <xdr:rowOff>0</xdr:rowOff>
    </xdr:from>
    <xdr:ext cx="476250" cy="476250"/>
    <xdr:pic>
      <xdr:nvPicPr>
        <xdr:cNvPr id="0" name="image534.jpg"/>
        <xdr:cNvPicPr preferRelativeResize="0"/>
      </xdr:nvPicPr>
      <xdr:blipFill>
        <a:blip cstate="print" r:embed="rId144"/>
        <a:stretch>
          <a:fillRect/>
        </a:stretch>
      </xdr:blipFill>
      <xdr:spPr>
        <a:prstGeom prst="rect">
          <a:avLst/>
        </a:prstGeom>
        <a:noFill/>
      </xdr:spPr>
    </xdr:pic>
    <xdr:clientData fLocksWithSheet="0"/>
  </xdr:oneCellAnchor>
  <xdr:oneCellAnchor>
    <xdr:from>
      <xdr:col>3</xdr:col>
      <xdr:colOff>0</xdr:colOff>
      <xdr:row>194</xdr:row>
      <xdr:rowOff>0</xdr:rowOff>
    </xdr:from>
    <xdr:ext cx="476250" cy="476250"/>
    <xdr:pic>
      <xdr:nvPicPr>
        <xdr:cNvPr id="0" name="image532.jpg"/>
        <xdr:cNvPicPr preferRelativeResize="0"/>
      </xdr:nvPicPr>
      <xdr:blipFill>
        <a:blip cstate="print" r:embed="rId145"/>
        <a:stretch>
          <a:fillRect/>
        </a:stretch>
      </xdr:blipFill>
      <xdr:spPr>
        <a:prstGeom prst="rect">
          <a:avLst/>
        </a:prstGeom>
        <a:noFill/>
      </xdr:spPr>
    </xdr:pic>
    <xdr:clientData fLocksWithSheet="0"/>
  </xdr:oneCellAnchor>
  <xdr:oneCellAnchor>
    <xdr:from>
      <xdr:col>3</xdr:col>
      <xdr:colOff>0</xdr:colOff>
      <xdr:row>195</xdr:row>
      <xdr:rowOff>0</xdr:rowOff>
    </xdr:from>
    <xdr:ext cx="476250" cy="476250"/>
    <xdr:pic>
      <xdr:nvPicPr>
        <xdr:cNvPr id="0" name="image494.jp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196</xdr:row>
      <xdr:rowOff>0</xdr:rowOff>
    </xdr:from>
    <xdr:ext cx="476250" cy="476250"/>
    <xdr:pic>
      <xdr:nvPicPr>
        <xdr:cNvPr id="0" name="image279.jpg"/>
        <xdr:cNvPicPr preferRelativeResize="0"/>
      </xdr:nvPicPr>
      <xdr:blipFill>
        <a:blip cstate="print" r:embed="rId146"/>
        <a:stretch>
          <a:fillRect/>
        </a:stretch>
      </xdr:blipFill>
      <xdr:spPr>
        <a:prstGeom prst="rect">
          <a:avLst/>
        </a:prstGeom>
        <a:noFill/>
      </xdr:spPr>
    </xdr:pic>
    <xdr:clientData fLocksWithSheet="0"/>
  </xdr:oneCellAnchor>
  <xdr:oneCellAnchor>
    <xdr:from>
      <xdr:col>3</xdr:col>
      <xdr:colOff>0</xdr:colOff>
      <xdr:row>197</xdr:row>
      <xdr:rowOff>0</xdr:rowOff>
    </xdr:from>
    <xdr:ext cx="476250" cy="476250"/>
    <xdr:pic>
      <xdr:nvPicPr>
        <xdr:cNvPr id="0" name="image247.jpg"/>
        <xdr:cNvPicPr preferRelativeResize="0"/>
      </xdr:nvPicPr>
      <xdr:blipFill>
        <a:blip cstate="print" r:embed="rId147"/>
        <a:stretch>
          <a:fillRect/>
        </a:stretch>
      </xdr:blipFill>
      <xdr:spPr>
        <a:prstGeom prst="rect">
          <a:avLst/>
        </a:prstGeom>
        <a:noFill/>
      </xdr:spPr>
    </xdr:pic>
    <xdr:clientData fLocksWithSheet="0"/>
  </xdr:oneCellAnchor>
  <xdr:oneCellAnchor>
    <xdr:from>
      <xdr:col>3</xdr:col>
      <xdr:colOff>0</xdr:colOff>
      <xdr:row>198</xdr:row>
      <xdr:rowOff>0</xdr:rowOff>
    </xdr:from>
    <xdr:ext cx="476250" cy="476250"/>
    <xdr:pic>
      <xdr:nvPicPr>
        <xdr:cNvPr id="0" name="image310.jpg"/>
        <xdr:cNvPicPr preferRelativeResize="0"/>
      </xdr:nvPicPr>
      <xdr:blipFill>
        <a:blip cstate="print" r:embed="rId128"/>
        <a:stretch>
          <a:fillRect/>
        </a:stretch>
      </xdr:blipFill>
      <xdr:spPr>
        <a:prstGeom prst="rect">
          <a:avLst/>
        </a:prstGeom>
        <a:noFill/>
      </xdr:spPr>
    </xdr:pic>
    <xdr:clientData fLocksWithSheet="0"/>
  </xdr:oneCellAnchor>
  <xdr:oneCellAnchor>
    <xdr:from>
      <xdr:col>3</xdr:col>
      <xdr:colOff>0</xdr:colOff>
      <xdr:row>199</xdr:row>
      <xdr:rowOff>0</xdr:rowOff>
    </xdr:from>
    <xdr:ext cx="476250" cy="476250"/>
    <xdr:pic>
      <xdr:nvPicPr>
        <xdr:cNvPr id="0" name="image526.jpg"/>
        <xdr:cNvPicPr preferRelativeResize="0"/>
      </xdr:nvPicPr>
      <xdr:blipFill>
        <a:blip cstate="print" r:embed="rId148"/>
        <a:stretch>
          <a:fillRect/>
        </a:stretch>
      </xdr:blipFill>
      <xdr:spPr>
        <a:prstGeom prst="rect">
          <a:avLst/>
        </a:prstGeom>
        <a:noFill/>
      </xdr:spPr>
    </xdr:pic>
    <xdr:clientData fLocksWithSheet="0"/>
  </xdr:oneCellAnchor>
  <xdr:oneCellAnchor>
    <xdr:from>
      <xdr:col>3</xdr:col>
      <xdr:colOff>0</xdr:colOff>
      <xdr:row>200</xdr:row>
      <xdr:rowOff>0</xdr:rowOff>
    </xdr:from>
    <xdr:ext cx="476250" cy="476250"/>
    <xdr:pic>
      <xdr:nvPicPr>
        <xdr:cNvPr id="0" name="image539.jpg"/>
        <xdr:cNvPicPr preferRelativeResize="0"/>
      </xdr:nvPicPr>
      <xdr:blipFill>
        <a:blip cstate="print" r:embed="rId149"/>
        <a:stretch>
          <a:fillRect/>
        </a:stretch>
      </xdr:blipFill>
      <xdr:spPr>
        <a:prstGeom prst="rect">
          <a:avLst/>
        </a:prstGeom>
        <a:noFill/>
      </xdr:spPr>
    </xdr:pic>
    <xdr:clientData fLocksWithSheet="0"/>
  </xdr:oneCellAnchor>
  <xdr:oneCellAnchor>
    <xdr:from>
      <xdr:col>3</xdr:col>
      <xdr:colOff>0</xdr:colOff>
      <xdr:row>201</xdr:row>
      <xdr:rowOff>0</xdr:rowOff>
    </xdr:from>
    <xdr:ext cx="476250" cy="476250"/>
    <xdr:pic>
      <xdr:nvPicPr>
        <xdr:cNvPr id="0" name="image528.jpg"/>
        <xdr:cNvPicPr preferRelativeResize="0"/>
      </xdr:nvPicPr>
      <xdr:blipFill>
        <a:blip cstate="print" r:embed="rId150"/>
        <a:stretch>
          <a:fillRect/>
        </a:stretch>
      </xdr:blipFill>
      <xdr:spPr>
        <a:prstGeom prst="rect">
          <a:avLst/>
        </a:prstGeom>
        <a:noFill/>
      </xdr:spPr>
    </xdr:pic>
    <xdr:clientData fLocksWithSheet="0"/>
  </xdr:oneCellAnchor>
  <xdr:oneCellAnchor>
    <xdr:from>
      <xdr:col>3</xdr:col>
      <xdr:colOff>0</xdr:colOff>
      <xdr:row>202</xdr:row>
      <xdr:rowOff>0</xdr:rowOff>
    </xdr:from>
    <xdr:ext cx="476250" cy="476250"/>
    <xdr:pic>
      <xdr:nvPicPr>
        <xdr:cNvPr id="0" name="image105.jpg"/>
        <xdr:cNvPicPr preferRelativeResize="0"/>
      </xdr:nvPicPr>
      <xdr:blipFill>
        <a:blip cstate="print" r:embed="rId151"/>
        <a:stretch>
          <a:fillRect/>
        </a:stretch>
      </xdr:blipFill>
      <xdr:spPr>
        <a:prstGeom prst="rect">
          <a:avLst/>
        </a:prstGeom>
        <a:noFill/>
      </xdr:spPr>
    </xdr:pic>
    <xdr:clientData fLocksWithSheet="0"/>
  </xdr:oneCellAnchor>
  <xdr:oneCellAnchor>
    <xdr:from>
      <xdr:col>3</xdr:col>
      <xdr:colOff>0</xdr:colOff>
      <xdr:row>203</xdr:row>
      <xdr:rowOff>0</xdr:rowOff>
    </xdr:from>
    <xdr:ext cx="476250" cy="476250"/>
    <xdr:pic>
      <xdr:nvPicPr>
        <xdr:cNvPr id="0" name="image232.jpg"/>
        <xdr:cNvPicPr preferRelativeResize="0"/>
      </xdr:nvPicPr>
      <xdr:blipFill>
        <a:blip cstate="print" r:embed="rId152"/>
        <a:stretch>
          <a:fillRect/>
        </a:stretch>
      </xdr:blipFill>
      <xdr:spPr>
        <a:prstGeom prst="rect">
          <a:avLst/>
        </a:prstGeom>
        <a:noFill/>
      </xdr:spPr>
    </xdr:pic>
    <xdr:clientData fLocksWithSheet="0"/>
  </xdr:oneCellAnchor>
  <xdr:oneCellAnchor>
    <xdr:from>
      <xdr:col>3</xdr:col>
      <xdr:colOff>0</xdr:colOff>
      <xdr:row>204</xdr:row>
      <xdr:rowOff>0</xdr:rowOff>
    </xdr:from>
    <xdr:ext cx="476250" cy="476250"/>
    <xdr:pic>
      <xdr:nvPicPr>
        <xdr:cNvPr id="0" name="image181.jpg"/>
        <xdr:cNvPicPr preferRelativeResize="0"/>
      </xdr:nvPicPr>
      <xdr:blipFill>
        <a:blip cstate="print" r:embed="rId87"/>
        <a:stretch>
          <a:fillRect/>
        </a:stretch>
      </xdr:blipFill>
      <xdr:spPr>
        <a:prstGeom prst="rect">
          <a:avLst/>
        </a:prstGeom>
        <a:noFill/>
      </xdr:spPr>
    </xdr:pic>
    <xdr:clientData fLocksWithSheet="0"/>
  </xdr:oneCellAnchor>
  <xdr:oneCellAnchor>
    <xdr:from>
      <xdr:col>3</xdr:col>
      <xdr:colOff>0</xdr:colOff>
      <xdr:row>205</xdr:row>
      <xdr:rowOff>0</xdr:rowOff>
    </xdr:from>
    <xdr:ext cx="476250" cy="476250"/>
    <xdr:pic>
      <xdr:nvPicPr>
        <xdr:cNvPr id="0" name="image408.jpg"/>
        <xdr:cNvPicPr preferRelativeResize="0"/>
      </xdr:nvPicPr>
      <xdr:blipFill>
        <a:blip cstate="print" r:embed="rId153"/>
        <a:stretch>
          <a:fillRect/>
        </a:stretch>
      </xdr:blipFill>
      <xdr:spPr>
        <a:prstGeom prst="rect">
          <a:avLst/>
        </a:prstGeom>
        <a:noFill/>
      </xdr:spPr>
    </xdr:pic>
    <xdr:clientData fLocksWithSheet="0"/>
  </xdr:oneCellAnchor>
  <xdr:oneCellAnchor>
    <xdr:from>
      <xdr:col>3</xdr:col>
      <xdr:colOff>0</xdr:colOff>
      <xdr:row>206</xdr:row>
      <xdr:rowOff>0</xdr:rowOff>
    </xdr:from>
    <xdr:ext cx="476250" cy="476250"/>
    <xdr:pic>
      <xdr:nvPicPr>
        <xdr:cNvPr id="0" name="image292.jpg"/>
        <xdr:cNvPicPr preferRelativeResize="0"/>
      </xdr:nvPicPr>
      <xdr:blipFill>
        <a:blip cstate="print" r:embed="rId90"/>
        <a:stretch>
          <a:fillRect/>
        </a:stretch>
      </xdr:blipFill>
      <xdr:spPr>
        <a:prstGeom prst="rect">
          <a:avLst/>
        </a:prstGeom>
        <a:noFill/>
      </xdr:spPr>
    </xdr:pic>
    <xdr:clientData fLocksWithSheet="0"/>
  </xdr:oneCellAnchor>
  <xdr:oneCellAnchor>
    <xdr:from>
      <xdr:col>3</xdr:col>
      <xdr:colOff>0</xdr:colOff>
      <xdr:row>207</xdr:row>
      <xdr:rowOff>0</xdr:rowOff>
    </xdr:from>
    <xdr:ext cx="476250" cy="476250"/>
    <xdr:pic>
      <xdr:nvPicPr>
        <xdr:cNvPr id="0" name="image172.jpg"/>
        <xdr:cNvPicPr preferRelativeResize="0"/>
      </xdr:nvPicPr>
      <xdr:blipFill>
        <a:blip cstate="print" r:embed="rId154"/>
        <a:stretch>
          <a:fillRect/>
        </a:stretch>
      </xdr:blipFill>
      <xdr:spPr>
        <a:prstGeom prst="rect">
          <a:avLst/>
        </a:prstGeom>
        <a:noFill/>
      </xdr:spPr>
    </xdr:pic>
    <xdr:clientData fLocksWithSheet="0"/>
  </xdr:oneCellAnchor>
  <xdr:oneCellAnchor>
    <xdr:from>
      <xdr:col>3</xdr:col>
      <xdr:colOff>0</xdr:colOff>
      <xdr:row>208</xdr:row>
      <xdr:rowOff>0</xdr:rowOff>
    </xdr:from>
    <xdr:ext cx="476250" cy="476250"/>
    <xdr:pic>
      <xdr:nvPicPr>
        <xdr:cNvPr id="0" name="image602.jpg"/>
        <xdr:cNvPicPr preferRelativeResize="0"/>
      </xdr:nvPicPr>
      <xdr:blipFill>
        <a:blip cstate="print" r:embed="rId155"/>
        <a:stretch>
          <a:fillRect/>
        </a:stretch>
      </xdr:blipFill>
      <xdr:spPr>
        <a:prstGeom prst="rect">
          <a:avLst/>
        </a:prstGeom>
        <a:noFill/>
      </xdr:spPr>
    </xdr:pic>
    <xdr:clientData fLocksWithSheet="0"/>
  </xdr:oneCellAnchor>
  <xdr:oneCellAnchor>
    <xdr:from>
      <xdr:col>3</xdr:col>
      <xdr:colOff>0</xdr:colOff>
      <xdr:row>209</xdr:row>
      <xdr:rowOff>0</xdr:rowOff>
    </xdr:from>
    <xdr:ext cx="476250" cy="476250"/>
    <xdr:pic>
      <xdr:nvPicPr>
        <xdr:cNvPr id="0" name="image528.jpg"/>
        <xdr:cNvPicPr preferRelativeResize="0"/>
      </xdr:nvPicPr>
      <xdr:blipFill>
        <a:blip cstate="print" r:embed="rId150"/>
        <a:stretch>
          <a:fillRect/>
        </a:stretch>
      </xdr:blipFill>
      <xdr:spPr>
        <a:prstGeom prst="rect">
          <a:avLst/>
        </a:prstGeom>
        <a:noFill/>
      </xdr:spPr>
    </xdr:pic>
    <xdr:clientData fLocksWithSheet="0"/>
  </xdr:oneCellAnchor>
  <xdr:oneCellAnchor>
    <xdr:from>
      <xdr:col>3</xdr:col>
      <xdr:colOff>0</xdr:colOff>
      <xdr:row>210</xdr:row>
      <xdr:rowOff>0</xdr:rowOff>
    </xdr:from>
    <xdr:ext cx="476250" cy="476250"/>
    <xdr:pic>
      <xdr:nvPicPr>
        <xdr:cNvPr id="0" name="image111.jpg"/>
        <xdr:cNvPicPr preferRelativeResize="0"/>
      </xdr:nvPicPr>
      <xdr:blipFill>
        <a:blip cstate="print" r:embed="rId156"/>
        <a:stretch>
          <a:fillRect/>
        </a:stretch>
      </xdr:blipFill>
      <xdr:spPr>
        <a:prstGeom prst="rect">
          <a:avLst/>
        </a:prstGeom>
        <a:noFill/>
      </xdr:spPr>
    </xdr:pic>
    <xdr:clientData fLocksWithSheet="0"/>
  </xdr:oneCellAnchor>
  <xdr:oneCellAnchor>
    <xdr:from>
      <xdr:col>3</xdr:col>
      <xdr:colOff>0</xdr:colOff>
      <xdr:row>211</xdr:row>
      <xdr:rowOff>0</xdr:rowOff>
    </xdr:from>
    <xdr:ext cx="476250" cy="476250"/>
    <xdr:pic>
      <xdr:nvPicPr>
        <xdr:cNvPr id="0" name="image232.jpg"/>
        <xdr:cNvPicPr preferRelativeResize="0"/>
      </xdr:nvPicPr>
      <xdr:blipFill>
        <a:blip cstate="print" r:embed="rId152"/>
        <a:stretch>
          <a:fillRect/>
        </a:stretch>
      </xdr:blipFill>
      <xdr:spPr>
        <a:prstGeom prst="rect">
          <a:avLst/>
        </a:prstGeom>
        <a:noFill/>
      </xdr:spPr>
    </xdr:pic>
    <xdr:clientData fLocksWithSheet="0"/>
  </xdr:oneCellAnchor>
  <xdr:oneCellAnchor>
    <xdr:from>
      <xdr:col>3</xdr:col>
      <xdr:colOff>0</xdr:colOff>
      <xdr:row>212</xdr:row>
      <xdr:rowOff>0</xdr:rowOff>
    </xdr:from>
    <xdr:ext cx="476250" cy="476250"/>
    <xdr:pic>
      <xdr:nvPicPr>
        <xdr:cNvPr id="0" name="image536.jpg"/>
        <xdr:cNvPicPr preferRelativeResize="0"/>
      </xdr:nvPicPr>
      <xdr:blipFill>
        <a:blip cstate="print" r:embed="rId157"/>
        <a:stretch>
          <a:fillRect/>
        </a:stretch>
      </xdr:blipFill>
      <xdr:spPr>
        <a:prstGeom prst="rect">
          <a:avLst/>
        </a:prstGeom>
        <a:noFill/>
      </xdr:spPr>
    </xdr:pic>
    <xdr:clientData fLocksWithSheet="0"/>
  </xdr:oneCellAnchor>
  <xdr:oneCellAnchor>
    <xdr:from>
      <xdr:col>3</xdr:col>
      <xdr:colOff>0</xdr:colOff>
      <xdr:row>213</xdr:row>
      <xdr:rowOff>0</xdr:rowOff>
    </xdr:from>
    <xdr:ext cx="476250" cy="476250"/>
    <xdr:pic>
      <xdr:nvPicPr>
        <xdr:cNvPr id="0" name="image112.jpg"/>
        <xdr:cNvPicPr preferRelativeResize="0"/>
      </xdr:nvPicPr>
      <xdr:blipFill>
        <a:blip cstate="print" r:embed="rId158"/>
        <a:stretch>
          <a:fillRect/>
        </a:stretch>
      </xdr:blipFill>
      <xdr:spPr>
        <a:prstGeom prst="rect">
          <a:avLst/>
        </a:prstGeom>
        <a:noFill/>
      </xdr:spPr>
    </xdr:pic>
    <xdr:clientData fLocksWithSheet="0"/>
  </xdr:oneCellAnchor>
  <xdr:oneCellAnchor>
    <xdr:from>
      <xdr:col>3</xdr:col>
      <xdr:colOff>0</xdr:colOff>
      <xdr:row>214</xdr:row>
      <xdr:rowOff>0</xdr:rowOff>
    </xdr:from>
    <xdr:ext cx="476250" cy="476250"/>
    <xdr:pic>
      <xdr:nvPicPr>
        <xdr:cNvPr id="0" name="image318.jpg"/>
        <xdr:cNvPicPr preferRelativeResize="0"/>
      </xdr:nvPicPr>
      <xdr:blipFill>
        <a:blip cstate="print" r:embed="rId159"/>
        <a:stretch>
          <a:fillRect/>
        </a:stretch>
      </xdr:blipFill>
      <xdr:spPr>
        <a:prstGeom prst="rect">
          <a:avLst/>
        </a:prstGeom>
        <a:noFill/>
      </xdr:spPr>
    </xdr:pic>
    <xdr:clientData fLocksWithSheet="0"/>
  </xdr:oneCellAnchor>
  <xdr:oneCellAnchor>
    <xdr:from>
      <xdr:col>3</xdr:col>
      <xdr:colOff>0</xdr:colOff>
      <xdr:row>215</xdr:row>
      <xdr:rowOff>0</xdr:rowOff>
    </xdr:from>
    <xdr:ext cx="476250" cy="476250"/>
    <xdr:pic>
      <xdr:nvPicPr>
        <xdr:cNvPr id="0" name="image545.jpg"/>
        <xdr:cNvPicPr preferRelativeResize="0"/>
      </xdr:nvPicPr>
      <xdr:blipFill>
        <a:blip cstate="print" r:embed="rId160"/>
        <a:stretch>
          <a:fillRect/>
        </a:stretch>
      </xdr:blipFill>
      <xdr:spPr>
        <a:prstGeom prst="rect">
          <a:avLst/>
        </a:prstGeom>
        <a:noFill/>
      </xdr:spPr>
    </xdr:pic>
    <xdr:clientData fLocksWithSheet="0"/>
  </xdr:oneCellAnchor>
  <xdr:oneCellAnchor>
    <xdr:from>
      <xdr:col>3</xdr:col>
      <xdr:colOff>0</xdr:colOff>
      <xdr:row>216</xdr:row>
      <xdr:rowOff>0</xdr:rowOff>
    </xdr:from>
    <xdr:ext cx="466725" cy="476250"/>
    <xdr:pic>
      <xdr:nvPicPr>
        <xdr:cNvPr id="0" name="image535.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217</xdr:row>
      <xdr:rowOff>0</xdr:rowOff>
    </xdr:from>
    <xdr:ext cx="476250" cy="476250"/>
    <xdr:pic>
      <xdr:nvPicPr>
        <xdr:cNvPr id="0" name="image96.jpg"/>
        <xdr:cNvPicPr preferRelativeResize="0"/>
      </xdr:nvPicPr>
      <xdr:blipFill>
        <a:blip cstate="print" r:embed="rId162"/>
        <a:stretch>
          <a:fillRect/>
        </a:stretch>
      </xdr:blipFill>
      <xdr:spPr>
        <a:prstGeom prst="rect">
          <a:avLst/>
        </a:prstGeom>
        <a:noFill/>
      </xdr:spPr>
    </xdr:pic>
    <xdr:clientData fLocksWithSheet="0"/>
  </xdr:oneCellAnchor>
  <xdr:oneCellAnchor>
    <xdr:from>
      <xdr:col>3</xdr:col>
      <xdr:colOff>0</xdr:colOff>
      <xdr:row>218</xdr:row>
      <xdr:rowOff>0</xdr:rowOff>
    </xdr:from>
    <xdr:ext cx="476250" cy="476250"/>
    <xdr:pic>
      <xdr:nvPicPr>
        <xdr:cNvPr id="0" name="image176.jpg"/>
        <xdr:cNvPicPr preferRelativeResize="0"/>
      </xdr:nvPicPr>
      <xdr:blipFill>
        <a:blip cstate="print" r:embed="rId163"/>
        <a:stretch>
          <a:fillRect/>
        </a:stretch>
      </xdr:blipFill>
      <xdr:spPr>
        <a:prstGeom prst="rect">
          <a:avLst/>
        </a:prstGeom>
        <a:noFill/>
      </xdr:spPr>
    </xdr:pic>
    <xdr:clientData fLocksWithSheet="0"/>
  </xdr:oneCellAnchor>
  <xdr:oneCellAnchor>
    <xdr:from>
      <xdr:col>3</xdr:col>
      <xdr:colOff>0</xdr:colOff>
      <xdr:row>219</xdr:row>
      <xdr:rowOff>0</xdr:rowOff>
    </xdr:from>
    <xdr:ext cx="476250" cy="476250"/>
    <xdr:pic>
      <xdr:nvPicPr>
        <xdr:cNvPr id="0" name="image95.jpg"/>
        <xdr:cNvPicPr preferRelativeResize="0"/>
      </xdr:nvPicPr>
      <xdr:blipFill>
        <a:blip cstate="print" r:embed="rId164"/>
        <a:stretch>
          <a:fillRect/>
        </a:stretch>
      </xdr:blipFill>
      <xdr:spPr>
        <a:prstGeom prst="rect">
          <a:avLst/>
        </a:prstGeom>
        <a:noFill/>
      </xdr:spPr>
    </xdr:pic>
    <xdr:clientData fLocksWithSheet="0"/>
  </xdr:oneCellAnchor>
  <xdr:oneCellAnchor>
    <xdr:from>
      <xdr:col>3</xdr:col>
      <xdr:colOff>0</xdr:colOff>
      <xdr:row>220</xdr:row>
      <xdr:rowOff>0</xdr:rowOff>
    </xdr:from>
    <xdr:ext cx="476250" cy="476250"/>
    <xdr:pic>
      <xdr:nvPicPr>
        <xdr:cNvPr id="0" name="image318.jpg"/>
        <xdr:cNvPicPr preferRelativeResize="0"/>
      </xdr:nvPicPr>
      <xdr:blipFill>
        <a:blip cstate="print" r:embed="rId159"/>
        <a:stretch>
          <a:fillRect/>
        </a:stretch>
      </xdr:blipFill>
      <xdr:spPr>
        <a:prstGeom prst="rect">
          <a:avLst/>
        </a:prstGeom>
        <a:noFill/>
      </xdr:spPr>
    </xdr:pic>
    <xdr:clientData fLocksWithSheet="0"/>
  </xdr:oneCellAnchor>
  <xdr:oneCellAnchor>
    <xdr:from>
      <xdr:col>3</xdr:col>
      <xdr:colOff>0</xdr:colOff>
      <xdr:row>221</xdr:row>
      <xdr:rowOff>0</xdr:rowOff>
    </xdr:from>
    <xdr:ext cx="476250" cy="476250"/>
    <xdr:pic>
      <xdr:nvPicPr>
        <xdr:cNvPr id="0" name="image547.jpg"/>
        <xdr:cNvPicPr preferRelativeResize="0"/>
      </xdr:nvPicPr>
      <xdr:blipFill>
        <a:blip cstate="print" r:embed="rId165"/>
        <a:stretch>
          <a:fillRect/>
        </a:stretch>
      </xdr:blipFill>
      <xdr:spPr>
        <a:prstGeom prst="rect">
          <a:avLst/>
        </a:prstGeom>
        <a:noFill/>
      </xdr:spPr>
    </xdr:pic>
    <xdr:clientData fLocksWithSheet="0"/>
  </xdr:oneCellAnchor>
  <xdr:oneCellAnchor>
    <xdr:from>
      <xdr:col>3</xdr:col>
      <xdr:colOff>0</xdr:colOff>
      <xdr:row>222</xdr:row>
      <xdr:rowOff>0</xdr:rowOff>
    </xdr:from>
    <xdr:ext cx="476250" cy="476250"/>
    <xdr:pic>
      <xdr:nvPicPr>
        <xdr:cNvPr id="0" name="image537.png"/>
        <xdr:cNvPicPr preferRelativeResize="0"/>
      </xdr:nvPicPr>
      <xdr:blipFill>
        <a:blip cstate="print" r:embed="rId166"/>
        <a:stretch>
          <a:fillRect/>
        </a:stretch>
      </xdr:blipFill>
      <xdr:spPr>
        <a:prstGeom prst="rect">
          <a:avLst/>
        </a:prstGeom>
        <a:noFill/>
      </xdr:spPr>
    </xdr:pic>
    <xdr:clientData fLocksWithSheet="0"/>
  </xdr:oneCellAnchor>
  <xdr:oneCellAnchor>
    <xdr:from>
      <xdr:col>3</xdr:col>
      <xdr:colOff>0</xdr:colOff>
      <xdr:row>223</xdr:row>
      <xdr:rowOff>0</xdr:rowOff>
    </xdr:from>
    <xdr:ext cx="476250" cy="476250"/>
    <xdr:pic>
      <xdr:nvPicPr>
        <xdr:cNvPr id="0" name="image544.jpg"/>
        <xdr:cNvPicPr preferRelativeResize="0"/>
      </xdr:nvPicPr>
      <xdr:blipFill>
        <a:blip cstate="print" r:embed="rId167"/>
        <a:stretch>
          <a:fillRect/>
        </a:stretch>
      </xdr:blipFill>
      <xdr:spPr>
        <a:prstGeom prst="rect">
          <a:avLst/>
        </a:prstGeom>
        <a:noFill/>
      </xdr:spPr>
    </xdr:pic>
    <xdr:clientData fLocksWithSheet="0"/>
  </xdr:oneCellAnchor>
  <xdr:oneCellAnchor>
    <xdr:from>
      <xdr:col>3</xdr:col>
      <xdr:colOff>0</xdr:colOff>
      <xdr:row>224</xdr:row>
      <xdr:rowOff>0</xdr:rowOff>
    </xdr:from>
    <xdr:ext cx="466725" cy="476250"/>
    <xdr:pic>
      <xdr:nvPicPr>
        <xdr:cNvPr id="0" name="image535.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225</xdr:row>
      <xdr:rowOff>0</xdr:rowOff>
    </xdr:from>
    <xdr:ext cx="476250" cy="476250"/>
    <xdr:pic>
      <xdr:nvPicPr>
        <xdr:cNvPr id="0" name="image538.jpg"/>
        <xdr:cNvPicPr preferRelativeResize="0"/>
      </xdr:nvPicPr>
      <xdr:blipFill>
        <a:blip cstate="print" r:embed="rId168"/>
        <a:stretch>
          <a:fillRect/>
        </a:stretch>
      </xdr:blipFill>
      <xdr:spPr>
        <a:prstGeom prst="rect">
          <a:avLst/>
        </a:prstGeom>
        <a:noFill/>
      </xdr:spPr>
    </xdr:pic>
    <xdr:clientData fLocksWithSheet="0"/>
  </xdr:oneCellAnchor>
  <xdr:oneCellAnchor>
    <xdr:from>
      <xdr:col>3</xdr:col>
      <xdr:colOff>0</xdr:colOff>
      <xdr:row>226</xdr:row>
      <xdr:rowOff>0</xdr:rowOff>
    </xdr:from>
    <xdr:ext cx="476250" cy="476250"/>
    <xdr:pic>
      <xdr:nvPicPr>
        <xdr:cNvPr id="0" name="image549.png"/>
        <xdr:cNvPicPr preferRelativeResize="0"/>
      </xdr:nvPicPr>
      <xdr:blipFill>
        <a:blip cstate="print" r:embed="rId169"/>
        <a:stretch>
          <a:fillRect/>
        </a:stretch>
      </xdr:blipFill>
      <xdr:spPr>
        <a:prstGeom prst="rect">
          <a:avLst/>
        </a:prstGeom>
        <a:noFill/>
      </xdr:spPr>
    </xdr:pic>
    <xdr:clientData fLocksWithSheet="0"/>
  </xdr:oneCellAnchor>
  <xdr:oneCellAnchor>
    <xdr:from>
      <xdr:col>3</xdr:col>
      <xdr:colOff>0</xdr:colOff>
      <xdr:row>227</xdr:row>
      <xdr:rowOff>0</xdr:rowOff>
    </xdr:from>
    <xdr:ext cx="476250" cy="476250"/>
    <xdr:pic>
      <xdr:nvPicPr>
        <xdr:cNvPr id="0" name="image157.jpg"/>
        <xdr:cNvPicPr preferRelativeResize="0"/>
      </xdr:nvPicPr>
      <xdr:blipFill>
        <a:blip cstate="print" r:embed="rId170"/>
        <a:stretch>
          <a:fillRect/>
        </a:stretch>
      </xdr:blipFill>
      <xdr:spPr>
        <a:prstGeom prst="rect">
          <a:avLst/>
        </a:prstGeom>
        <a:noFill/>
      </xdr:spPr>
    </xdr:pic>
    <xdr:clientData fLocksWithSheet="0"/>
  </xdr:oneCellAnchor>
  <xdr:oneCellAnchor>
    <xdr:from>
      <xdr:col>3</xdr:col>
      <xdr:colOff>0</xdr:colOff>
      <xdr:row>228</xdr:row>
      <xdr:rowOff>0</xdr:rowOff>
    </xdr:from>
    <xdr:ext cx="476250" cy="476250"/>
    <xdr:pic>
      <xdr:nvPicPr>
        <xdr:cNvPr id="0" name="image157.jpg"/>
        <xdr:cNvPicPr preferRelativeResize="0"/>
      </xdr:nvPicPr>
      <xdr:blipFill>
        <a:blip cstate="print" r:embed="rId170"/>
        <a:stretch>
          <a:fillRect/>
        </a:stretch>
      </xdr:blipFill>
      <xdr:spPr>
        <a:prstGeom prst="rect">
          <a:avLst/>
        </a:prstGeom>
        <a:noFill/>
      </xdr:spPr>
    </xdr:pic>
    <xdr:clientData fLocksWithSheet="0"/>
  </xdr:oneCellAnchor>
  <xdr:oneCellAnchor>
    <xdr:from>
      <xdr:col>3</xdr:col>
      <xdr:colOff>0</xdr:colOff>
      <xdr:row>229</xdr:row>
      <xdr:rowOff>0</xdr:rowOff>
    </xdr:from>
    <xdr:ext cx="466725" cy="476250"/>
    <xdr:pic>
      <xdr:nvPicPr>
        <xdr:cNvPr id="0" name="image590.png"/>
        <xdr:cNvPicPr preferRelativeResize="0"/>
      </xdr:nvPicPr>
      <xdr:blipFill>
        <a:blip cstate="print" r:embed="rId171"/>
        <a:stretch>
          <a:fillRect/>
        </a:stretch>
      </xdr:blipFill>
      <xdr:spPr>
        <a:prstGeom prst="rect">
          <a:avLst/>
        </a:prstGeom>
        <a:noFill/>
      </xdr:spPr>
    </xdr:pic>
    <xdr:clientData fLocksWithSheet="0"/>
  </xdr:oneCellAnchor>
  <xdr:oneCellAnchor>
    <xdr:from>
      <xdr:col>3</xdr:col>
      <xdr:colOff>0</xdr:colOff>
      <xdr:row>230</xdr:row>
      <xdr:rowOff>0</xdr:rowOff>
    </xdr:from>
    <xdr:ext cx="476250" cy="476250"/>
    <xdr:pic>
      <xdr:nvPicPr>
        <xdr:cNvPr id="0" name="image549.png"/>
        <xdr:cNvPicPr preferRelativeResize="0"/>
      </xdr:nvPicPr>
      <xdr:blipFill>
        <a:blip cstate="print" r:embed="rId169"/>
        <a:stretch>
          <a:fillRect/>
        </a:stretch>
      </xdr:blipFill>
      <xdr:spPr>
        <a:prstGeom prst="rect">
          <a:avLst/>
        </a:prstGeom>
        <a:noFill/>
      </xdr:spPr>
    </xdr:pic>
    <xdr:clientData fLocksWithSheet="0"/>
  </xdr:oneCellAnchor>
  <xdr:oneCellAnchor>
    <xdr:from>
      <xdr:col>3</xdr:col>
      <xdr:colOff>0</xdr:colOff>
      <xdr:row>231</xdr:row>
      <xdr:rowOff>0</xdr:rowOff>
    </xdr:from>
    <xdr:ext cx="476250" cy="476250"/>
    <xdr:pic>
      <xdr:nvPicPr>
        <xdr:cNvPr id="0" name="image551.png"/>
        <xdr:cNvPicPr preferRelativeResize="0"/>
      </xdr:nvPicPr>
      <xdr:blipFill>
        <a:blip cstate="print" r:embed="rId172"/>
        <a:stretch>
          <a:fillRect/>
        </a:stretch>
      </xdr:blipFill>
      <xdr:spPr>
        <a:prstGeom prst="rect">
          <a:avLst/>
        </a:prstGeom>
        <a:noFill/>
      </xdr:spPr>
    </xdr:pic>
    <xdr:clientData fLocksWithSheet="0"/>
  </xdr:oneCellAnchor>
  <xdr:oneCellAnchor>
    <xdr:from>
      <xdr:col>3</xdr:col>
      <xdr:colOff>0</xdr:colOff>
      <xdr:row>232</xdr:row>
      <xdr:rowOff>0</xdr:rowOff>
    </xdr:from>
    <xdr:ext cx="476250" cy="476250"/>
    <xdr:pic>
      <xdr:nvPicPr>
        <xdr:cNvPr id="0" name="image542.png"/>
        <xdr:cNvPicPr preferRelativeResize="0"/>
      </xdr:nvPicPr>
      <xdr:blipFill>
        <a:blip cstate="print" r:embed="rId17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476250" cy="476250"/>
    <xdr:pic>
      <xdr:nvPicPr>
        <xdr:cNvPr id="0" name="image41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476250" cy="47625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476250" cy="476250"/>
    <xdr:pic>
      <xdr:nvPicPr>
        <xdr:cNvPr id="0" name="image366.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4</xdr:row>
      <xdr:rowOff>0</xdr:rowOff>
    </xdr:from>
    <xdr:ext cx="476250" cy="476250"/>
    <xdr:pic>
      <xdr:nvPicPr>
        <xdr:cNvPr id="0" name="image219.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xdr:row>
      <xdr:rowOff>0</xdr:rowOff>
    </xdr:from>
    <xdr:ext cx="476250" cy="476250"/>
    <xdr:pic>
      <xdr:nvPicPr>
        <xdr:cNvPr id="0" name="image28.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6</xdr:row>
      <xdr:rowOff>0</xdr:rowOff>
    </xdr:from>
    <xdr:ext cx="476250" cy="476250"/>
    <xdr:pic>
      <xdr:nvPicPr>
        <xdr:cNvPr id="0" name="image541.jp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7</xdr:row>
      <xdr:rowOff>0</xdr:rowOff>
    </xdr:from>
    <xdr:ext cx="476250" cy="476250"/>
    <xdr:pic>
      <xdr:nvPicPr>
        <xdr:cNvPr id="0" name="image41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466725" cy="476250"/>
    <xdr:pic>
      <xdr:nvPicPr>
        <xdr:cNvPr id="0" name="image434.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9</xdr:row>
      <xdr:rowOff>0</xdr:rowOff>
    </xdr:from>
    <xdr:ext cx="466725" cy="476250"/>
    <xdr:pic>
      <xdr:nvPicPr>
        <xdr:cNvPr id="0" name="image416.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10</xdr:row>
      <xdr:rowOff>0</xdr:rowOff>
    </xdr:from>
    <xdr:ext cx="476250" cy="476250"/>
    <xdr:pic>
      <xdr:nvPicPr>
        <xdr:cNvPr id="0" name="image414.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11</xdr:row>
      <xdr:rowOff>0</xdr:rowOff>
    </xdr:from>
    <xdr:ext cx="476250" cy="476250"/>
    <xdr:pic>
      <xdr:nvPicPr>
        <xdr:cNvPr id="0" name="image400.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12</xdr:row>
      <xdr:rowOff>0</xdr:rowOff>
    </xdr:from>
    <xdr:ext cx="476250" cy="476250"/>
    <xdr:pic>
      <xdr:nvPicPr>
        <xdr:cNvPr id="0" name="image229.jp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13</xdr:row>
      <xdr:rowOff>0</xdr:rowOff>
    </xdr:from>
    <xdr:ext cx="466725" cy="476250"/>
    <xdr:pic>
      <xdr:nvPicPr>
        <xdr:cNvPr id="0" name="image415.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14</xdr:row>
      <xdr:rowOff>0</xdr:rowOff>
    </xdr:from>
    <xdr:ext cx="466725" cy="476250"/>
    <xdr:pic>
      <xdr:nvPicPr>
        <xdr:cNvPr id="0" name="image396.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15</xdr:row>
      <xdr:rowOff>0</xdr:rowOff>
    </xdr:from>
    <xdr:ext cx="466725" cy="476250"/>
    <xdr:pic>
      <xdr:nvPicPr>
        <xdr:cNvPr id="0" name="image416.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16</xdr:row>
      <xdr:rowOff>0</xdr:rowOff>
    </xdr:from>
    <xdr:ext cx="476250" cy="476250"/>
    <xdr:pic>
      <xdr:nvPicPr>
        <xdr:cNvPr id="0" name="image215.jp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17</xdr:row>
      <xdr:rowOff>0</xdr:rowOff>
    </xdr:from>
    <xdr:ext cx="476250" cy="476250"/>
    <xdr:pic>
      <xdr:nvPicPr>
        <xdr:cNvPr id="0" name="image420.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18</xdr:row>
      <xdr:rowOff>0</xdr:rowOff>
    </xdr:from>
    <xdr:ext cx="476250" cy="476250"/>
    <xdr:pic>
      <xdr:nvPicPr>
        <xdr:cNvPr id="0" name="image579.jp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19</xdr:row>
      <xdr:rowOff>0</xdr:rowOff>
    </xdr:from>
    <xdr:ext cx="466725" cy="476250"/>
    <xdr:pic>
      <xdr:nvPicPr>
        <xdr:cNvPr id="0" name="image416.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20</xdr:row>
      <xdr:rowOff>0</xdr:rowOff>
    </xdr:from>
    <xdr:ext cx="476250" cy="476250"/>
    <xdr:pic>
      <xdr:nvPicPr>
        <xdr:cNvPr id="0" name="image366.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21</xdr:row>
      <xdr:rowOff>0</xdr:rowOff>
    </xdr:from>
    <xdr:ext cx="466725" cy="476250"/>
    <xdr:pic>
      <xdr:nvPicPr>
        <xdr:cNvPr id="0" name="image600.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22</xdr:row>
      <xdr:rowOff>0</xdr:rowOff>
    </xdr:from>
    <xdr:ext cx="476250" cy="476250"/>
    <xdr:pic>
      <xdr:nvPicPr>
        <xdr:cNvPr id="0" name="image185.jp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23</xdr:row>
      <xdr:rowOff>0</xdr:rowOff>
    </xdr:from>
    <xdr:ext cx="476250" cy="476250"/>
    <xdr:pic>
      <xdr:nvPicPr>
        <xdr:cNvPr id="0" name="image563.jp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24</xdr:row>
      <xdr:rowOff>0</xdr:rowOff>
    </xdr:from>
    <xdr:ext cx="476250" cy="476250"/>
    <xdr:pic>
      <xdr:nvPicPr>
        <xdr:cNvPr id="0" name="image414.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25</xdr:row>
      <xdr:rowOff>0</xdr:rowOff>
    </xdr:from>
    <xdr:ext cx="466725" cy="476250"/>
    <xdr:pic>
      <xdr:nvPicPr>
        <xdr:cNvPr id="0" name="image434.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26</xdr:row>
      <xdr:rowOff>0</xdr:rowOff>
    </xdr:from>
    <xdr:ext cx="476250" cy="476250"/>
    <xdr:pic>
      <xdr:nvPicPr>
        <xdr:cNvPr id="0" name="image604.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27</xdr:row>
      <xdr:rowOff>0</xdr:rowOff>
    </xdr:from>
    <xdr:ext cx="476250" cy="476250"/>
    <xdr:pic>
      <xdr:nvPicPr>
        <xdr:cNvPr id="0" name="image181.jp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28</xdr:row>
      <xdr:rowOff>0</xdr:rowOff>
    </xdr:from>
    <xdr:ext cx="476250" cy="476250"/>
    <xdr:pic>
      <xdr:nvPicPr>
        <xdr:cNvPr id="0" name="image41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29</xdr:row>
      <xdr:rowOff>0</xdr:rowOff>
    </xdr:from>
    <xdr:ext cx="476250" cy="476250"/>
    <xdr:pic>
      <xdr:nvPicPr>
        <xdr:cNvPr id="0" name="image400.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30</xdr:row>
      <xdr:rowOff>0</xdr:rowOff>
    </xdr:from>
    <xdr:ext cx="476250" cy="476250"/>
    <xdr:pic>
      <xdr:nvPicPr>
        <xdr:cNvPr id="0" name="image427.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31</xdr:row>
      <xdr:rowOff>0</xdr:rowOff>
    </xdr:from>
    <xdr:ext cx="476250" cy="476250"/>
    <xdr:pic>
      <xdr:nvPicPr>
        <xdr:cNvPr id="0" name="image604.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32</xdr:row>
      <xdr:rowOff>0</xdr:rowOff>
    </xdr:from>
    <xdr:ext cx="476250" cy="476250"/>
    <xdr:pic>
      <xdr:nvPicPr>
        <xdr:cNvPr id="0" name="image141.jp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33</xdr:row>
      <xdr:rowOff>0</xdr:rowOff>
    </xdr:from>
    <xdr:ext cx="476250" cy="476250"/>
    <xdr:pic>
      <xdr:nvPicPr>
        <xdr:cNvPr id="0" name="image556.jp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34</xdr:row>
      <xdr:rowOff>0</xdr:rowOff>
    </xdr:from>
    <xdr:ext cx="466725" cy="476250"/>
    <xdr:pic>
      <xdr:nvPicPr>
        <xdr:cNvPr id="0" name="image415.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35</xdr:row>
      <xdr:rowOff>0</xdr:rowOff>
    </xdr:from>
    <xdr:ext cx="476250" cy="476250"/>
    <xdr:pic>
      <xdr:nvPicPr>
        <xdr:cNvPr id="0" name="image579.jp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36</xdr:row>
      <xdr:rowOff>0</xdr:rowOff>
    </xdr:from>
    <xdr:ext cx="476250" cy="476250"/>
    <xdr:pic>
      <xdr:nvPicPr>
        <xdr:cNvPr id="0" name="image293.jp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37</xdr:row>
      <xdr:rowOff>0</xdr:rowOff>
    </xdr:from>
    <xdr:ext cx="476250" cy="476250"/>
    <xdr:pic>
      <xdr:nvPicPr>
        <xdr:cNvPr id="0" name="image574.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38</xdr:row>
      <xdr:rowOff>0</xdr:rowOff>
    </xdr:from>
    <xdr:ext cx="476250" cy="476250"/>
    <xdr:pic>
      <xdr:nvPicPr>
        <xdr:cNvPr id="0" name="image574.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39</xdr:row>
      <xdr:rowOff>0</xdr:rowOff>
    </xdr:from>
    <xdr:ext cx="476250" cy="476250"/>
    <xdr:pic>
      <xdr:nvPicPr>
        <xdr:cNvPr id="0" name="image473.jp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40</xdr:row>
      <xdr:rowOff>0</xdr:rowOff>
    </xdr:from>
    <xdr:ext cx="476250" cy="476250"/>
    <xdr:pic>
      <xdr:nvPicPr>
        <xdr:cNvPr id="0" name="image543.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41</xdr:row>
      <xdr:rowOff>0</xdr:rowOff>
    </xdr:from>
    <xdr:ext cx="476250" cy="476250"/>
    <xdr:pic>
      <xdr:nvPicPr>
        <xdr:cNvPr id="0" name="image540.jp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42</xdr:row>
      <xdr:rowOff>0</xdr:rowOff>
    </xdr:from>
    <xdr:ext cx="476250" cy="476250"/>
    <xdr:pic>
      <xdr:nvPicPr>
        <xdr:cNvPr id="0" name="image552.jp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43</xdr:row>
      <xdr:rowOff>0</xdr:rowOff>
    </xdr:from>
    <xdr:ext cx="476250" cy="476250"/>
    <xdr:pic>
      <xdr:nvPicPr>
        <xdr:cNvPr id="0" name="image604.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44</xdr:row>
      <xdr:rowOff>0</xdr:rowOff>
    </xdr:from>
    <xdr:ext cx="476250" cy="476250"/>
    <xdr:pic>
      <xdr:nvPicPr>
        <xdr:cNvPr id="0" name="image157.jp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45</xdr:row>
      <xdr:rowOff>0</xdr:rowOff>
    </xdr:from>
    <xdr:ext cx="476250" cy="476250"/>
    <xdr:pic>
      <xdr:nvPicPr>
        <xdr:cNvPr id="0" name="image563.jp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46</xdr:row>
      <xdr:rowOff>0</xdr:rowOff>
    </xdr:from>
    <xdr:ext cx="466725" cy="476250"/>
    <xdr:pic>
      <xdr:nvPicPr>
        <xdr:cNvPr id="0" name="image593.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47</xdr:row>
      <xdr:rowOff>0</xdr:rowOff>
    </xdr:from>
    <xdr:ext cx="476250" cy="476250"/>
    <xdr:pic>
      <xdr:nvPicPr>
        <xdr:cNvPr id="0" name="image420.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48</xdr:row>
      <xdr:rowOff>0</xdr:rowOff>
    </xdr:from>
    <xdr:ext cx="476250" cy="476250"/>
    <xdr:pic>
      <xdr:nvPicPr>
        <xdr:cNvPr id="0" name="image548.jp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49</xdr:row>
      <xdr:rowOff>0</xdr:rowOff>
    </xdr:from>
    <xdr:ext cx="476250" cy="476250"/>
    <xdr:pic>
      <xdr:nvPicPr>
        <xdr:cNvPr id="0" name="image22.jp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50</xdr:row>
      <xdr:rowOff>0</xdr:rowOff>
    </xdr:from>
    <xdr:ext cx="476250" cy="476250"/>
    <xdr:pic>
      <xdr:nvPicPr>
        <xdr:cNvPr id="0" name="image550.jp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51</xdr:row>
      <xdr:rowOff>0</xdr:rowOff>
    </xdr:from>
    <xdr:ext cx="476250" cy="476250"/>
    <xdr:pic>
      <xdr:nvPicPr>
        <xdr:cNvPr id="0" name="image604.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52</xdr:row>
      <xdr:rowOff>0</xdr:rowOff>
    </xdr:from>
    <xdr:ext cx="476250" cy="476250"/>
    <xdr:pic>
      <xdr:nvPicPr>
        <xdr:cNvPr id="0" name="image28.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53</xdr:row>
      <xdr:rowOff>0</xdr:rowOff>
    </xdr:from>
    <xdr:ext cx="476250" cy="47625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54</xdr:row>
      <xdr:rowOff>0</xdr:rowOff>
    </xdr:from>
    <xdr:ext cx="476250" cy="476250"/>
    <xdr:pic>
      <xdr:nvPicPr>
        <xdr:cNvPr id="0" name="image548.jp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55</xdr:row>
      <xdr:rowOff>0</xdr:rowOff>
    </xdr:from>
    <xdr:ext cx="476250" cy="476250"/>
    <xdr:pic>
      <xdr:nvPicPr>
        <xdr:cNvPr id="0" name="image253.jp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56</xdr:row>
      <xdr:rowOff>0</xdr:rowOff>
    </xdr:from>
    <xdr:ext cx="476250" cy="476250"/>
    <xdr:pic>
      <xdr:nvPicPr>
        <xdr:cNvPr id="0" name="image427.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57</xdr:row>
      <xdr:rowOff>0</xdr:rowOff>
    </xdr:from>
    <xdr:ext cx="476250" cy="476250"/>
    <xdr:pic>
      <xdr:nvPicPr>
        <xdr:cNvPr id="0" name="image582.jp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58</xdr:row>
      <xdr:rowOff>0</xdr:rowOff>
    </xdr:from>
    <xdr:ext cx="476250" cy="476250"/>
    <xdr:pic>
      <xdr:nvPicPr>
        <xdr:cNvPr id="0" name="image540.jp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59</xdr:row>
      <xdr:rowOff>0</xdr:rowOff>
    </xdr:from>
    <xdr:ext cx="476250" cy="476250"/>
    <xdr:pic>
      <xdr:nvPicPr>
        <xdr:cNvPr id="0" name="image249.jp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60</xdr:row>
      <xdr:rowOff>0</xdr:rowOff>
    </xdr:from>
    <xdr:ext cx="476250" cy="476250"/>
    <xdr:pic>
      <xdr:nvPicPr>
        <xdr:cNvPr id="0" name="image553.jp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61</xdr:row>
      <xdr:rowOff>0</xdr:rowOff>
    </xdr:from>
    <xdr:ext cx="476250" cy="476250"/>
    <xdr:pic>
      <xdr:nvPicPr>
        <xdr:cNvPr id="0" name="image411.jp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62</xdr:row>
      <xdr:rowOff>0</xdr:rowOff>
    </xdr:from>
    <xdr:ext cx="476250" cy="476250"/>
    <xdr:pic>
      <xdr:nvPicPr>
        <xdr:cNvPr id="0" name="image427.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63</xdr:row>
      <xdr:rowOff>0</xdr:rowOff>
    </xdr:from>
    <xdr:ext cx="476250" cy="476250"/>
    <xdr:pic>
      <xdr:nvPicPr>
        <xdr:cNvPr id="0" name="image574.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64</xdr:row>
      <xdr:rowOff>0</xdr:rowOff>
    </xdr:from>
    <xdr:ext cx="476250" cy="476250"/>
    <xdr:pic>
      <xdr:nvPicPr>
        <xdr:cNvPr id="0" name="image246.jp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65</xdr:row>
      <xdr:rowOff>0</xdr:rowOff>
    </xdr:from>
    <xdr:ext cx="476250" cy="476250"/>
    <xdr:pic>
      <xdr:nvPicPr>
        <xdr:cNvPr id="0" name="image360.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66</xdr:row>
      <xdr:rowOff>0</xdr:rowOff>
    </xdr:from>
    <xdr:ext cx="476250" cy="476250"/>
    <xdr:pic>
      <xdr:nvPicPr>
        <xdr:cNvPr id="0" name="image574.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67</xdr:row>
      <xdr:rowOff>0</xdr:rowOff>
    </xdr:from>
    <xdr:ext cx="476250" cy="476250"/>
    <xdr:pic>
      <xdr:nvPicPr>
        <xdr:cNvPr id="0" name="image543.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68</xdr:row>
      <xdr:rowOff>0</xdr:rowOff>
    </xdr:from>
    <xdr:ext cx="476250" cy="476250"/>
    <xdr:pic>
      <xdr:nvPicPr>
        <xdr:cNvPr id="0" name="image564.jp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69</xdr:row>
      <xdr:rowOff>0</xdr:rowOff>
    </xdr:from>
    <xdr:ext cx="476250" cy="476250"/>
    <xdr:pic>
      <xdr:nvPicPr>
        <xdr:cNvPr id="0" name="image554.jp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70</xdr:row>
      <xdr:rowOff>0</xdr:rowOff>
    </xdr:from>
    <xdr:ext cx="476250" cy="476250"/>
    <xdr:pic>
      <xdr:nvPicPr>
        <xdr:cNvPr id="0" name="image615.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71</xdr:row>
      <xdr:rowOff>0</xdr:rowOff>
    </xdr:from>
    <xdr:ext cx="476250" cy="47625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72</xdr:row>
      <xdr:rowOff>0</xdr:rowOff>
    </xdr:from>
    <xdr:ext cx="476250" cy="476250"/>
    <xdr:pic>
      <xdr:nvPicPr>
        <xdr:cNvPr id="0" name="image345.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73</xdr:row>
      <xdr:rowOff>0</xdr:rowOff>
    </xdr:from>
    <xdr:ext cx="476250" cy="476250"/>
    <xdr:pic>
      <xdr:nvPicPr>
        <xdr:cNvPr id="0" name="image471.jp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74</xdr:row>
      <xdr:rowOff>0</xdr:rowOff>
    </xdr:from>
    <xdr:ext cx="476250" cy="476250"/>
    <xdr:pic>
      <xdr:nvPicPr>
        <xdr:cNvPr id="0" name="image540.jp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75</xdr:row>
      <xdr:rowOff>0</xdr:rowOff>
    </xdr:from>
    <xdr:ext cx="476250" cy="476250"/>
    <xdr:pic>
      <xdr:nvPicPr>
        <xdr:cNvPr id="0" name="image603.jp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76</xdr:row>
      <xdr:rowOff>0</xdr:rowOff>
    </xdr:from>
    <xdr:ext cx="476250" cy="476250"/>
    <xdr:pic>
      <xdr:nvPicPr>
        <xdr:cNvPr id="0" name="image620.jpg"/>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77</xdr:row>
      <xdr:rowOff>0</xdr:rowOff>
    </xdr:from>
    <xdr:ext cx="476250" cy="476250"/>
    <xdr:pic>
      <xdr:nvPicPr>
        <xdr:cNvPr id="0" name="image162.jp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78</xdr:row>
      <xdr:rowOff>0</xdr:rowOff>
    </xdr:from>
    <xdr:ext cx="476250" cy="476250"/>
    <xdr:pic>
      <xdr:nvPicPr>
        <xdr:cNvPr id="0" name="image349.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79</xdr:row>
      <xdr:rowOff>0</xdr:rowOff>
    </xdr:from>
    <xdr:ext cx="476250" cy="476250"/>
    <xdr:pic>
      <xdr:nvPicPr>
        <xdr:cNvPr id="0" name="image574.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80</xdr:row>
      <xdr:rowOff>0</xdr:rowOff>
    </xdr:from>
    <xdr:ext cx="476250" cy="476250"/>
    <xdr:pic>
      <xdr:nvPicPr>
        <xdr:cNvPr id="0" name="image293.jp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81</xdr:row>
      <xdr:rowOff>0</xdr:rowOff>
    </xdr:from>
    <xdr:ext cx="476250" cy="476250"/>
    <xdr:pic>
      <xdr:nvPicPr>
        <xdr:cNvPr id="0" name="image349.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82</xdr:row>
      <xdr:rowOff>0</xdr:rowOff>
    </xdr:from>
    <xdr:ext cx="476250" cy="476250"/>
    <xdr:pic>
      <xdr:nvPicPr>
        <xdr:cNvPr id="0" name="image606.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83</xdr:row>
      <xdr:rowOff>0</xdr:rowOff>
    </xdr:from>
    <xdr:ext cx="476250" cy="476250"/>
    <xdr:pic>
      <xdr:nvPicPr>
        <xdr:cNvPr id="0" name="image219.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84</xdr:row>
      <xdr:rowOff>0</xdr:rowOff>
    </xdr:from>
    <xdr:ext cx="476250" cy="476250"/>
    <xdr:pic>
      <xdr:nvPicPr>
        <xdr:cNvPr id="0" name="image587.png"/>
        <xdr:cNvPicPr preferRelativeResize="0"/>
      </xdr:nvPicPr>
      <xdr:blipFill>
        <a:blip cstate="print" r:embed="rId53"/>
        <a:stretch>
          <a:fillRect/>
        </a:stretch>
      </xdr:blipFill>
      <xdr:spPr>
        <a:prstGeom prst="rect">
          <a:avLst/>
        </a:prstGeom>
        <a:noFill/>
      </xdr:spPr>
    </xdr:pic>
    <xdr:clientData fLocksWithSheet="0"/>
  </xdr:oneCellAnchor>
  <xdr:oneCellAnchor>
    <xdr:from>
      <xdr:col>2</xdr:col>
      <xdr:colOff>0</xdr:colOff>
      <xdr:row>85</xdr:row>
      <xdr:rowOff>0</xdr:rowOff>
    </xdr:from>
    <xdr:ext cx="476250" cy="476250"/>
    <xdr:pic>
      <xdr:nvPicPr>
        <xdr:cNvPr id="0" name="image559.pn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86</xdr:row>
      <xdr:rowOff>0</xdr:rowOff>
    </xdr:from>
    <xdr:ext cx="476250" cy="476250"/>
    <xdr:pic>
      <xdr:nvPicPr>
        <xdr:cNvPr id="0" name="image616.jpg"/>
        <xdr:cNvPicPr preferRelativeResize="0"/>
      </xdr:nvPicPr>
      <xdr:blipFill>
        <a:blip cstate="print" r:embed="rId55"/>
        <a:stretch>
          <a:fillRect/>
        </a:stretch>
      </xdr:blipFill>
      <xdr:spPr>
        <a:prstGeom prst="rect">
          <a:avLst/>
        </a:prstGeom>
        <a:noFill/>
      </xdr:spPr>
    </xdr:pic>
    <xdr:clientData fLocksWithSheet="0"/>
  </xdr:oneCellAnchor>
  <xdr:oneCellAnchor>
    <xdr:from>
      <xdr:col>2</xdr:col>
      <xdr:colOff>0</xdr:colOff>
      <xdr:row>87</xdr:row>
      <xdr:rowOff>0</xdr:rowOff>
    </xdr:from>
    <xdr:ext cx="476250" cy="476250"/>
    <xdr:pic>
      <xdr:nvPicPr>
        <xdr:cNvPr id="0" name="image224.jp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88</xdr:row>
      <xdr:rowOff>0</xdr:rowOff>
    </xdr:from>
    <xdr:ext cx="476250" cy="476250"/>
    <xdr:pic>
      <xdr:nvPicPr>
        <xdr:cNvPr id="0" name="image583.pn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89</xdr:row>
      <xdr:rowOff>0</xdr:rowOff>
    </xdr:from>
    <xdr:ext cx="476250" cy="476250"/>
    <xdr:pic>
      <xdr:nvPicPr>
        <xdr:cNvPr id="0" name="image162.jp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90</xdr:row>
      <xdr:rowOff>0</xdr:rowOff>
    </xdr:from>
    <xdr:ext cx="466725" cy="476250"/>
    <xdr:pic>
      <xdr:nvPicPr>
        <xdr:cNvPr id="0" name="image618.png"/>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0</xdr:colOff>
      <xdr:row>91</xdr:row>
      <xdr:rowOff>0</xdr:rowOff>
    </xdr:from>
    <xdr:ext cx="476250" cy="476250"/>
    <xdr:pic>
      <xdr:nvPicPr>
        <xdr:cNvPr id="0" name="image615.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92</xdr:row>
      <xdr:rowOff>0</xdr:rowOff>
    </xdr:from>
    <xdr:ext cx="476250" cy="476250"/>
    <xdr:pic>
      <xdr:nvPicPr>
        <xdr:cNvPr id="0" name="image540.jp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93</xdr:row>
      <xdr:rowOff>0</xdr:rowOff>
    </xdr:from>
    <xdr:ext cx="466725" cy="476250"/>
    <xdr:pic>
      <xdr:nvPicPr>
        <xdr:cNvPr id="0" name="image593.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94</xdr:row>
      <xdr:rowOff>0</xdr:rowOff>
    </xdr:from>
    <xdr:ext cx="476250" cy="476250"/>
    <xdr:pic>
      <xdr:nvPicPr>
        <xdr:cNvPr id="0" name="image583.pn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95</xdr:row>
      <xdr:rowOff>0</xdr:rowOff>
    </xdr:from>
    <xdr:ext cx="476250" cy="476250"/>
    <xdr:pic>
      <xdr:nvPicPr>
        <xdr:cNvPr id="0" name="image22.jp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96</xdr:row>
      <xdr:rowOff>0</xdr:rowOff>
    </xdr:from>
    <xdr:ext cx="466725" cy="476250"/>
    <xdr:pic>
      <xdr:nvPicPr>
        <xdr:cNvPr id="0" name="image618.png"/>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0</xdr:colOff>
      <xdr:row>97</xdr:row>
      <xdr:rowOff>0</xdr:rowOff>
    </xdr:from>
    <xdr:ext cx="476250" cy="476250"/>
    <xdr:pic>
      <xdr:nvPicPr>
        <xdr:cNvPr id="0" name="image573.jp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98</xdr:row>
      <xdr:rowOff>0</xdr:rowOff>
    </xdr:from>
    <xdr:ext cx="476250" cy="476250"/>
    <xdr:pic>
      <xdr:nvPicPr>
        <xdr:cNvPr id="0" name="image433.pn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99</xdr:row>
      <xdr:rowOff>0</xdr:rowOff>
    </xdr:from>
    <xdr:ext cx="476250" cy="476250"/>
    <xdr:pic>
      <xdr:nvPicPr>
        <xdr:cNvPr id="0" name="image348.pn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100</xdr:row>
      <xdr:rowOff>0</xdr:rowOff>
    </xdr:from>
    <xdr:ext cx="476250" cy="476250"/>
    <xdr:pic>
      <xdr:nvPicPr>
        <xdr:cNvPr id="0" name="image586.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101</xdr:row>
      <xdr:rowOff>0</xdr:rowOff>
    </xdr:from>
    <xdr:ext cx="476250" cy="476250"/>
    <xdr:pic>
      <xdr:nvPicPr>
        <xdr:cNvPr id="0" name="image558.jp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102</xdr:row>
      <xdr:rowOff>0</xdr:rowOff>
    </xdr:from>
    <xdr:ext cx="476250" cy="476250"/>
    <xdr:pic>
      <xdr:nvPicPr>
        <xdr:cNvPr id="0" name="image580.jp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103</xdr:row>
      <xdr:rowOff>0</xdr:rowOff>
    </xdr:from>
    <xdr:ext cx="476250" cy="476250"/>
    <xdr:pic>
      <xdr:nvPicPr>
        <xdr:cNvPr id="0" name="image114.jp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104</xdr:row>
      <xdr:rowOff>0</xdr:rowOff>
    </xdr:from>
    <xdr:ext cx="476250" cy="476250"/>
    <xdr:pic>
      <xdr:nvPicPr>
        <xdr:cNvPr id="0" name="image157.jp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105</xdr:row>
      <xdr:rowOff>0</xdr:rowOff>
    </xdr:from>
    <xdr:ext cx="476250" cy="476250"/>
    <xdr:pic>
      <xdr:nvPicPr>
        <xdr:cNvPr id="0" name="image423.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106</xdr:row>
      <xdr:rowOff>0</xdr:rowOff>
    </xdr:from>
    <xdr:ext cx="476250" cy="476250"/>
    <xdr:pic>
      <xdr:nvPicPr>
        <xdr:cNvPr id="0" name="image114.jp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107</xdr:row>
      <xdr:rowOff>0</xdr:rowOff>
    </xdr:from>
    <xdr:ext cx="476250" cy="476250"/>
    <xdr:pic>
      <xdr:nvPicPr>
        <xdr:cNvPr id="0" name="image156.jpg"/>
        <xdr:cNvPicPr preferRelativeResize="0"/>
      </xdr:nvPicPr>
      <xdr:blipFill>
        <a:blip cstate="print" r:embed="rId67"/>
        <a:stretch>
          <a:fillRect/>
        </a:stretch>
      </xdr:blipFill>
      <xdr:spPr>
        <a:prstGeom prst="rect">
          <a:avLst/>
        </a:prstGeom>
        <a:noFill/>
      </xdr:spPr>
    </xdr:pic>
    <xdr:clientData fLocksWithSheet="0"/>
  </xdr:oneCellAnchor>
  <xdr:oneCellAnchor>
    <xdr:from>
      <xdr:col>2</xdr:col>
      <xdr:colOff>0</xdr:colOff>
      <xdr:row>108</xdr:row>
      <xdr:rowOff>0</xdr:rowOff>
    </xdr:from>
    <xdr:ext cx="476250" cy="476250"/>
    <xdr:pic>
      <xdr:nvPicPr>
        <xdr:cNvPr id="0" name="image344.png"/>
        <xdr:cNvPicPr preferRelativeResize="0"/>
      </xdr:nvPicPr>
      <xdr:blipFill>
        <a:blip cstate="print" r:embed="rId68"/>
        <a:stretch>
          <a:fillRect/>
        </a:stretch>
      </xdr:blipFill>
      <xdr:spPr>
        <a:prstGeom prst="rect">
          <a:avLst/>
        </a:prstGeom>
        <a:noFill/>
      </xdr:spPr>
    </xdr:pic>
    <xdr:clientData fLocksWithSheet="0"/>
  </xdr:oneCellAnchor>
  <xdr:oneCellAnchor>
    <xdr:from>
      <xdr:col>2</xdr:col>
      <xdr:colOff>0</xdr:colOff>
      <xdr:row>109</xdr:row>
      <xdr:rowOff>0</xdr:rowOff>
    </xdr:from>
    <xdr:ext cx="476250" cy="476250"/>
    <xdr:pic>
      <xdr:nvPicPr>
        <xdr:cNvPr id="0" name="image589.pn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110</xdr:row>
      <xdr:rowOff>0</xdr:rowOff>
    </xdr:from>
    <xdr:ext cx="476250" cy="476250"/>
    <xdr:pic>
      <xdr:nvPicPr>
        <xdr:cNvPr id="0" name="image420.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111</xdr:row>
      <xdr:rowOff>0</xdr:rowOff>
    </xdr:from>
    <xdr:ext cx="476250" cy="476250"/>
    <xdr:pic>
      <xdr:nvPicPr>
        <xdr:cNvPr id="0" name="image297.jpg"/>
        <xdr:cNvPicPr preferRelativeResize="0"/>
      </xdr:nvPicPr>
      <xdr:blipFill>
        <a:blip cstate="print" r:embed="rId70"/>
        <a:stretch>
          <a:fillRect/>
        </a:stretch>
      </xdr:blipFill>
      <xdr:spPr>
        <a:prstGeom prst="rect">
          <a:avLst/>
        </a:prstGeom>
        <a:noFill/>
      </xdr:spPr>
    </xdr:pic>
    <xdr:clientData fLocksWithSheet="0"/>
  </xdr:oneCellAnchor>
  <xdr:oneCellAnchor>
    <xdr:from>
      <xdr:col>2</xdr:col>
      <xdr:colOff>0</xdr:colOff>
      <xdr:row>112</xdr:row>
      <xdr:rowOff>0</xdr:rowOff>
    </xdr:from>
    <xdr:ext cx="476250" cy="476250"/>
    <xdr:pic>
      <xdr:nvPicPr>
        <xdr:cNvPr id="0" name="image586.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113</xdr:row>
      <xdr:rowOff>0</xdr:rowOff>
    </xdr:from>
    <xdr:ext cx="476250" cy="476250"/>
    <xdr:pic>
      <xdr:nvPicPr>
        <xdr:cNvPr id="0" name="image589.pn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114</xdr:row>
      <xdr:rowOff>0</xdr:rowOff>
    </xdr:from>
    <xdr:ext cx="476250" cy="476250"/>
    <xdr:pic>
      <xdr:nvPicPr>
        <xdr:cNvPr id="0" name="image427.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115</xdr:row>
      <xdr:rowOff>0</xdr:rowOff>
    </xdr:from>
    <xdr:ext cx="476250" cy="476250"/>
    <xdr:pic>
      <xdr:nvPicPr>
        <xdr:cNvPr id="0" name="image342.png"/>
        <xdr:cNvPicPr preferRelativeResize="0"/>
      </xdr:nvPicPr>
      <xdr:blipFill>
        <a:blip cstate="print" r:embed="rId71"/>
        <a:stretch>
          <a:fillRect/>
        </a:stretch>
      </xdr:blipFill>
      <xdr:spPr>
        <a:prstGeom prst="rect">
          <a:avLst/>
        </a:prstGeom>
        <a:noFill/>
      </xdr:spPr>
    </xdr:pic>
    <xdr:clientData fLocksWithSheet="0"/>
  </xdr:oneCellAnchor>
  <xdr:oneCellAnchor>
    <xdr:from>
      <xdr:col>2</xdr:col>
      <xdr:colOff>0</xdr:colOff>
      <xdr:row>116</xdr:row>
      <xdr:rowOff>0</xdr:rowOff>
    </xdr:from>
    <xdr:ext cx="476250" cy="476250"/>
    <xdr:pic>
      <xdr:nvPicPr>
        <xdr:cNvPr id="0" name="image371.png"/>
        <xdr:cNvPicPr preferRelativeResize="0"/>
      </xdr:nvPicPr>
      <xdr:blipFill>
        <a:blip cstate="print" r:embed="rId72"/>
        <a:stretch>
          <a:fillRect/>
        </a:stretch>
      </xdr:blipFill>
      <xdr:spPr>
        <a:prstGeom prst="rect">
          <a:avLst/>
        </a:prstGeom>
        <a:noFill/>
      </xdr:spPr>
    </xdr:pic>
    <xdr:clientData fLocksWithSheet="0"/>
  </xdr:oneCellAnchor>
  <xdr:oneCellAnchor>
    <xdr:from>
      <xdr:col>2</xdr:col>
      <xdr:colOff>0</xdr:colOff>
      <xdr:row>117</xdr:row>
      <xdr:rowOff>0</xdr:rowOff>
    </xdr:from>
    <xdr:ext cx="476250" cy="476250"/>
    <xdr:pic>
      <xdr:nvPicPr>
        <xdr:cNvPr id="0" name="image605.png"/>
        <xdr:cNvPicPr preferRelativeResize="0"/>
      </xdr:nvPicPr>
      <xdr:blipFill>
        <a:blip cstate="print" r:embed="rId73"/>
        <a:stretch>
          <a:fillRect/>
        </a:stretch>
      </xdr:blipFill>
      <xdr:spPr>
        <a:prstGeom prst="rect">
          <a:avLst/>
        </a:prstGeom>
        <a:noFill/>
      </xdr:spPr>
    </xdr:pic>
    <xdr:clientData fLocksWithSheet="0"/>
  </xdr:oneCellAnchor>
  <xdr:oneCellAnchor>
    <xdr:from>
      <xdr:col>2</xdr:col>
      <xdr:colOff>0</xdr:colOff>
      <xdr:row>118</xdr:row>
      <xdr:rowOff>0</xdr:rowOff>
    </xdr:from>
    <xdr:ext cx="476250" cy="476250"/>
    <xdr:pic>
      <xdr:nvPicPr>
        <xdr:cNvPr id="0" name="image571.jpg"/>
        <xdr:cNvPicPr preferRelativeResize="0"/>
      </xdr:nvPicPr>
      <xdr:blipFill>
        <a:blip cstate="print" r:embed="rId74"/>
        <a:stretch>
          <a:fillRect/>
        </a:stretch>
      </xdr:blipFill>
      <xdr:spPr>
        <a:prstGeom prst="rect">
          <a:avLst/>
        </a:prstGeom>
        <a:noFill/>
      </xdr:spPr>
    </xdr:pic>
    <xdr:clientData fLocksWithSheet="0"/>
  </xdr:oneCellAnchor>
  <xdr:oneCellAnchor>
    <xdr:from>
      <xdr:col>2</xdr:col>
      <xdr:colOff>0</xdr:colOff>
      <xdr:row>119</xdr:row>
      <xdr:rowOff>0</xdr:rowOff>
    </xdr:from>
    <xdr:ext cx="476250" cy="476250"/>
    <xdr:pic>
      <xdr:nvPicPr>
        <xdr:cNvPr id="0" name="image570.jpg"/>
        <xdr:cNvPicPr preferRelativeResize="0"/>
      </xdr:nvPicPr>
      <xdr:blipFill>
        <a:blip cstate="print" r:embed="rId75"/>
        <a:stretch>
          <a:fillRect/>
        </a:stretch>
      </xdr:blipFill>
      <xdr:spPr>
        <a:prstGeom prst="rect">
          <a:avLst/>
        </a:prstGeom>
        <a:noFill/>
      </xdr:spPr>
    </xdr:pic>
    <xdr:clientData fLocksWithSheet="0"/>
  </xdr:oneCellAnchor>
  <xdr:oneCellAnchor>
    <xdr:from>
      <xdr:col>2</xdr:col>
      <xdr:colOff>0</xdr:colOff>
      <xdr:row>120</xdr:row>
      <xdr:rowOff>0</xdr:rowOff>
    </xdr:from>
    <xdr:ext cx="476250" cy="476250"/>
    <xdr:pic>
      <xdr:nvPicPr>
        <xdr:cNvPr id="0" name="image154.jpg"/>
        <xdr:cNvPicPr preferRelativeResize="0"/>
      </xdr:nvPicPr>
      <xdr:blipFill>
        <a:blip cstate="print" r:embed="rId76"/>
        <a:stretch>
          <a:fillRect/>
        </a:stretch>
      </xdr:blipFill>
      <xdr:spPr>
        <a:prstGeom prst="rect">
          <a:avLst/>
        </a:prstGeom>
        <a:noFill/>
      </xdr:spPr>
    </xdr:pic>
    <xdr:clientData fLocksWithSheet="0"/>
  </xdr:oneCellAnchor>
  <xdr:oneCellAnchor>
    <xdr:from>
      <xdr:col>2</xdr:col>
      <xdr:colOff>0</xdr:colOff>
      <xdr:row>121</xdr:row>
      <xdr:rowOff>0</xdr:rowOff>
    </xdr:from>
    <xdr:ext cx="476250" cy="476250"/>
    <xdr:pic>
      <xdr:nvPicPr>
        <xdr:cNvPr id="0" name="image572.png"/>
        <xdr:cNvPicPr preferRelativeResize="0"/>
      </xdr:nvPicPr>
      <xdr:blipFill>
        <a:blip cstate="print" r:embed="rId77"/>
        <a:stretch>
          <a:fillRect/>
        </a:stretch>
      </xdr:blipFill>
      <xdr:spPr>
        <a:prstGeom prst="rect">
          <a:avLst/>
        </a:prstGeom>
        <a:noFill/>
      </xdr:spPr>
    </xdr:pic>
    <xdr:clientData fLocksWithSheet="0"/>
  </xdr:oneCellAnchor>
  <xdr:oneCellAnchor>
    <xdr:from>
      <xdr:col>2</xdr:col>
      <xdr:colOff>0</xdr:colOff>
      <xdr:row>122</xdr:row>
      <xdr:rowOff>0</xdr:rowOff>
    </xdr:from>
    <xdr:ext cx="476250" cy="476250"/>
    <xdr:pic>
      <xdr:nvPicPr>
        <xdr:cNvPr id="0" name="image607.jpg"/>
        <xdr:cNvPicPr preferRelativeResize="0"/>
      </xdr:nvPicPr>
      <xdr:blipFill>
        <a:blip cstate="print" r:embed="rId78"/>
        <a:stretch>
          <a:fillRect/>
        </a:stretch>
      </xdr:blipFill>
      <xdr:spPr>
        <a:prstGeom prst="rect">
          <a:avLst/>
        </a:prstGeom>
        <a:noFill/>
      </xdr:spPr>
    </xdr:pic>
    <xdr:clientData fLocksWithSheet="0"/>
  </xdr:oneCellAnchor>
  <xdr:oneCellAnchor>
    <xdr:from>
      <xdr:col>2</xdr:col>
      <xdr:colOff>0</xdr:colOff>
      <xdr:row>123</xdr:row>
      <xdr:rowOff>0</xdr:rowOff>
    </xdr:from>
    <xdr:ext cx="476250" cy="476250"/>
    <xdr:pic>
      <xdr:nvPicPr>
        <xdr:cNvPr id="0" name="image285.jpg"/>
        <xdr:cNvPicPr preferRelativeResize="0"/>
      </xdr:nvPicPr>
      <xdr:blipFill>
        <a:blip cstate="print" r:embed="rId79"/>
        <a:stretch>
          <a:fillRect/>
        </a:stretch>
      </xdr:blipFill>
      <xdr:spPr>
        <a:prstGeom prst="rect">
          <a:avLst/>
        </a:prstGeom>
        <a:noFill/>
      </xdr:spPr>
    </xdr:pic>
    <xdr:clientData fLocksWithSheet="0"/>
  </xdr:oneCellAnchor>
  <xdr:oneCellAnchor>
    <xdr:from>
      <xdr:col>2</xdr:col>
      <xdr:colOff>0</xdr:colOff>
      <xdr:row>124</xdr:row>
      <xdr:rowOff>0</xdr:rowOff>
    </xdr:from>
    <xdr:ext cx="476250" cy="476250"/>
    <xdr:pic>
      <xdr:nvPicPr>
        <xdr:cNvPr id="0" name="image606.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125</xdr:row>
      <xdr:rowOff>0</xdr:rowOff>
    </xdr:from>
    <xdr:ext cx="476250" cy="476250"/>
    <xdr:pic>
      <xdr:nvPicPr>
        <xdr:cNvPr id="0" name="image337.png"/>
        <xdr:cNvPicPr preferRelativeResize="0"/>
      </xdr:nvPicPr>
      <xdr:blipFill>
        <a:blip cstate="print" r:embed="rId80"/>
        <a:stretch>
          <a:fillRect/>
        </a:stretch>
      </xdr:blipFill>
      <xdr:spPr>
        <a:prstGeom prst="rect">
          <a:avLst/>
        </a:prstGeom>
        <a:noFill/>
      </xdr:spPr>
    </xdr:pic>
    <xdr:clientData fLocksWithSheet="0"/>
  </xdr:oneCellAnchor>
  <xdr:oneCellAnchor>
    <xdr:from>
      <xdr:col>2</xdr:col>
      <xdr:colOff>0</xdr:colOff>
      <xdr:row>126</xdr:row>
      <xdr:rowOff>0</xdr:rowOff>
    </xdr:from>
    <xdr:ext cx="476250" cy="47625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127</xdr:row>
      <xdr:rowOff>0</xdr:rowOff>
    </xdr:from>
    <xdr:ext cx="476250" cy="476250"/>
    <xdr:pic>
      <xdr:nvPicPr>
        <xdr:cNvPr id="0" name="image431.png"/>
        <xdr:cNvPicPr preferRelativeResize="0"/>
      </xdr:nvPicPr>
      <xdr:blipFill>
        <a:blip cstate="print" r:embed="rId81"/>
        <a:stretch>
          <a:fillRect/>
        </a:stretch>
      </xdr:blipFill>
      <xdr:spPr>
        <a:prstGeom prst="rect">
          <a:avLst/>
        </a:prstGeom>
        <a:noFill/>
      </xdr:spPr>
    </xdr:pic>
    <xdr:clientData fLocksWithSheet="0"/>
  </xdr:oneCellAnchor>
  <xdr:oneCellAnchor>
    <xdr:from>
      <xdr:col>2</xdr:col>
      <xdr:colOff>0</xdr:colOff>
      <xdr:row>128</xdr:row>
      <xdr:rowOff>0</xdr:rowOff>
    </xdr:from>
    <xdr:ext cx="476250" cy="476250"/>
    <xdr:pic>
      <xdr:nvPicPr>
        <xdr:cNvPr id="0" name="image558.jp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129</xdr:row>
      <xdr:rowOff>0</xdr:rowOff>
    </xdr:from>
    <xdr:ext cx="476250" cy="476250"/>
    <xdr:pic>
      <xdr:nvPicPr>
        <xdr:cNvPr id="0" name="image333.png"/>
        <xdr:cNvPicPr preferRelativeResize="0"/>
      </xdr:nvPicPr>
      <xdr:blipFill>
        <a:blip cstate="print" r:embed="rId82"/>
        <a:stretch>
          <a:fillRect/>
        </a:stretch>
      </xdr:blipFill>
      <xdr:spPr>
        <a:prstGeom prst="rect">
          <a:avLst/>
        </a:prstGeom>
        <a:noFill/>
      </xdr:spPr>
    </xdr:pic>
    <xdr:clientData fLocksWithSheet="0"/>
  </xdr:oneCellAnchor>
  <xdr:oneCellAnchor>
    <xdr:from>
      <xdr:col>2</xdr:col>
      <xdr:colOff>0</xdr:colOff>
      <xdr:row>130</xdr:row>
      <xdr:rowOff>0</xdr:rowOff>
    </xdr:from>
    <xdr:ext cx="476250" cy="476250"/>
    <xdr:pic>
      <xdr:nvPicPr>
        <xdr:cNvPr id="0" name="image176.jpg"/>
        <xdr:cNvPicPr preferRelativeResize="0"/>
      </xdr:nvPicPr>
      <xdr:blipFill>
        <a:blip cstate="print" r:embed="rId83"/>
        <a:stretch>
          <a:fillRect/>
        </a:stretch>
      </xdr:blipFill>
      <xdr:spPr>
        <a:prstGeom prst="rect">
          <a:avLst/>
        </a:prstGeom>
        <a:noFill/>
      </xdr:spPr>
    </xdr:pic>
    <xdr:clientData fLocksWithSheet="0"/>
  </xdr:oneCellAnchor>
  <xdr:oneCellAnchor>
    <xdr:from>
      <xdr:col>2</xdr:col>
      <xdr:colOff>0</xdr:colOff>
      <xdr:row>131</xdr:row>
      <xdr:rowOff>0</xdr:rowOff>
    </xdr:from>
    <xdr:ext cx="476250" cy="476250"/>
    <xdr:pic>
      <xdr:nvPicPr>
        <xdr:cNvPr id="0" name="image330.jpg"/>
        <xdr:cNvPicPr preferRelativeResize="0"/>
      </xdr:nvPicPr>
      <xdr:blipFill>
        <a:blip cstate="print" r:embed="rId84"/>
        <a:stretch>
          <a:fillRect/>
        </a:stretch>
      </xdr:blipFill>
      <xdr:spPr>
        <a:prstGeom prst="rect">
          <a:avLst/>
        </a:prstGeom>
        <a:noFill/>
      </xdr:spPr>
    </xdr:pic>
    <xdr:clientData fLocksWithSheet="0"/>
  </xdr:oneCellAnchor>
  <xdr:oneCellAnchor>
    <xdr:from>
      <xdr:col>2</xdr:col>
      <xdr:colOff>0</xdr:colOff>
      <xdr:row>132</xdr:row>
      <xdr:rowOff>0</xdr:rowOff>
    </xdr:from>
    <xdr:ext cx="476250" cy="476250"/>
    <xdr:pic>
      <xdr:nvPicPr>
        <xdr:cNvPr id="0" name="image599.png"/>
        <xdr:cNvPicPr preferRelativeResize="0"/>
      </xdr:nvPicPr>
      <xdr:blipFill>
        <a:blip cstate="print" r:embed="rId85"/>
        <a:stretch>
          <a:fillRect/>
        </a:stretch>
      </xdr:blipFill>
      <xdr:spPr>
        <a:prstGeom prst="rect">
          <a:avLst/>
        </a:prstGeom>
        <a:noFill/>
      </xdr:spPr>
    </xdr:pic>
    <xdr:clientData fLocksWithSheet="0"/>
  </xdr:oneCellAnchor>
  <xdr:oneCellAnchor>
    <xdr:from>
      <xdr:col>2</xdr:col>
      <xdr:colOff>0</xdr:colOff>
      <xdr:row>133</xdr:row>
      <xdr:rowOff>0</xdr:rowOff>
    </xdr:from>
    <xdr:ext cx="476250" cy="476250"/>
    <xdr:pic>
      <xdr:nvPicPr>
        <xdr:cNvPr id="0" name="image497.jpg"/>
        <xdr:cNvPicPr preferRelativeResize="0"/>
      </xdr:nvPicPr>
      <xdr:blipFill>
        <a:blip cstate="print" r:embed="rId86"/>
        <a:stretch>
          <a:fillRect/>
        </a:stretch>
      </xdr:blipFill>
      <xdr:spPr>
        <a:prstGeom prst="rect">
          <a:avLst/>
        </a:prstGeom>
        <a:noFill/>
      </xdr:spPr>
    </xdr:pic>
    <xdr:clientData fLocksWithSheet="0"/>
  </xdr:oneCellAnchor>
  <xdr:oneCellAnchor>
    <xdr:from>
      <xdr:col>2</xdr:col>
      <xdr:colOff>0</xdr:colOff>
      <xdr:row>134</xdr:row>
      <xdr:rowOff>0</xdr:rowOff>
    </xdr:from>
    <xdr:ext cx="476250" cy="476250"/>
    <xdr:pic>
      <xdr:nvPicPr>
        <xdr:cNvPr id="0" name="image349.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135</xdr:row>
      <xdr:rowOff>0</xdr:rowOff>
    </xdr:from>
    <xdr:ext cx="476250" cy="476250"/>
    <xdr:pic>
      <xdr:nvPicPr>
        <xdr:cNvPr id="0" name="image572.png"/>
        <xdr:cNvPicPr preferRelativeResize="0"/>
      </xdr:nvPicPr>
      <xdr:blipFill>
        <a:blip cstate="print" r:embed="rId77"/>
        <a:stretch>
          <a:fillRect/>
        </a:stretch>
      </xdr:blipFill>
      <xdr:spPr>
        <a:prstGeom prst="rect">
          <a:avLst/>
        </a:prstGeom>
        <a:noFill/>
      </xdr:spPr>
    </xdr:pic>
    <xdr:clientData fLocksWithSheet="0"/>
  </xdr:oneCellAnchor>
  <xdr:oneCellAnchor>
    <xdr:from>
      <xdr:col>2</xdr:col>
      <xdr:colOff>0</xdr:colOff>
      <xdr:row>136</xdr:row>
      <xdr:rowOff>0</xdr:rowOff>
    </xdr:from>
    <xdr:ext cx="476250" cy="476250"/>
    <xdr:pic>
      <xdr:nvPicPr>
        <xdr:cNvPr id="0" name="image589.pn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137</xdr:row>
      <xdr:rowOff>0</xdr:rowOff>
    </xdr:from>
    <xdr:ext cx="476250" cy="476250"/>
    <xdr:pic>
      <xdr:nvPicPr>
        <xdr:cNvPr id="0" name="image345.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138</xdr:row>
      <xdr:rowOff>0</xdr:rowOff>
    </xdr:from>
    <xdr:ext cx="476250" cy="476250"/>
    <xdr:pic>
      <xdr:nvPicPr>
        <xdr:cNvPr id="0" name="image300.jpg"/>
        <xdr:cNvPicPr preferRelativeResize="0"/>
      </xdr:nvPicPr>
      <xdr:blipFill>
        <a:blip cstate="print" r:embed="rId87"/>
        <a:stretch>
          <a:fillRect/>
        </a:stretch>
      </xdr:blipFill>
      <xdr:spPr>
        <a:prstGeom prst="rect">
          <a:avLst/>
        </a:prstGeom>
        <a:noFill/>
      </xdr:spPr>
    </xdr:pic>
    <xdr:clientData fLocksWithSheet="0"/>
  </xdr:oneCellAnchor>
  <xdr:oneCellAnchor>
    <xdr:from>
      <xdr:col>2</xdr:col>
      <xdr:colOff>0</xdr:colOff>
      <xdr:row>139</xdr:row>
      <xdr:rowOff>0</xdr:rowOff>
    </xdr:from>
    <xdr:ext cx="476250" cy="476250"/>
    <xdr:pic>
      <xdr:nvPicPr>
        <xdr:cNvPr id="0" name="image589.pn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140</xdr:row>
      <xdr:rowOff>0</xdr:rowOff>
    </xdr:from>
    <xdr:ext cx="476250" cy="476250"/>
    <xdr:pic>
      <xdr:nvPicPr>
        <xdr:cNvPr id="0" name="image433.pn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141</xdr:row>
      <xdr:rowOff>0</xdr:rowOff>
    </xdr:from>
    <xdr:ext cx="476250" cy="476250"/>
    <xdr:pic>
      <xdr:nvPicPr>
        <xdr:cNvPr id="0" name="image423.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142</xdr:row>
      <xdr:rowOff>0</xdr:rowOff>
    </xdr:from>
    <xdr:ext cx="476250" cy="476250"/>
    <xdr:pic>
      <xdr:nvPicPr>
        <xdr:cNvPr id="0" name="image249.jp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143</xdr:row>
      <xdr:rowOff>0</xdr:rowOff>
    </xdr:from>
    <xdr:ext cx="476250" cy="476250"/>
    <xdr:pic>
      <xdr:nvPicPr>
        <xdr:cNvPr id="0" name="image156.jpg"/>
        <xdr:cNvPicPr preferRelativeResize="0"/>
      </xdr:nvPicPr>
      <xdr:blipFill>
        <a:blip cstate="print" r:embed="rId67"/>
        <a:stretch>
          <a:fillRect/>
        </a:stretch>
      </xdr:blipFill>
      <xdr:spPr>
        <a:prstGeom prst="rect">
          <a:avLst/>
        </a:prstGeom>
        <a:noFill/>
      </xdr:spPr>
    </xdr:pic>
    <xdr:clientData fLocksWithSheet="0"/>
  </xdr:oneCellAnchor>
  <xdr:oneCellAnchor>
    <xdr:from>
      <xdr:col>2</xdr:col>
      <xdr:colOff>0</xdr:colOff>
      <xdr:row>144</xdr:row>
      <xdr:rowOff>0</xdr:rowOff>
    </xdr:from>
    <xdr:ext cx="476250" cy="476250"/>
    <xdr:pic>
      <xdr:nvPicPr>
        <xdr:cNvPr id="0" name="image168.jpg"/>
        <xdr:cNvPicPr preferRelativeResize="0"/>
      </xdr:nvPicPr>
      <xdr:blipFill>
        <a:blip cstate="print" r:embed="rId88"/>
        <a:stretch>
          <a:fillRect/>
        </a:stretch>
      </xdr:blipFill>
      <xdr:spPr>
        <a:prstGeom prst="rect">
          <a:avLst/>
        </a:prstGeom>
        <a:noFill/>
      </xdr:spPr>
    </xdr:pic>
    <xdr:clientData fLocksWithSheet="0"/>
  </xdr:oneCellAnchor>
  <xdr:oneCellAnchor>
    <xdr:from>
      <xdr:col>2</xdr:col>
      <xdr:colOff>0</xdr:colOff>
      <xdr:row>145</xdr:row>
      <xdr:rowOff>0</xdr:rowOff>
    </xdr:from>
    <xdr:ext cx="476250" cy="476250"/>
    <xdr:pic>
      <xdr:nvPicPr>
        <xdr:cNvPr id="0" name="image376.png"/>
        <xdr:cNvPicPr preferRelativeResize="0"/>
      </xdr:nvPicPr>
      <xdr:blipFill>
        <a:blip cstate="print" r:embed="rId89"/>
        <a:stretch>
          <a:fillRect/>
        </a:stretch>
      </xdr:blipFill>
      <xdr:spPr>
        <a:prstGeom prst="rect">
          <a:avLst/>
        </a:prstGeom>
        <a:noFill/>
      </xdr:spPr>
    </xdr:pic>
    <xdr:clientData fLocksWithSheet="0"/>
  </xdr:oneCellAnchor>
  <xdr:oneCellAnchor>
    <xdr:from>
      <xdr:col>2</xdr:col>
      <xdr:colOff>0</xdr:colOff>
      <xdr:row>146</xdr:row>
      <xdr:rowOff>0</xdr:rowOff>
    </xdr:from>
    <xdr:ext cx="476250" cy="476250"/>
    <xdr:pic>
      <xdr:nvPicPr>
        <xdr:cNvPr id="0" name="image568.jpg"/>
        <xdr:cNvPicPr preferRelativeResize="0"/>
      </xdr:nvPicPr>
      <xdr:blipFill>
        <a:blip cstate="print" r:embed="rId90"/>
        <a:stretch>
          <a:fillRect/>
        </a:stretch>
      </xdr:blipFill>
      <xdr:spPr>
        <a:prstGeom prst="rect">
          <a:avLst/>
        </a:prstGeom>
        <a:noFill/>
      </xdr:spPr>
    </xdr:pic>
    <xdr:clientData fLocksWithSheet="0"/>
  </xdr:oneCellAnchor>
  <xdr:oneCellAnchor>
    <xdr:from>
      <xdr:col>2</xdr:col>
      <xdr:colOff>0</xdr:colOff>
      <xdr:row>147</xdr:row>
      <xdr:rowOff>0</xdr:rowOff>
    </xdr:from>
    <xdr:ext cx="476250" cy="476250"/>
    <xdr:pic>
      <xdr:nvPicPr>
        <xdr:cNvPr id="0" name="image567.jpg"/>
        <xdr:cNvPicPr preferRelativeResize="0"/>
      </xdr:nvPicPr>
      <xdr:blipFill>
        <a:blip cstate="print" r:embed="rId91"/>
        <a:stretch>
          <a:fillRect/>
        </a:stretch>
      </xdr:blipFill>
      <xdr:spPr>
        <a:prstGeom prst="rect">
          <a:avLst/>
        </a:prstGeom>
        <a:noFill/>
      </xdr:spPr>
    </xdr:pic>
    <xdr:clientData fLocksWithSheet="0"/>
  </xdr:oneCellAnchor>
  <xdr:oneCellAnchor>
    <xdr:from>
      <xdr:col>2</xdr:col>
      <xdr:colOff>0</xdr:colOff>
      <xdr:row>148</xdr:row>
      <xdr:rowOff>0</xdr:rowOff>
    </xdr:from>
    <xdr:ext cx="476250" cy="476250"/>
    <xdr:pic>
      <xdr:nvPicPr>
        <xdr:cNvPr id="0" name="image501.jpg"/>
        <xdr:cNvPicPr preferRelativeResize="0"/>
      </xdr:nvPicPr>
      <xdr:blipFill>
        <a:blip cstate="print" r:embed="rId92"/>
        <a:stretch>
          <a:fillRect/>
        </a:stretch>
      </xdr:blipFill>
      <xdr:spPr>
        <a:prstGeom prst="rect">
          <a:avLst/>
        </a:prstGeom>
        <a:noFill/>
      </xdr:spPr>
    </xdr:pic>
    <xdr:clientData fLocksWithSheet="0"/>
  </xdr:oneCellAnchor>
  <xdr:oneCellAnchor>
    <xdr:from>
      <xdr:col>2</xdr:col>
      <xdr:colOff>0</xdr:colOff>
      <xdr:row>149</xdr:row>
      <xdr:rowOff>0</xdr:rowOff>
    </xdr:from>
    <xdr:ext cx="466725" cy="476250"/>
    <xdr:pic>
      <xdr:nvPicPr>
        <xdr:cNvPr id="0" name="image354.png"/>
        <xdr:cNvPicPr preferRelativeResize="0"/>
      </xdr:nvPicPr>
      <xdr:blipFill>
        <a:blip cstate="print" r:embed="rId93"/>
        <a:stretch>
          <a:fillRect/>
        </a:stretch>
      </xdr:blipFill>
      <xdr:spPr>
        <a:prstGeom prst="rect">
          <a:avLst/>
        </a:prstGeom>
        <a:noFill/>
      </xdr:spPr>
    </xdr:pic>
    <xdr:clientData fLocksWithSheet="0"/>
  </xdr:oneCellAnchor>
  <xdr:oneCellAnchor>
    <xdr:from>
      <xdr:col>2</xdr:col>
      <xdr:colOff>0</xdr:colOff>
      <xdr:row>150</xdr:row>
      <xdr:rowOff>0</xdr:rowOff>
    </xdr:from>
    <xdr:ext cx="476250" cy="476250"/>
    <xdr:pic>
      <xdr:nvPicPr>
        <xdr:cNvPr id="0" name="image568.jpg"/>
        <xdr:cNvPicPr preferRelativeResize="0"/>
      </xdr:nvPicPr>
      <xdr:blipFill>
        <a:blip cstate="print" r:embed="rId90"/>
        <a:stretch>
          <a:fillRect/>
        </a:stretch>
      </xdr:blipFill>
      <xdr:spPr>
        <a:prstGeom prst="rect">
          <a:avLst/>
        </a:prstGeom>
        <a:noFill/>
      </xdr:spPr>
    </xdr:pic>
    <xdr:clientData fLocksWithSheet="0"/>
  </xdr:oneCellAnchor>
  <xdr:oneCellAnchor>
    <xdr:from>
      <xdr:col>2</xdr:col>
      <xdr:colOff>0</xdr:colOff>
      <xdr:row>151</xdr:row>
      <xdr:rowOff>0</xdr:rowOff>
    </xdr:from>
    <xdr:ext cx="466725" cy="476250"/>
    <xdr:pic>
      <xdr:nvPicPr>
        <xdr:cNvPr id="0" name="image354.png"/>
        <xdr:cNvPicPr preferRelativeResize="0"/>
      </xdr:nvPicPr>
      <xdr:blipFill>
        <a:blip cstate="print" r:embed="rId93"/>
        <a:stretch>
          <a:fillRect/>
        </a:stretch>
      </xdr:blipFill>
      <xdr:spPr>
        <a:prstGeom prst="rect">
          <a:avLst/>
        </a:prstGeom>
        <a:noFill/>
      </xdr:spPr>
    </xdr:pic>
    <xdr:clientData fLocksWithSheet="0"/>
  </xdr:oneCellAnchor>
  <xdr:oneCellAnchor>
    <xdr:from>
      <xdr:col>2</xdr:col>
      <xdr:colOff>0</xdr:colOff>
      <xdr:row>152</xdr:row>
      <xdr:rowOff>0</xdr:rowOff>
    </xdr:from>
    <xdr:ext cx="476250" cy="476250"/>
    <xdr:pic>
      <xdr:nvPicPr>
        <xdr:cNvPr id="0" name="image334.png"/>
        <xdr:cNvPicPr preferRelativeResize="0"/>
      </xdr:nvPicPr>
      <xdr:blipFill>
        <a:blip cstate="print" r:embed="rId94"/>
        <a:stretch>
          <a:fillRect/>
        </a:stretch>
      </xdr:blipFill>
      <xdr:spPr>
        <a:prstGeom prst="rect">
          <a:avLst/>
        </a:prstGeom>
        <a:noFill/>
      </xdr:spPr>
    </xdr:pic>
    <xdr:clientData fLocksWithSheet="0"/>
  </xdr:oneCellAnchor>
  <xdr:oneCellAnchor>
    <xdr:from>
      <xdr:col>2</xdr:col>
      <xdr:colOff>0</xdr:colOff>
      <xdr:row>153</xdr:row>
      <xdr:rowOff>0</xdr:rowOff>
    </xdr:from>
    <xdr:ext cx="476250" cy="476250"/>
    <xdr:pic>
      <xdr:nvPicPr>
        <xdr:cNvPr id="0" name="image336.png"/>
        <xdr:cNvPicPr preferRelativeResize="0"/>
      </xdr:nvPicPr>
      <xdr:blipFill>
        <a:blip cstate="print" r:embed="rId95"/>
        <a:stretch>
          <a:fillRect/>
        </a:stretch>
      </xdr:blipFill>
      <xdr:spPr>
        <a:prstGeom prst="rect">
          <a:avLst/>
        </a:prstGeom>
        <a:noFill/>
      </xdr:spPr>
    </xdr:pic>
    <xdr:clientData fLocksWithSheet="0"/>
  </xdr:oneCellAnchor>
  <xdr:oneCellAnchor>
    <xdr:from>
      <xdr:col>2</xdr:col>
      <xdr:colOff>0</xdr:colOff>
      <xdr:row>154</xdr:row>
      <xdr:rowOff>0</xdr:rowOff>
    </xdr:from>
    <xdr:ext cx="476250" cy="476250"/>
    <xdr:pic>
      <xdr:nvPicPr>
        <xdr:cNvPr id="0" name="image349.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155</xdr:row>
      <xdr:rowOff>0</xdr:rowOff>
    </xdr:from>
    <xdr:ext cx="476250" cy="476250"/>
    <xdr:pic>
      <xdr:nvPicPr>
        <xdr:cNvPr id="0" name="image363.png"/>
        <xdr:cNvPicPr preferRelativeResize="0"/>
      </xdr:nvPicPr>
      <xdr:blipFill>
        <a:blip cstate="print" r:embed="rId96"/>
        <a:stretch>
          <a:fillRect/>
        </a:stretch>
      </xdr:blipFill>
      <xdr:spPr>
        <a:prstGeom prst="rect">
          <a:avLst/>
        </a:prstGeom>
        <a:noFill/>
      </xdr:spPr>
    </xdr:pic>
    <xdr:clientData fLocksWithSheet="0"/>
  </xdr:oneCellAnchor>
  <xdr:oneCellAnchor>
    <xdr:from>
      <xdr:col>2</xdr:col>
      <xdr:colOff>0</xdr:colOff>
      <xdr:row>156</xdr:row>
      <xdr:rowOff>0</xdr:rowOff>
    </xdr:from>
    <xdr:ext cx="476250" cy="476250"/>
    <xdr:pic>
      <xdr:nvPicPr>
        <xdr:cNvPr id="0" name="image397.png"/>
        <xdr:cNvPicPr preferRelativeResize="0"/>
      </xdr:nvPicPr>
      <xdr:blipFill>
        <a:blip cstate="print" r:embed="rId97"/>
        <a:stretch>
          <a:fillRect/>
        </a:stretch>
      </xdr:blipFill>
      <xdr:spPr>
        <a:prstGeom prst="rect">
          <a:avLst/>
        </a:prstGeom>
        <a:noFill/>
      </xdr:spPr>
    </xdr:pic>
    <xdr:clientData fLocksWithSheet="0"/>
  </xdr:oneCellAnchor>
  <xdr:oneCellAnchor>
    <xdr:from>
      <xdr:col>2</xdr:col>
      <xdr:colOff>0</xdr:colOff>
      <xdr:row>157</xdr:row>
      <xdr:rowOff>0</xdr:rowOff>
    </xdr:from>
    <xdr:ext cx="476250" cy="476250"/>
    <xdr:pic>
      <xdr:nvPicPr>
        <xdr:cNvPr id="0" name="image219.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158</xdr:row>
      <xdr:rowOff>0</xdr:rowOff>
    </xdr:from>
    <xdr:ext cx="476250" cy="476250"/>
    <xdr:pic>
      <xdr:nvPicPr>
        <xdr:cNvPr id="0" name="image376.png"/>
        <xdr:cNvPicPr preferRelativeResize="0"/>
      </xdr:nvPicPr>
      <xdr:blipFill>
        <a:blip cstate="print" r:embed="rId89"/>
        <a:stretch>
          <a:fillRect/>
        </a:stretch>
      </xdr:blipFill>
      <xdr:spPr>
        <a:prstGeom prst="rect">
          <a:avLst/>
        </a:prstGeom>
        <a:noFill/>
      </xdr:spPr>
    </xdr:pic>
    <xdr:clientData fLocksWithSheet="0"/>
  </xdr:oneCellAnchor>
  <xdr:oneCellAnchor>
    <xdr:from>
      <xdr:col>2</xdr:col>
      <xdr:colOff>0</xdr:colOff>
      <xdr:row>159</xdr:row>
      <xdr:rowOff>0</xdr:rowOff>
    </xdr:from>
    <xdr:ext cx="476250" cy="476250"/>
    <xdr:pic>
      <xdr:nvPicPr>
        <xdr:cNvPr id="0" name="image168.jpg"/>
        <xdr:cNvPicPr preferRelativeResize="0"/>
      </xdr:nvPicPr>
      <xdr:blipFill>
        <a:blip cstate="print" r:embed="rId88"/>
        <a:stretch>
          <a:fillRect/>
        </a:stretch>
      </xdr:blipFill>
      <xdr:spPr>
        <a:prstGeom prst="rect">
          <a:avLst/>
        </a:prstGeom>
        <a:noFill/>
      </xdr:spPr>
    </xdr:pic>
    <xdr:clientData fLocksWithSheet="0"/>
  </xdr:oneCellAnchor>
  <xdr:oneCellAnchor>
    <xdr:from>
      <xdr:col>2</xdr:col>
      <xdr:colOff>0</xdr:colOff>
      <xdr:row>160</xdr:row>
      <xdr:rowOff>0</xdr:rowOff>
    </xdr:from>
    <xdr:ext cx="476250" cy="476250"/>
    <xdr:pic>
      <xdr:nvPicPr>
        <xdr:cNvPr id="0" name="image543.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161</xdr:row>
      <xdr:rowOff>0</xdr:rowOff>
    </xdr:from>
    <xdr:ext cx="476250" cy="476250"/>
    <xdr:pic>
      <xdr:nvPicPr>
        <xdr:cNvPr id="0" name="image73.jpg"/>
        <xdr:cNvPicPr preferRelativeResize="0"/>
      </xdr:nvPicPr>
      <xdr:blipFill>
        <a:blip cstate="print" r:embed="rId98"/>
        <a:stretch>
          <a:fillRect/>
        </a:stretch>
      </xdr:blipFill>
      <xdr:spPr>
        <a:prstGeom prst="rect">
          <a:avLst/>
        </a:prstGeom>
        <a:noFill/>
      </xdr:spPr>
    </xdr:pic>
    <xdr:clientData fLocksWithSheet="0"/>
  </xdr:oneCellAnchor>
  <xdr:oneCellAnchor>
    <xdr:from>
      <xdr:col>2</xdr:col>
      <xdr:colOff>0</xdr:colOff>
      <xdr:row>162</xdr:row>
      <xdr:rowOff>0</xdr:rowOff>
    </xdr:from>
    <xdr:ext cx="476250" cy="476250"/>
    <xdr:pic>
      <xdr:nvPicPr>
        <xdr:cNvPr id="0" name="image577.jpg"/>
        <xdr:cNvPicPr preferRelativeResize="0"/>
      </xdr:nvPicPr>
      <xdr:blipFill>
        <a:blip cstate="print" r:embed="rId99"/>
        <a:stretch>
          <a:fillRect/>
        </a:stretch>
      </xdr:blipFill>
      <xdr:spPr>
        <a:prstGeom prst="rect">
          <a:avLst/>
        </a:prstGeom>
        <a:noFill/>
      </xdr:spPr>
    </xdr:pic>
    <xdr:clientData fLocksWithSheet="0"/>
  </xdr:oneCellAnchor>
  <xdr:oneCellAnchor>
    <xdr:from>
      <xdr:col>2</xdr:col>
      <xdr:colOff>0</xdr:colOff>
      <xdr:row>163</xdr:row>
      <xdr:rowOff>0</xdr:rowOff>
    </xdr:from>
    <xdr:ext cx="476250" cy="476250"/>
    <xdr:pic>
      <xdr:nvPicPr>
        <xdr:cNvPr id="0" name="image179.jpg"/>
        <xdr:cNvPicPr preferRelativeResize="0"/>
      </xdr:nvPicPr>
      <xdr:blipFill>
        <a:blip cstate="print" r:embed="rId100"/>
        <a:stretch>
          <a:fillRect/>
        </a:stretch>
      </xdr:blipFill>
      <xdr:spPr>
        <a:prstGeom prst="rect">
          <a:avLst/>
        </a:prstGeom>
        <a:noFill/>
      </xdr:spPr>
    </xdr:pic>
    <xdr:clientData fLocksWithSheet="0"/>
  </xdr:oneCellAnchor>
  <xdr:oneCellAnchor>
    <xdr:from>
      <xdr:col>2</xdr:col>
      <xdr:colOff>0</xdr:colOff>
      <xdr:row>164</xdr:row>
      <xdr:rowOff>0</xdr:rowOff>
    </xdr:from>
    <xdr:ext cx="476250" cy="476250"/>
    <xdr:pic>
      <xdr:nvPicPr>
        <xdr:cNvPr id="0" name="image575.jpg"/>
        <xdr:cNvPicPr preferRelativeResize="0"/>
      </xdr:nvPicPr>
      <xdr:blipFill>
        <a:blip cstate="print" r:embed="rId101"/>
        <a:stretch>
          <a:fillRect/>
        </a:stretch>
      </xdr:blipFill>
      <xdr:spPr>
        <a:prstGeom prst="rect">
          <a:avLst/>
        </a:prstGeom>
        <a:noFill/>
      </xdr:spPr>
    </xdr:pic>
    <xdr:clientData fLocksWithSheet="0"/>
  </xdr:oneCellAnchor>
  <xdr:oneCellAnchor>
    <xdr:from>
      <xdr:col>2</xdr:col>
      <xdr:colOff>0</xdr:colOff>
      <xdr:row>165</xdr:row>
      <xdr:rowOff>0</xdr:rowOff>
    </xdr:from>
    <xdr:ext cx="476250" cy="476250"/>
    <xdr:pic>
      <xdr:nvPicPr>
        <xdr:cNvPr id="0" name="image348.pn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166</xdr:row>
      <xdr:rowOff>0</xdr:rowOff>
    </xdr:from>
    <xdr:ext cx="476250" cy="476250"/>
    <xdr:pic>
      <xdr:nvPicPr>
        <xdr:cNvPr id="0" name="image404.png"/>
        <xdr:cNvPicPr preferRelativeResize="0"/>
      </xdr:nvPicPr>
      <xdr:blipFill>
        <a:blip cstate="print" r:embed="rId102"/>
        <a:stretch>
          <a:fillRect/>
        </a:stretch>
      </xdr:blipFill>
      <xdr:spPr>
        <a:prstGeom prst="rect">
          <a:avLst/>
        </a:prstGeom>
        <a:noFill/>
      </xdr:spPr>
    </xdr:pic>
    <xdr:clientData fLocksWithSheet="0"/>
  </xdr:oneCellAnchor>
  <xdr:oneCellAnchor>
    <xdr:from>
      <xdr:col>2</xdr:col>
      <xdr:colOff>0</xdr:colOff>
      <xdr:row>167</xdr:row>
      <xdr:rowOff>0</xdr:rowOff>
    </xdr:from>
    <xdr:ext cx="476250" cy="476250"/>
    <xdr:pic>
      <xdr:nvPicPr>
        <xdr:cNvPr id="0" name="image346.png"/>
        <xdr:cNvPicPr preferRelativeResize="0"/>
      </xdr:nvPicPr>
      <xdr:blipFill>
        <a:blip cstate="print" r:embed="rId103"/>
        <a:stretch>
          <a:fillRect/>
        </a:stretch>
      </xdr:blipFill>
      <xdr:spPr>
        <a:prstGeom prst="rect">
          <a:avLst/>
        </a:prstGeom>
        <a:noFill/>
      </xdr:spPr>
    </xdr:pic>
    <xdr:clientData fLocksWithSheet="0"/>
  </xdr:oneCellAnchor>
  <xdr:oneCellAnchor>
    <xdr:from>
      <xdr:col>2</xdr:col>
      <xdr:colOff>0</xdr:colOff>
      <xdr:row>168</xdr:row>
      <xdr:rowOff>0</xdr:rowOff>
    </xdr:from>
    <xdr:ext cx="476250" cy="476250"/>
    <xdr:pic>
      <xdr:nvPicPr>
        <xdr:cNvPr id="0" name="image572.png"/>
        <xdr:cNvPicPr preferRelativeResize="0"/>
      </xdr:nvPicPr>
      <xdr:blipFill>
        <a:blip cstate="print" r:embed="rId77"/>
        <a:stretch>
          <a:fillRect/>
        </a:stretch>
      </xdr:blipFill>
      <xdr:spPr>
        <a:prstGeom prst="rect">
          <a:avLst/>
        </a:prstGeom>
        <a:noFill/>
      </xdr:spPr>
    </xdr:pic>
    <xdr:clientData fLocksWithSheet="0"/>
  </xdr:oneCellAnchor>
  <xdr:oneCellAnchor>
    <xdr:from>
      <xdr:col>2</xdr:col>
      <xdr:colOff>0</xdr:colOff>
      <xdr:row>169</xdr:row>
      <xdr:rowOff>0</xdr:rowOff>
    </xdr:from>
    <xdr:ext cx="476250" cy="476250"/>
    <xdr:pic>
      <xdr:nvPicPr>
        <xdr:cNvPr id="0" name="image397.png"/>
        <xdr:cNvPicPr preferRelativeResize="0"/>
      </xdr:nvPicPr>
      <xdr:blipFill>
        <a:blip cstate="print" r:embed="rId97"/>
        <a:stretch>
          <a:fillRect/>
        </a:stretch>
      </xdr:blipFill>
      <xdr:spPr>
        <a:prstGeom prst="rect">
          <a:avLst/>
        </a:prstGeom>
        <a:noFill/>
      </xdr:spPr>
    </xdr:pic>
    <xdr:clientData fLocksWithSheet="0"/>
  </xdr:oneCellAnchor>
  <xdr:oneCellAnchor>
    <xdr:from>
      <xdr:col>2</xdr:col>
      <xdr:colOff>0</xdr:colOff>
      <xdr:row>170</xdr:row>
      <xdr:rowOff>0</xdr:rowOff>
    </xdr:from>
    <xdr:ext cx="476250" cy="476250"/>
    <xdr:pic>
      <xdr:nvPicPr>
        <xdr:cNvPr id="0" name="image383.png"/>
        <xdr:cNvPicPr preferRelativeResize="0"/>
      </xdr:nvPicPr>
      <xdr:blipFill>
        <a:blip cstate="print" r:embed="rId104"/>
        <a:stretch>
          <a:fillRect/>
        </a:stretch>
      </xdr:blipFill>
      <xdr:spPr>
        <a:prstGeom prst="rect">
          <a:avLst/>
        </a:prstGeom>
        <a:noFill/>
      </xdr:spPr>
    </xdr:pic>
    <xdr:clientData fLocksWithSheet="0"/>
  </xdr:oneCellAnchor>
  <xdr:oneCellAnchor>
    <xdr:from>
      <xdr:col>2</xdr:col>
      <xdr:colOff>0</xdr:colOff>
      <xdr:row>171</xdr:row>
      <xdr:rowOff>0</xdr:rowOff>
    </xdr:from>
    <xdr:ext cx="476250" cy="476250"/>
    <xdr:pic>
      <xdr:nvPicPr>
        <xdr:cNvPr id="0" name="image543.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172</xdr:row>
      <xdr:rowOff>0</xdr:rowOff>
    </xdr:from>
    <xdr:ext cx="466725" cy="476250"/>
    <xdr:pic>
      <xdr:nvPicPr>
        <xdr:cNvPr id="0" name="image365.png"/>
        <xdr:cNvPicPr preferRelativeResize="0"/>
      </xdr:nvPicPr>
      <xdr:blipFill>
        <a:blip cstate="print" r:embed="rId105"/>
        <a:stretch>
          <a:fillRect/>
        </a:stretch>
      </xdr:blipFill>
      <xdr:spPr>
        <a:prstGeom prst="rect">
          <a:avLst/>
        </a:prstGeom>
        <a:noFill/>
      </xdr:spPr>
    </xdr:pic>
    <xdr:clientData fLocksWithSheet="0"/>
  </xdr:oneCellAnchor>
  <xdr:oneCellAnchor>
    <xdr:from>
      <xdr:col>2</xdr:col>
      <xdr:colOff>0</xdr:colOff>
      <xdr:row>173</xdr:row>
      <xdr:rowOff>0</xdr:rowOff>
    </xdr:from>
    <xdr:ext cx="476250" cy="476250"/>
    <xdr:pic>
      <xdr:nvPicPr>
        <xdr:cNvPr id="0" name="image562.jpg"/>
        <xdr:cNvPicPr preferRelativeResize="0"/>
      </xdr:nvPicPr>
      <xdr:blipFill>
        <a:blip cstate="print" r:embed="rId106"/>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571500" cy="571500"/>
    <xdr:pic>
      <xdr:nvPicPr>
        <xdr:cNvPr id="0" name="image59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xdr:row>
      <xdr:rowOff>0</xdr:rowOff>
    </xdr:from>
    <xdr:ext cx="571500" cy="571500"/>
    <xdr:pic>
      <xdr:nvPicPr>
        <xdr:cNvPr id="0" name="image59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xdr:row>
      <xdr:rowOff>0</xdr:rowOff>
    </xdr:from>
    <xdr:ext cx="571500" cy="571500"/>
    <xdr:pic>
      <xdr:nvPicPr>
        <xdr:cNvPr id="0" name="image59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xdr:row>
      <xdr:rowOff>0</xdr:rowOff>
    </xdr:from>
    <xdr:ext cx="571500" cy="571500"/>
    <xdr:pic>
      <xdr:nvPicPr>
        <xdr:cNvPr id="0" name="image59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6</xdr:row>
      <xdr:rowOff>0</xdr:rowOff>
    </xdr:from>
    <xdr:ext cx="571500" cy="571500"/>
    <xdr:pic>
      <xdr:nvPicPr>
        <xdr:cNvPr id="0" name="image595.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571500" cy="571500"/>
    <xdr:pic>
      <xdr:nvPicPr>
        <xdr:cNvPr id="0" name="image456.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571500" cy="571500"/>
    <xdr:pic>
      <xdr:nvPicPr>
        <xdr:cNvPr id="0" name="image597.jp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571500" cy="571500"/>
    <xdr:pic>
      <xdr:nvPicPr>
        <xdr:cNvPr id="0" name="image383.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571500" cy="571500"/>
    <xdr:pic>
      <xdr:nvPicPr>
        <xdr:cNvPr id="0" name="image594.jp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571500" cy="571500"/>
    <xdr:pic>
      <xdr:nvPicPr>
        <xdr:cNvPr id="0" name="image37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571500" cy="571500"/>
    <xdr:pic>
      <xdr:nvPicPr>
        <xdr:cNvPr id="0" name="image420.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7</xdr:row>
      <xdr:rowOff>0</xdr:rowOff>
    </xdr:from>
    <xdr:ext cx="571500" cy="571500"/>
    <xdr:pic>
      <xdr:nvPicPr>
        <xdr:cNvPr id="0" name="image598.jp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xdr:row>
      <xdr:rowOff>0</xdr:rowOff>
    </xdr:from>
    <xdr:ext cx="571500" cy="571500"/>
    <xdr:pic>
      <xdr:nvPicPr>
        <xdr:cNvPr id="0" name="image342.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9</xdr:row>
      <xdr:rowOff>0</xdr:rowOff>
    </xdr:from>
    <xdr:ext cx="571500" cy="571500"/>
    <xdr:pic>
      <xdr:nvPicPr>
        <xdr:cNvPr id="0" name="image622.jp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10</xdr:row>
      <xdr:rowOff>0</xdr:rowOff>
    </xdr:from>
    <xdr:ext cx="571500" cy="571500"/>
    <xdr:pic>
      <xdr:nvPicPr>
        <xdr:cNvPr id="0" name="image612.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11</xdr:row>
      <xdr:rowOff>0</xdr:rowOff>
    </xdr:from>
    <xdr:ext cx="571500" cy="571500"/>
    <xdr:pic>
      <xdr:nvPicPr>
        <xdr:cNvPr id="0" name="image621.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12</xdr:row>
      <xdr:rowOff>0</xdr:rowOff>
    </xdr:from>
    <xdr:ext cx="571500" cy="571500"/>
    <xdr:pic>
      <xdr:nvPicPr>
        <xdr:cNvPr id="0" name="image608.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xdr:row>
      <xdr:rowOff>0</xdr:rowOff>
    </xdr:from>
    <xdr:ext cx="571500" cy="571500"/>
    <xdr:pic>
      <xdr:nvPicPr>
        <xdr:cNvPr id="0" name="image609.jp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14</xdr:row>
      <xdr:rowOff>0</xdr:rowOff>
    </xdr:from>
    <xdr:ext cx="571500" cy="571500"/>
    <xdr:pic>
      <xdr:nvPicPr>
        <xdr:cNvPr id="0" name="image623.jp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15</xdr:row>
      <xdr:rowOff>0</xdr:rowOff>
    </xdr:from>
    <xdr:ext cx="571500" cy="571500"/>
    <xdr:pic>
      <xdr:nvPicPr>
        <xdr:cNvPr id="0" name="image603.jp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16</xdr:row>
      <xdr:rowOff>0</xdr:rowOff>
    </xdr:from>
    <xdr:ext cx="571500" cy="571500"/>
    <xdr:pic>
      <xdr:nvPicPr>
        <xdr:cNvPr id="0" name="image611.jp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17</xdr:row>
      <xdr:rowOff>0</xdr:rowOff>
    </xdr:from>
    <xdr:ext cx="571500" cy="571500"/>
    <xdr:pic>
      <xdr:nvPicPr>
        <xdr:cNvPr id="0" name="image610.jp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18</xdr:row>
      <xdr:rowOff>0</xdr:rowOff>
    </xdr:from>
    <xdr:ext cx="571500" cy="571500"/>
    <xdr:pic>
      <xdr:nvPicPr>
        <xdr:cNvPr id="0" name="image614.jp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19</xdr:row>
      <xdr:rowOff>0</xdr:rowOff>
    </xdr:from>
    <xdr:ext cx="571500" cy="571500"/>
    <xdr:pic>
      <xdr:nvPicPr>
        <xdr:cNvPr id="0" name="image617.jp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20</xdr:row>
      <xdr:rowOff>0</xdr:rowOff>
    </xdr:from>
    <xdr:ext cx="571500" cy="571500"/>
    <xdr:pic>
      <xdr:nvPicPr>
        <xdr:cNvPr id="0" name="image613.jpg"/>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23</xdr:col>
      <xdr:colOff>771525</xdr:colOff>
      <xdr:row>83</xdr:row>
      <xdr:rowOff>28575</xdr:rowOff>
    </xdr:from>
    <xdr:ext cx="10353675" cy="64103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B191" displayName="Table_1" name="Table_1" id="1">
  <tableColumns count="2">
    <tableColumn name="Date" id="1"/>
    <tableColumn name="Description" id="2"/>
  </tableColumns>
  <tableStyleInfo name="Change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pTNWB87wNss?t=378"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bungie.net/7/en/News/Article/destiny_update_9_5_0" TargetMode="External"/><Relationship Id="rId2" Type="http://schemas.openxmlformats.org/officeDocument/2006/relationships/hyperlink" Target="https://x.com/TheAegisRelic/status/1887201950984511546" TargetMode="External"/><Relationship Id="rId3" Type="http://schemas.openxmlformats.org/officeDocument/2006/relationships/drawing" Target="../drawings/drawing2.x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wv35fZOHRa8" TargetMode="External"/><Relationship Id="rId2" Type="http://schemas.openxmlformats.org/officeDocument/2006/relationships/hyperlink" Target="https://www.youtube.com/shorts/4WHVahoC0YY"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1" Type="http://schemas.openxmlformats.org/officeDocument/2006/relationships/hyperlink" Target="https://dim.gg/t56h3sq/Equipped" TargetMode="External"/><Relationship Id="rId10" Type="http://schemas.openxmlformats.org/officeDocument/2006/relationships/hyperlink" Target="https://dim.gg/cozwfli/Equipped" TargetMode="External"/><Relationship Id="rId13" Type="http://schemas.openxmlformats.org/officeDocument/2006/relationships/hyperlink" Target="https://dim.gg/j4bveta/Equipped" TargetMode="External"/><Relationship Id="rId12" Type="http://schemas.openxmlformats.org/officeDocument/2006/relationships/hyperlink" Target="https://dim.gg/zbz7kyq/Equipped" TargetMode="External"/><Relationship Id="rId15" Type="http://schemas.openxmlformats.org/officeDocument/2006/relationships/hyperlink" Target="https://dim.gg/vv2t4la/Equipped" TargetMode="External"/><Relationship Id="rId14" Type="http://schemas.openxmlformats.org/officeDocument/2006/relationships/hyperlink" Target="https://dim.gg/vv2t4la/Equipped" TargetMode="External"/><Relationship Id="rId17" Type="http://schemas.openxmlformats.org/officeDocument/2006/relationships/hyperlink" Target="https://dim.gg/3dtm5sa/Support" TargetMode="External"/><Relationship Id="rId16" Type="http://schemas.openxmlformats.org/officeDocument/2006/relationships/hyperlink" Target="https://dim.gg/vv2t4la/Equipped" TargetMode="External"/><Relationship Id="rId18" Type="http://schemas.openxmlformats.org/officeDocument/2006/relationships/drawing" Target="../drawings/drawing9.xml"/><Relationship Id="rId1" Type="http://schemas.openxmlformats.org/officeDocument/2006/relationships/hyperlink" Target="https://dim.gg/ssk6rma/Equipped" TargetMode="External"/><Relationship Id="rId2" Type="http://schemas.openxmlformats.org/officeDocument/2006/relationships/hyperlink" Target="https://dim.gg/jvqjhra/Equipped" TargetMode="External"/><Relationship Id="rId3" Type="http://schemas.openxmlformats.org/officeDocument/2006/relationships/hyperlink" Target="https://dim.gg/6fu4o7y/Equipped" TargetMode="External"/><Relationship Id="rId4" Type="http://schemas.openxmlformats.org/officeDocument/2006/relationships/hyperlink" Target="https://dim.gg/ou6fd3q/Equipped" TargetMode="External"/><Relationship Id="rId9" Type="http://schemas.openxmlformats.org/officeDocument/2006/relationships/hyperlink" Target="https://dim.gg/lv5iqra/Equipped" TargetMode="External"/><Relationship Id="rId5" Type="http://schemas.openxmlformats.org/officeDocument/2006/relationships/hyperlink" Target="https://dim.gg/bgn7xni/Equipped" TargetMode="External"/><Relationship Id="rId6" Type="http://schemas.openxmlformats.org/officeDocument/2006/relationships/hyperlink" Target="https://dim.gg/lv5iqra/Equipped" TargetMode="External"/><Relationship Id="rId7" Type="http://schemas.openxmlformats.org/officeDocument/2006/relationships/hyperlink" Target="https://dim.gg/lv5iqra/Equipped" TargetMode="External"/><Relationship Id="rId8" Type="http://schemas.openxmlformats.org/officeDocument/2006/relationships/hyperlink" Target="https://dim.gg/lv5iqra/Equipped"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3.xml"/><Relationship Id="rId3"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4.xml"/><Relationship Id="rId3"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docs.google.com/spreadsheets/d/1bNyhSpJoFOV_yhGL45eFVs9MEzheqJ6Mk0cGyrwPufc/edit?gid=1436974827" TargetMode="External"/><Relationship Id="rId3" Type="http://schemas.openxmlformats.org/officeDocument/2006/relationships/drawing" Target="../drawings/drawing15.xml"/><Relationship Id="rId4"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6.xml"/><Relationship Id="rId3"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7.xml"/><Relationship Id="rId3"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https://i.imgur.com/Wu9rvS5.png" TargetMode="External"/><Relationship Id="rId3" Type="http://schemas.openxmlformats.org/officeDocument/2006/relationships/hyperlink" Target="https://docs.google.com/spreadsheets/d/1EqEcZsKaoxm0Z1AURJjQezOpOVTy-PPCBU3d-dgnQP4/" TargetMode="External"/><Relationship Id="rId4" Type="http://schemas.openxmlformats.org/officeDocument/2006/relationships/drawing" Target="../drawings/drawing18.xml"/><Relationship Id="rId5"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9.xml"/><Relationship Id="rId3" Type="http://schemas.openxmlformats.org/officeDocument/2006/relationships/vmlDrawing" Target="../drawings/vmlDrawing14.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0.xml"/><Relationship Id="rId3" Type="http://schemas.openxmlformats.org/officeDocument/2006/relationships/vmlDrawing" Target="../drawings/vmlDrawing15.vml"/></Relationships>
</file>

<file path=xl/worksheets/_rels/sheet21.xml.rels><?xml version="1.0" encoding="UTF-8" standalone="yes"?><Relationships xmlns="http://schemas.openxmlformats.org/package/2006/relationships"><Relationship Id="rId1" Type="http://schemas.openxmlformats.org/officeDocument/2006/relationships/hyperlink" Target="https://youtu.be/FtGgMOa9qXo?t=13333" TargetMode="External"/><Relationship Id="rId2" Type="http://schemas.openxmlformats.org/officeDocument/2006/relationships/hyperlink" Target="https://youtu.be/FtGgMOa9qXo?t=9729" TargetMode="External"/><Relationship Id="rId3"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16.63"/>
    <col customWidth="1" min="2" max="2" width="56.75"/>
    <col customWidth="1" min="3" max="3" width="13.75"/>
    <col customWidth="1" min="4" max="4" width="33.75"/>
  </cols>
  <sheetData>
    <row r="1" ht="66.0" customHeight="1">
      <c r="A1" s="1" t="s">
        <v>0</v>
      </c>
      <c r="C1" s="2" t="s">
        <v>1</v>
      </c>
      <c r="D1" s="3" t="s">
        <v>2</v>
      </c>
    </row>
    <row r="2" ht="33.75" customHeight="1">
      <c r="A2" s="4" t="s">
        <v>3</v>
      </c>
      <c r="B2" s="5" t="s">
        <v>4</v>
      </c>
      <c r="C2" s="6" t="s">
        <v>5</v>
      </c>
      <c r="D2" s="7" t="s">
        <v>6</v>
      </c>
    </row>
    <row r="3" ht="33.75" customHeight="1">
      <c r="A3" s="8" t="s">
        <v>7</v>
      </c>
      <c r="B3" s="9" t="s">
        <v>8</v>
      </c>
      <c r="C3" s="10"/>
    </row>
    <row r="4" ht="33.75" customHeight="1">
      <c r="A4" s="4" t="s">
        <v>9</v>
      </c>
      <c r="B4" s="5" t="s">
        <v>10</v>
      </c>
      <c r="C4" s="10"/>
    </row>
    <row r="5" ht="33.75" customHeight="1">
      <c r="A5" s="8" t="s">
        <v>11</v>
      </c>
      <c r="B5" s="9" t="s">
        <v>12</v>
      </c>
      <c r="C5" s="10"/>
    </row>
    <row r="6" ht="33.75" customHeight="1">
      <c r="A6" s="4" t="s">
        <v>13</v>
      </c>
      <c r="B6" s="5" t="s">
        <v>14</v>
      </c>
      <c r="C6" s="10"/>
    </row>
    <row r="7" ht="33.75" customHeight="1">
      <c r="A7" s="8" t="s">
        <v>15</v>
      </c>
      <c r="B7" s="11" t="s">
        <v>16</v>
      </c>
      <c r="C7" s="10"/>
    </row>
    <row r="8" ht="33.75" customHeight="1">
      <c r="A8" s="4" t="s">
        <v>17</v>
      </c>
      <c r="B8" s="5" t="s">
        <v>18</v>
      </c>
      <c r="C8" s="10"/>
    </row>
    <row r="9" ht="33.75" customHeight="1">
      <c r="A9" s="8" t="s">
        <v>19</v>
      </c>
      <c r="B9" s="9" t="s">
        <v>20</v>
      </c>
      <c r="C9" s="6"/>
    </row>
    <row r="10" ht="33.75" customHeight="1">
      <c r="A10" s="4" t="s">
        <v>21</v>
      </c>
      <c r="B10" s="5" t="s">
        <v>22</v>
      </c>
      <c r="C10" s="12"/>
    </row>
    <row r="11" ht="33.75" customHeight="1">
      <c r="A11" s="8" t="s">
        <v>23</v>
      </c>
      <c r="B11" s="9" t="s">
        <v>24</v>
      </c>
      <c r="C11" s="10"/>
    </row>
    <row r="12" ht="33.75" customHeight="1">
      <c r="A12" s="4" t="s">
        <v>25</v>
      </c>
      <c r="B12" s="5" t="s">
        <v>26</v>
      </c>
      <c r="C12" s="10"/>
    </row>
    <row r="13" ht="33.75" customHeight="1">
      <c r="A13" s="8" t="s">
        <v>27</v>
      </c>
      <c r="B13" s="9" t="s">
        <v>28</v>
      </c>
      <c r="C13" s="10"/>
    </row>
    <row r="14" ht="33.75" customHeight="1">
      <c r="A14" s="4" t="s">
        <v>29</v>
      </c>
      <c r="B14" s="5" t="s">
        <v>30</v>
      </c>
      <c r="C14" s="10"/>
    </row>
    <row r="15" ht="33.75" customHeight="1">
      <c r="A15" s="8" t="s">
        <v>31</v>
      </c>
      <c r="B15" s="11" t="s">
        <v>32</v>
      </c>
      <c r="C15" s="10"/>
    </row>
    <row r="16" ht="33.75" customHeight="1">
      <c r="A16" s="13" t="s">
        <v>33</v>
      </c>
      <c r="B16" s="14" t="s">
        <v>34</v>
      </c>
      <c r="C16" s="10"/>
    </row>
    <row r="17" ht="33.75" customHeight="1">
      <c r="A17" s="8" t="s">
        <v>35</v>
      </c>
      <c r="B17" s="9" t="s">
        <v>36</v>
      </c>
      <c r="C17" s="10"/>
    </row>
    <row r="18" ht="33.75" customHeight="1">
      <c r="A18" s="4" t="s">
        <v>37</v>
      </c>
      <c r="B18" s="5" t="s">
        <v>38</v>
      </c>
      <c r="C18" s="10"/>
    </row>
  </sheetData>
  <mergeCells count="4">
    <mergeCell ref="A1:B1"/>
    <mergeCell ref="C2:C8"/>
    <mergeCell ref="D2:D18"/>
    <mergeCell ref="C10:C18"/>
  </mergeCells>
  <hyperlinks>
    <hyperlink r:id="rId1" ref="C1"/>
    <hyperlink display="Changelog" location="Changelog!A1" ref="A2"/>
    <hyperlink display="FAQ" location="FAQ!A1" ref="A3"/>
    <hyperlink display="Equipment" location="'Equipment (WIP)'!A1" ref="A4"/>
    <hyperlink display="Weapons" location="null!A1" ref="A5"/>
    <hyperlink display="Abilities" location="null!A1" ref="A6"/>
    <hyperlink display="Scaling" location="'Scaling (pre-EoF)'!A1" ref="A7"/>
    <hyperlink display="Ranking" location="null!A1" ref="A8"/>
    <hyperlink display="Graphing" location="null!A1" ref="A9"/>
    <hyperlink display="Sustained" location="null!A1" ref="A10"/>
    <hyperlink display="Swap" location="null!A1" ref="A11"/>
    <hyperlink display="Bosses" location="null!A1" ref="A12"/>
    <hyperlink display="Pack Hunter" location="'Pack Hunter'!A1" ref="A13"/>
    <hyperlink display="Ergo Sum" location="'Ergo Sum'!A1" ref="A14"/>
    <hyperlink display="Super" location="'Super (WIP)'!A1" ref="A15"/>
    <hyperlink display="Historical" location="Historical!A1" ref="A17"/>
    <hyperlink display="Testing" location="Testing!A1" ref="A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96.75"/>
  </cols>
  <sheetData>
    <row r="1" ht="27.0" customHeight="1">
      <c r="A1" s="15" t="s">
        <v>39</v>
      </c>
      <c r="B1" s="15" t="s">
        <v>40</v>
      </c>
    </row>
    <row r="2" ht="45.0" customHeight="1">
      <c r="A2" s="16" t="s">
        <v>41</v>
      </c>
      <c r="B2" s="17" t="s">
        <v>42</v>
      </c>
    </row>
    <row r="3">
      <c r="A3" s="18">
        <v>46093.0</v>
      </c>
      <c r="B3" s="19" t="s">
        <v>43</v>
      </c>
    </row>
    <row r="4">
      <c r="A4" s="18">
        <v>46084.0</v>
      </c>
      <c r="B4" s="19" t="s">
        <v>44</v>
      </c>
    </row>
    <row r="5">
      <c r="A5" s="18">
        <v>46054.0</v>
      </c>
      <c r="B5" s="19" t="s">
        <v>45</v>
      </c>
    </row>
    <row r="6">
      <c r="A6" s="18">
        <v>46052.0</v>
      </c>
      <c r="B6" s="19" t="s">
        <v>46</v>
      </c>
    </row>
    <row r="7">
      <c r="A7" s="18">
        <v>46051.0</v>
      </c>
      <c r="B7" s="19" t="s">
        <v>47</v>
      </c>
    </row>
    <row r="8">
      <c r="A8" s="18">
        <v>46044.0</v>
      </c>
      <c r="B8" s="19" t="s">
        <v>48</v>
      </c>
    </row>
    <row r="9">
      <c r="A9" s="18">
        <v>46030.0</v>
      </c>
      <c r="B9" s="19" t="s">
        <v>49</v>
      </c>
    </row>
    <row r="10">
      <c r="A10" s="18">
        <v>46027.0</v>
      </c>
      <c r="B10" s="19" t="s">
        <v>50</v>
      </c>
    </row>
    <row r="11">
      <c r="A11" s="18">
        <v>46012.0</v>
      </c>
      <c r="B11" s="19" t="s">
        <v>51</v>
      </c>
    </row>
    <row r="12">
      <c r="A12" s="18">
        <v>46008.0</v>
      </c>
      <c r="B12" s="19" t="s">
        <v>52</v>
      </c>
    </row>
    <row r="13">
      <c r="A13" s="18">
        <v>46007.0</v>
      </c>
      <c r="B13" s="19" t="s">
        <v>53</v>
      </c>
    </row>
    <row r="14">
      <c r="A14" s="18">
        <v>46005.0</v>
      </c>
      <c r="B14" s="19" t="s">
        <v>54</v>
      </c>
    </row>
    <row r="15">
      <c r="A15" s="18">
        <v>45999.0</v>
      </c>
      <c r="B15" s="19" t="s">
        <v>55</v>
      </c>
    </row>
    <row r="16">
      <c r="A16" s="18">
        <v>45998.0</v>
      </c>
      <c r="B16" s="19" t="s">
        <v>56</v>
      </c>
    </row>
    <row r="17">
      <c r="A17" s="18">
        <v>45995.0</v>
      </c>
      <c r="B17" s="20" t="s">
        <v>57</v>
      </c>
    </row>
    <row r="18">
      <c r="A18" s="18">
        <v>45992.0</v>
      </c>
      <c r="B18" s="19" t="s">
        <v>58</v>
      </c>
    </row>
    <row r="19">
      <c r="A19" s="18">
        <v>45987.0</v>
      </c>
      <c r="B19" s="19" t="s">
        <v>59</v>
      </c>
    </row>
    <row r="20">
      <c r="A20" s="18">
        <v>45984.0</v>
      </c>
      <c r="B20" s="19" t="s">
        <v>60</v>
      </c>
    </row>
    <row r="21">
      <c r="A21" s="18">
        <v>45983.0</v>
      </c>
      <c r="B21" s="19" t="s">
        <v>61</v>
      </c>
    </row>
    <row r="22">
      <c r="A22" s="18">
        <v>45972.0</v>
      </c>
      <c r="B22" s="19" t="s">
        <v>62</v>
      </c>
    </row>
    <row r="23">
      <c r="A23" s="18">
        <v>45961.0</v>
      </c>
      <c r="B23" s="19" t="s">
        <v>63</v>
      </c>
    </row>
    <row r="24">
      <c r="A24" s="18">
        <v>45952.0</v>
      </c>
      <c r="B24" s="19" t="s">
        <v>64</v>
      </c>
    </row>
    <row r="25">
      <c r="A25" s="18">
        <v>45947.0</v>
      </c>
      <c r="B25" s="19" t="s">
        <v>65</v>
      </c>
    </row>
    <row r="26">
      <c r="A26" s="18">
        <v>45945.0</v>
      </c>
      <c r="B26" s="19" t="s">
        <v>66</v>
      </c>
    </row>
    <row r="27">
      <c r="A27" s="18">
        <v>45940.0</v>
      </c>
      <c r="B27" s="19" t="s">
        <v>67</v>
      </c>
    </row>
    <row r="28">
      <c r="A28" s="18">
        <v>45938.0</v>
      </c>
      <c r="B28" s="19" t="s">
        <v>68</v>
      </c>
    </row>
    <row r="29">
      <c r="A29" s="18">
        <v>45937.0</v>
      </c>
      <c r="B29" s="19" t="s">
        <v>69</v>
      </c>
    </row>
    <row r="30">
      <c r="A30" s="18">
        <v>45925.0</v>
      </c>
      <c r="B30" s="19" t="s">
        <v>70</v>
      </c>
    </row>
    <row r="31">
      <c r="A31" s="18">
        <v>45924.0</v>
      </c>
      <c r="B31" s="19" t="s">
        <v>71</v>
      </c>
    </row>
    <row r="32">
      <c r="A32" s="18">
        <v>45921.0</v>
      </c>
      <c r="B32" s="19" t="s">
        <v>72</v>
      </c>
    </row>
    <row r="33">
      <c r="A33" s="18">
        <v>45919.0</v>
      </c>
      <c r="B33" s="19" t="s">
        <v>73</v>
      </c>
    </row>
    <row r="34">
      <c r="A34" s="18">
        <v>45917.0</v>
      </c>
      <c r="B34" s="19" t="s">
        <v>74</v>
      </c>
    </row>
    <row r="35">
      <c r="A35" s="18">
        <v>45910.0</v>
      </c>
      <c r="B35" s="19" t="s">
        <v>75</v>
      </c>
    </row>
    <row r="36">
      <c r="A36" s="18">
        <v>45909.0</v>
      </c>
      <c r="B36" s="19" t="s">
        <v>76</v>
      </c>
    </row>
    <row r="37">
      <c r="A37" s="18">
        <v>45908.0</v>
      </c>
      <c r="B37" s="19" t="s">
        <v>77</v>
      </c>
    </row>
    <row r="38">
      <c r="A38" s="18">
        <v>45903.0</v>
      </c>
      <c r="B38" s="19" t="s">
        <v>78</v>
      </c>
    </row>
    <row r="39">
      <c r="A39" s="18">
        <v>45902.0</v>
      </c>
      <c r="B39" s="19" t="s">
        <v>79</v>
      </c>
    </row>
    <row r="40">
      <c r="A40" s="18">
        <v>45899.0</v>
      </c>
      <c r="B40" s="19" t="s">
        <v>80</v>
      </c>
    </row>
    <row r="41">
      <c r="A41" s="18">
        <v>45898.0</v>
      </c>
      <c r="B41" s="19" t="s">
        <v>81</v>
      </c>
    </row>
    <row r="42">
      <c r="A42" s="18">
        <v>45897.0</v>
      </c>
      <c r="B42" s="19" t="s">
        <v>82</v>
      </c>
    </row>
    <row r="43">
      <c r="A43" s="18">
        <v>45895.0</v>
      </c>
      <c r="B43" s="19" t="s">
        <v>83</v>
      </c>
    </row>
    <row r="44">
      <c r="A44" s="18">
        <v>45892.0</v>
      </c>
      <c r="B44" s="19" t="s">
        <v>84</v>
      </c>
    </row>
    <row r="45">
      <c r="A45" s="18">
        <v>45887.0</v>
      </c>
      <c r="B45" s="19" t="s">
        <v>85</v>
      </c>
    </row>
    <row r="46">
      <c r="A46" s="18">
        <v>45884.0</v>
      </c>
      <c r="B46" s="19" t="s">
        <v>86</v>
      </c>
    </row>
    <row r="47">
      <c r="A47" s="18">
        <v>45881.0</v>
      </c>
      <c r="B47" s="19" t="s">
        <v>87</v>
      </c>
    </row>
    <row r="48">
      <c r="A48" s="18">
        <v>45879.0</v>
      </c>
      <c r="B48" s="19" t="s">
        <v>88</v>
      </c>
    </row>
    <row r="49">
      <c r="A49" s="18">
        <v>45878.0</v>
      </c>
      <c r="B49" s="19" t="s">
        <v>89</v>
      </c>
    </row>
    <row r="50">
      <c r="A50" s="18">
        <v>45876.0</v>
      </c>
      <c r="B50" s="19" t="s">
        <v>90</v>
      </c>
    </row>
    <row r="51">
      <c r="A51" s="18">
        <v>45870.0</v>
      </c>
      <c r="B51" s="19" t="s">
        <v>63</v>
      </c>
    </row>
    <row r="52">
      <c r="A52" s="18">
        <v>45867.0</v>
      </c>
      <c r="B52" s="19" t="s">
        <v>91</v>
      </c>
    </row>
    <row r="53">
      <c r="A53" s="18">
        <v>45856.0</v>
      </c>
      <c r="B53" s="19" t="s">
        <v>92</v>
      </c>
    </row>
    <row r="54">
      <c r="A54" s="18">
        <v>45784.0</v>
      </c>
      <c r="B54" s="19" t="s">
        <v>93</v>
      </c>
    </row>
    <row r="55">
      <c r="A55" s="18">
        <v>45774.0</v>
      </c>
      <c r="B55" s="19" t="s">
        <v>94</v>
      </c>
    </row>
    <row r="56">
      <c r="A56" s="18">
        <v>45769.0</v>
      </c>
      <c r="B56" s="19" t="s">
        <v>95</v>
      </c>
    </row>
    <row r="57">
      <c r="A57" s="18">
        <v>45765.0</v>
      </c>
      <c r="B57" s="19" t="s">
        <v>96</v>
      </c>
    </row>
    <row r="58">
      <c r="A58" s="18">
        <v>45760.0</v>
      </c>
      <c r="B58" s="19" t="s">
        <v>97</v>
      </c>
    </row>
    <row r="59">
      <c r="A59" s="18">
        <v>45728.0</v>
      </c>
      <c r="B59" s="19" t="s">
        <v>98</v>
      </c>
    </row>
    <row r="60">
      <c r="A60" s="18">
        <v>45718.0</v>
      </c>
      <c r="B60" s="19" t="s">
        <v>99</v>
      </c>
    </row>
    <row r="61">
      <c r="A61" s="18">
        <v>45717.0</v>
      </c>
      <c r="B61" s="19" t="s">
        <v>100</v>
      </c>
    </row>
    <row r="62">
      <c r="A62" s="18">
        <v>45708.0</v>
      </c>
      <c r="B62" s="19" t="s">
        <v>101</v>
      </c>
    </row>
    <row r="63">
      <c r="A63" s="18">
        <v>45706.0</v>
      </c>
      <c r="B63" s="19" t="s">
        <v>102</v>
      </c>
    </row>
    <row r="64">
      <c r="A64" s="18">
        <v>45702.0</v>
      </c>
      <c r="B64" s="19" t="s">
        <v>103</v>
      </c>
    </row>
    <row r="65">
      <c r="A65" s="18">
        <v>45699.0</v>
      </c>
      <c r="B65" s="19" t="s">
        <v>104</v>
      </c>
    </row>
    <row r="66">
      <c r="A66" s="18">
        <v>45696.0</v>
      </c>
      <c r="B66" s="19" t="s">
        <v>105</v>
      </c>
    </row>
    <row r="67">
      <c r="A67" s="18">
        <v>45694.0</v>
      </c>
      <c r="B67" s="19" t="s">
        <v>106</v>
      </c>
    </row>
    <row r="68">
      <c r="A68" s="18">
        <v>45693.0</v>
      </c>
      <c r="B68" s="21" t="s">
        <v>107</v>
      </c>
    </row>
    <row r="69">
      <c r="A69" s="18">
        <v>45679.0</v>
      </c>
      <c r="B69" s="22" t="s">
        <v>108</v>
      </c>
    </row>
    <row r="70">
      <c r="A70" s="18">
        <v>45678.0</v>
      </c>
      <c r="B70" s="22" t="s">
        <v>109</v>
      </c>
    </row>
    <row r="71">
      <c r="A71" s="18">
        <v>45675.0</v>
      </c>
      <c r="B71" s="22" t="s">
        <v>110</v>
      </c>
    </row>
    <row r="72">
      <c r="A72" s="18">
        <v>45664.0</v>
      </c>
      <c r="B72" s="22" t="s">
        <v>111</v>
      </c>
    </row>
    <row r="73">
      <c r="A73" s="18">
        <v>45651.0</v>
      </c>
      <c r="B73" s="22" t="s">
        <v>112</v>
      </c>
    </row>
    <row r="74">
      <c r="A74" s="18">
        <v>45641.0</v>
      </c>
      <c r="B74" s="22" t="s">
        <v>113</v>
      </c>
    </row>
    <row r="75">
      <c r="A75" s="18">
        <v>45632.0</v>
      </c>
      <c r="B75" s="22" t="s">
        <v>114</v>
      </c>
    </row>
    <row r="76">
      <c r="A76" s="18">
        <v>45630.0</v>
      </c>
      <c r="B76" s="22" t="s">
        <v>115</v>
      </c>
    </row>
    <row r="77">
      <c r="A77" s="18">
        <v>45629.0</v>
      </c>
      <c r="B77" s="22" t="s">
        <v>116</v>
      </c>
    </row>
    <row r="78">
      <c r="A78" s="18">
        <v>45624.0</v>
      </c>
      <c r="B78" s="22" t="s">
        <v>117</v>
      </c>
    </row>
    <row r="79">
      <c r="A79" s="18">
        <v>45621.0</v>
      </c>
      <c r="B79" s="22" t="s">
        <v>118</v>
      </c>
    </row>
    <row r="80">
      <c r="A80" s="18">
        <v>45620.0</v>
      </c>
      <c r="B80" s="22" t="s">
        <v>119</v>
      </c>
    </row>
    <row r="81">
      <c r="A81" s="18">
        <v>45619.0</v>
      </c>
      <c r="B81" s="22" t="s">
        <v>120</v>
      </c>
    </row>
    <row r="82">
      <c r="A82" s="18">
        <v>45617.0</v>
      </c>
      <c r="B82" s="22" t="s">
        <v>121</v>
      </c>
    </row>
    <row r="83">
      <c r="A83" s="18">
        <v>45615.0</v>
      </c>
      <c r="B83" s="22" t="s">
        <v>122</v>
      </c>
    </row>
    <row r="84">
      <c r="A84" s="18">
        <v>45606.0</v>
      </c>
      <c r="B84" s="22" t="s">
        <v>123</v>
      </c>
    </row>
    <row r="85">
      <c r="A85" s="18">
        <v>45605.0</v>
      </c>
      <c r="B85" s="22" t="s">
        <v>124</v>
      </c>
    </row>
    <row r="86">
      <c r="A86" s="18">
        <v>45603.0</v>
      </c>
      <c r="B86" s="22" t="s">
        <v>125</v>
      </c>
    </row>
    <row r="87">
      <c r="A87" s="18">
        <v>45601.0</v>
      </c>
      <c r="B87" s="22" t="s">
        <v>126</v>
      </c>
    </row>
    <row r="88">
      <c r="A88" s="18">
        <v>45598.0</v>
      </c>
      <c r="B88" s="22" t="s">
        <v>127</v>
      </c>
    </row>
    <row r="89">
      <c r="A89" s="18">
        <v>45594.0</v>
      </c>
      <c r="B89" s="22" t="s">
        <v>128</v>
      </c>
    </row>
    <row r="90">
      <c r="A90" s="18">
        <v>45579.0</v>
      </c>
      <c r="B90" s="22" t="s">
        <v>129</v>
      </c>
    </row>
    <row r="91">
      <c r="A91" s="18">
        <v>45576.0</v>
      </c>
      <c r="B91" s="22" t="s">
        <v>130</v>
      </c>
    </row>
    <row r="92">
      <c r="A92" s="18">
        <v>45575.0</v>
      </c>
      <c r="B92" s="22" t="s">
        <v>131</v>
      </c>
    </row>
    <row r="93">
      <c r="A93" s="18">
        <v>45574.0</v>
      </c>
      <c r="B93" s="22" t="s">
        <v>132</v>
      </c>
    </row>
    <row r="94">
      <c r="A94" s="18">
        <v>45573.0</v>
      </c>
      <c r="B94" s="22" t="s">
        <v>133</v>
      </c>
    </row>
    <row r="95">
      <c r="A95" s="18">
        <v>45543.0</v>
      </c>
      <c r="B95" s="22" t="s">
        <v>134</v>
      </c>
    </row>
    <row r="96">
      <c r="A96" s="18">
        <v>45531.0</v>
      </c>
      <c r="B96" s="23" t="s">
        <v>135</v>
      </c>
    </row>
    <row r="97">
      <c r="A97" s="18">
        <v>45526.0</v>
      </c>
      <c r="B97" s="23" t="s">
        <v>136</v>
      </c>
    </row>
    <row r="98">
      <c r="A98" s="18">
        <v>45522.0</v>
      </c>
      <c r="B98" s="23" t="s">
        <v>137</v>
      </c>
    </row>
    <row r="99">
      <c r="A99" s="18">
        <v>45512.0</v>
      </c>
      <c r="B99" s="23" t="s">
        <v>138</v>
      </c>
    </row>
    <row r="100">
      <c r="A100" s="18">
        <v>45497.0</v>
      </c>
      <c r="B100" s="23" t="s">
        <v>139</v>
      </c>
    </row>
    <row r="101">
      <c r="A101" s="18">
        <v>45493.0</v>
      </c>
      <c r="B101" s="23" t="s">
        <v>140</v>
      </c>
    </row>
    <row r="102">
      <c r="A102" s="18">
        <v>45492.0</v>
      </c>
      <c r="B102" s="23" t="s">
        <v>141</v>
      </c>
    </row>
    <row r="103">
      <c r="A103" s="18">
        <v>45491.0</v>
      </c>
      <c r="B103" s="23" t="s">
        <v>142</v>
      </c>
    </row>
    <row r="104">
      <c r="A104" s="18">
        <v>45489.0</v>
      </c>
      <c r="B104" s="23" t="s">
        <v>143</v>
      </c>
    </row>
    <row r="105">
      <c r="A105" s="18">
        <v>45485.0</v>
      </c>
      <c r="B105" s="23" t="s">
        <v>144</v>
      </c>
    </row>
    <row r="106">
      <c r="A106" s="18">
        <v>45484.0</v>
      </c>
      <c r="B106" s="23" t="s">
        <v>145</v>
      </c>
    </row>
    <row r="107">
      <c r="A107" s="18">
        <v>45483.0</v>
      </c>
      <c r="B107" s="23" t="s">
        <v>146</v>
      </c>
    </row>
    <row r="108">
      <c r="A108" s="18">
        <v>45481.0</v>
      </c>
      <c r="B108" s="23" t="s">
        <v>147</v>
      </c>
    </row>
    <row r="109">
      <c r="A109" s="18">
        <v>45478.0</v>
      </c>
      <c r="B109" s="23" t="s">
        <v>148</v>
      </c>
    </row>
    <row r="110">
      <c r="A110" s="18">
        <v>45477.0</v>
      </c>
      <c r="B110" s="23" t="s">
        <v>149</v>
      </c>
    </row>
    <row r="111">
      <c r="A111" s="18">
        <v>45476.0</v>
      </c>
      <c r="B111" s="23" t="s">
        <v>150</v>
      </c>
    </row>
    <row r="112">
      <c r="A112" s="18">
        <v>45475.0</v>
      </c>
      <c r="B112" s="23" t="s">
        <v>151</v>
      </c>
    </row>
    <row r="113">
      <c r="A113" s="18">
        <v>45473.0</v>
      </c>
      <c r="B113" s="23" t="s">
        <v>152</v>
      </c>
    </row>
    <row r="114">
      <c r="A114" s="18">
        <v>45471.0</v>
      </c>
      <c r="B114" s="23" t="s">
        <v>153</v>
      </c>
    </row>
    <row r="115">
      <c r="A115" s="18">
        <v>45471.0</v>
      </c>
      <c r="B115" s="23" t="s">
        <v>154</v>
      </c>
    </row>
    <row r="116">
      <c r="A116" s="18">
        <v>45470.0</v>
      </c>
      <c r="B116" s="23" t="s">
        <v>155</v>
      </c>
    </row>
    <row r="117">
      <c r="A117" s="18">
        <v>45469.0</v>
      </c>
      <c r="B117" s="23" t="s">
        <v>156</v>
      </c>
    </row>
    <row r="118">
      <c r="A118" s="18">
        <v>45468.0</v>
      </c>
      <c r="B118" s="23" t="s">
        <v>157</v>
      </c>
    </row>
    <row r="119">
      <c r="A119" s="18">
        <v>45461.0</v>
      </c>
      <c r="B119" s="23" t="s">
        <v>158</v>
      </c>
    </row>
    <row r="120">
      <c r="A120" s="18">
        <v>45443.0</v>
      </c>
      <c r="B120" s="23" t="s">
        <v>159</v>
      </c>
    </row>
    <row r="121">
      <c r="A121" s="18">
        <v>45438.0</v>
      </c>
      <c r="B121" s="23" t="s">
        <v>160</v>
      </c>
    </row>
    <row r="122">
      <c r="A122" s="18">
        <v>45432.0</v>
      </c>
      <c r="B122" s="23" t="s">
        <v>161</v>
      </c>
    </row>
    <row r="123">
      <c r="A123" s="18">
        <v>45431.0</v>
      </c>
      <c r="B123" s="23" t="s">
        <v>162</v>
      </c>
    </row>
    <row r="124">
      <c r="A124" s="18">
        <v>45429.0</v>
      </c>
      <c r="B124" s="23" t="s">
        <v>163</v>
      </c>
    </row>
    <row r="125">
      <c r="A125" s="18">
        <v>45426.0</v>
      </c>
      <c r="B125" s="23" t="s">
        <v>164</v>
      </c>
    </row>
    <row r="126">
      <c r="A126" s="18">
        <v>45419.0</v>
      </c>
      <c r="B126" s="23" t="s">
        <v>165</v>
      </c>
    </row>
    <row r="127">
      <c r="A127" s="18">
        <v>45393.0</v>
      </c>
      <c r="B127" s="23" t="s">
        <v>166</v>
      </c>
    </row>
    <row r="128">
      <c r="A128" s="18">
        <v>45392.0</v>
      </c>
      <c r="B128" s="24" t="s">
        <v>167</v>
      </c>
    </row>
    <row r="129">
      <c r="A129" s="18">
        <v>45378.0</v>
      </c>
      <c r="B129" s="24" t="s">
        <v>168</v>
      </c>
    </row>
    <row r="130">
      <c r="A130" s="18">
        <v>45356.0</v>
      </c>
      <c r="B130" s="24" t="s">
        <v>169</v>
      </c>
    </row>
    <row r="131">
      <c r="A131" s="18">
        <v>45321.0</v>
      </c>
      <c r="B131" s="24" t="s">
        <v>170</v>
      </c>
    </row>
    <row r="132">
      <c r="A132" s="18">
        <v>45309.0</v>
      </c>
      <c r="B132" s="24" t="s">
        <v>171</v>
      </c>
    </row>
    <row r="133">
      <c r="A133" s="18">
        <v>45306.0</v>
      </c>
      <c r="B133" s="24" t="s">
        <v>172</v>
      </c>
    </row>
    <row r="134">
      <c r="A134" s="18">
        <v>45295.0</v>
      </c>
      <c r="B134" s="24" t="s">
        <v>173</v>
      </c>
    </row>
    <row r="135">
      <c r="A135" s="18">
        <v>45294.0</v>
      </c>
      <c r="B135" s="24" t="s">
        <v>174</v>
      </c>
    </row>
    <row r="136">
      <c r="A136" s="18">
        <v>45284.0</v>
      </c>
      <c r="B136" s="24" t="s">
        <v>175</v>
      </c>
    </row>
    <row r="137">
      <c r="A137" s="18">
        <v>45269.0</v>
      </c>
      <c r="B137" s="24" t="s">
        <v>176</v>
      </c>
    </row>
    <row r="138">
      <c r="A138" s="18">
        <v>45267.0</v>
      </c>
      <c r="B138" s="24" t="s">
        <v>177</v>
      </c>
    </row>
    <row r="139">
      <c r="A139" s="18">
        <v>45265.0</v>
      </c>
      <c r="B139" s="24" t="s">
        <v>178</v>
      </c>
    </row>
    <row r="140">
      <c r="A140" s="18">
        <v>45259.0</v>
      </c>
      <c r="B140" s="24" t="s">
        <v>179</v>
      </c>
    </row>
    <row r="141">
      <c r="A141" s="18">
        <v>45258.0</v>
      </c>
      <c r="B141" s="24" t="s">
        <v>180</v>
      </c>
    </row>
    <row r="142">
      <c r="A142" s="18">
        <v>45220.0</v>
      </c>
      <c r="B142" s="24" t="s">
        <v>181</v>
      </c>
    </row>
    <row r="143">
      <c r="A143" s="18">
        <v>45214.0</v>
      </c>
      <c r="B143" s="24" t="s">
        <v>182</v>
      </c>
    </row>
    <row r="144">
      <c r="A144" s="18">
        <v>45206.0</v>
      </c>
      <c r="B144" s="24" t="s">
        <v>183</v>
      </c>
    </row>
    <row r="145">
      <c r="A145" s="18">
        <v>45199.0</v>
      </c>
      <c r="B145" s="24" t="s">
        <v>184</v>
      </c>
    </row>
    <row r="146">
      <c r="A146" s="18">
        <v>45198.0</v>
      </c>
      <c r="B146" s="24" t="s">
        <v>185</v>
      </c>
    </row>
    <row r="147">
      <c r="A147" s="18">
        <v>45194.0</v>
      </c>
      <c r="B147" s="24" t="s">
        <v>186</v>
      </c>
    </row>
    <row r="148">
      <c r="A148" s="18">
        <v>45193.0</v>
      </c>
      <c r="B148" s="24" t="s">
        <v>187</v>
      </c>
    </row>
    <row r="149">
      <c r="A149" s="18">
        <v>45191.0</v>
      </c>
      <c r="B149" s="24" t="s">
        <v>188</v>
      </c>
    </row>
    <row r="150">
      <c r="A150" s="18">
        <v>45190.0</v>
      </c>
      <c r="B150" s="24" t="s">
        <v>189</v>
      </c>
    </row>
    <row r="151">
      <c r="A151" s="18">
        <v>45189.0</v>
      </c>
      <c r="B151" s="24" t="s">
        <v>190</v>
      </c>
    </row>
    <row r="152">
      <c r="A152" s="18">
        <v>45188.0</v>
      </c>
      <c r="B152" s="24" t="s">
        <v>191</v>
      </c>
    </row>
    <row r="153">
      <c r="A153" s="18">
        <v>45182.0</v>
      </c>
      <c r="B153" s="24" t="s">
        <v>192</v>
      </c>
    </row>
    <row r="154">
      <c r="A154" s="18">
        <v>45181.0</v>
      </c>
      <c r="B154" s="24" t="s">
        <v>193</v>
      </c>
    </row>
    <row r="155">
      <c r="A155" s="18">
        <v>45180.0</v>
      </c>
      <c r="B155" s="24" t="s">
        <v>194</v>
      </c>
    </row>
    <row r="156">
      <c r="A156" s="18">
        <v>45179.0</v>
      </c>
      <c r="B156" s="24" t="s">
        <v>195</v>
      </c>
    </row>
    <row r="157">
      <c r="A157" s="18">
        <v>45178.0</v>
      </c>
      <c r="B157" s="24" t="s">
        <v>196</v>
      </c>
    </row>
    <row r="158">
      <c r="A158" s="18">
        <v>45177.0</v>
      </c>
      <c r="B158" s="24" t="s">
        <v>197</v>
      </c>
    </row>
    <row r="159">
      <c r="A159" s="18">
        <v>45176.0</v>
      </c>
      <c r="B159" s="24" t="s">
        <v>198</v>
      </c>
    </row>
    <row r="160">
      <c r="A160" s="18">
        <v>45175.0</v>
      </c>
      <c r="B160" s="24" t="s">
        <v>199</v>
      </c>
    </row>
    <row r="161">
      <c r="A161" s="18">
        <v>45174.0</v>
      </c>
      <c r="B161" s="25" t="s">
        <v>200</v>
      </c>
    </row>
    <row r="162">
      <c r="A162" s="18">
        <v>45173.0</v>
      </c>
      <c r="B162" s="26" t="s">
        <v>201</v>
      </c>
    </row>
    <row r="163">
      <c r="A163" s="18">
        <v>45172.0</v>
      </c>
      <c r="B163" s="26" t="s">
        <v>202</v>
      </c>
    </row>
    <row r="164">
      <c r="A164" s="18">
        <v>45167.0</v>
      </c>
      <c r="B164" s="26" t="s">
        <v>203</v>
      </c>
    </row>
    <row r="165">
      <c r="A165" s="18">
        <v>45166.0</v>
      </c>
      <c r="B165" s="26" t="s">
        <v>204</v>
      </c>
    </row>
    <row r="166">
      <c r="A166" s="18">
        <v>45165.0</v>
      </c>
      <c r="B166" s="26" t="s">
        <v>205</v>
      </c>
    </row>
    <row r="167">
      <c r="A167" s="18">
        <v>45164.0</v>
      </c>
      <c r="B167" s="26" t="s">
        <v>206</v>
      </c>
    </row>
    <row r="168">
      <c r="A168" s="18">
        <v>45163.0</v>
      </c>
      <c r="B168" s="26" t="s">
        <v>207</v>
      </c>
    </row>
    <row r="169">
      <c r="A169" s="18">
        <v>45162.0</v>
      </c>
      <c r="B169" s="26" t="s">
        <v>208</v>
      </c>
    </row>
    <row r="170">
      <c r="A170" s="18">
        <v>45161.0</v>
      </c>
      <c r="B170" s="26" t="s">
        <v>209</v>
      </c>
    </row>
    <row r="171">
      <c r="A171" s="18">
        <v>45160.0</v>
      </c>
      <c r="B171" s="26" t="s">
        <v>210</v>
      </c>
    </row>
    <row r="172">
      <c r="A172" s="18">
        <v>45159.0</v>
      </c>
      <c r="B172" s="26" t="s">
        <v>211</v>
      </c>
    </row>
    <row r="173">
      <c r="A173" s="18">
        <v>45158.0</v>
      </c>
      <c r="B173" s="26" t="s">
        <v>212</v>
      </c>
    </row>
    <row r="174">
      <c r="A174" s="18">
        <v>45157.0</v>
      </c>
      <c r="B174" s="26" t="s">
        <v>213</v>
      </c>
    </row>
    <row r="175">
      <c r="A175" s="18">
        <v>45155.0</v>
      </c>
      <c r="B175" s="27" t="s">
        <v>214</v>
      </c>
    </row>
    <row r="176">
      <c r="A176" s="18">
        <v>45154.0</v>
      </c>
      <c r="B176" s="26" t="s">
        <v>215</v>
      </c>
    </row>
    <row r="177">
      <c r="A177" s="18">
        <v>45153.0</v>
      </c>
      <c r="B177" s="26" t="s">
        <v>216</v>
      </c>
    </row>
    <row r="178">
      <c r="A178" s="18">
        <v>45152.0</v>
      </c>
      <c r="B178" s="26" t="s">
        <v>217</v>
      </c>
    </row>
    <row r="179">
      <c r="A179" s="18">
        <v>45151.0</v>
      </c>
      <c r="B179" s="26" t="s">
        <v>218</v>
      </c>
    </row>
    <row r="180">
      <c r="A180" s="18">
        <v>45150.0</v>
      </c>
      <c r="B180" s="26" t="s">
        <v>219</v>
      </c>
    </row>
    <row r="181">
      <c r="A181" s="18">
        <v>45149.0</v>
      </c>
      <c r="B181" s="26" t="s">
        <v>220</v>
      </c>
    </row>
    <row r="182">
      <c r="A182" s="18">
        <v>45148.0</v>
      </c>
      <c r="B182" s="26" t="s">
        <v>221</v>
      </c>
    </row>
    <row r="183">
      <c r="A183" s="18">
        <v>45146.0</v>
      </c>
      <c r="B183" s="26" t="s">
        <v>222</v>
      </c>
    </row>
    <row r="184">
      <c r="A184" s="18">
        <v>45145.0</v>
      </c>
      <c r="B184" s="26" t="s">
        <v>223</v>
      </c>
    </row>
    <row r="185">
      <c r="A185" s="18">
        <v>45144.0</v>
      </c>
      <c r="B185" s="26" t="s">
        <v>224</v>
      </c>
    </row>
    <row r="186">
      <c r="A186" s="18">
        <v>45137.0</v>
      </c>
      <c r="B186" s="26" t="s">
        <v>225</v>
      </c>
    </row>
    <row r="187">
      <c r="A187" s="18">
        <v>45131.0</v>
      </c>
      <c r="B187" s="26" t="s">
        <v>226</v>
      </c>
    </row>
    <row r="188">
      <c r="A188" s="18">
        <v>45125.0</v>
      </c>
      <c r="B188" s="26" t="s">
        <v>227</v>
      </c>
    </row>
    <row r="189">
      <c r="A189" s="18">
        <v>45124.0</v>
      </c>
      <c r="B189" s="26" t="s">
        <v>228</v>
      </c>
    </row>
    <row r="190">
      <c r="A190" s="18">
        <v>45120.0</v>
      </c>
      <c r="B190" s="26" t="s">
        <v>229</v>
      </c>
    </row>
    <row r="191">
      <c r="A191" s="18">
        <v>45119.0</v>
      </c>
      <c r="B191" s="26" t="s">
        <v>230</v>
      </c>
    </row>
  </sheetData>
  <hyperlinks>
    <hyperlink r:id="rId1" ref="B17"/>
    <hyperlink r:id="rId2" ref="B68"/>
  </hyperlinks>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6.25"/>
    <col customWidth="1" min="2" max="2" width="25.0"/>
    <col customWidth="1" min="3" max="3" width="76.13"/>
  </cols>
  <sheetData>
    <row r="1" ht="36.75" customHeight="1">
      <c r="A1" s="28" t="s">
        <v>231</v>
      </c>
    </row>
    <row r="2">
      <c r="A2" s="29" t="s">
        <v>232</v>
      </c>
      <c r="B2" s="30" t="s">
        <v>233</v>
      </c>
      <c r="C2" s="31" t="s">
        <v>234</v>
      </c>
    </row>
    <row r="3">
      <c r="A3" s="32" t="s">
        <v>235</v>
      </c>
      <c r="B3" s="33" t="s">
        <v>236</v>
      </c>
      <c r="C3" s="34" t="s">
        <v>237</v>
      </c>
    </row>
    <row r="4">
      <c r="A4" s="35" t="s">
        <v>238</v>
      </c>
      <c r="B4" s="36" t="s">
        <v>239</v>
      </c>
      <c r="C4" s="37" t="s">
        <v>240</v>
      </c>
    </row>
    <row r="5">
      <c r="A5" s="32" t="s">
        <v>241</v>
      </c>
      <c r="B5" s="33" t="s">
        <v>242</v>
      </c>
      <c r="C5" s="38" t="s">
        <v>243</v>
      </c>
    </row>
    <row r="6">
      <c r="A6" s="35" t="s">
        <v>244</v>
      </c>
      <c r="B6" s="36" t="s">
        <v>245</v>
      </c>
      <c r="C6" s="37" t="s">
        <v>246</v>
      </c>
    </row>
    <row r="7">
      <c r="A7" s="32" t="s">
        <v>247</v>
      </c>
      <c r="B7" s="33" t="s">
        <v>248</v>
      </c>
      <c r="C7" s="39" t="s">
        <v>249</v>
      </c>
    </row>
    <row r="8">
      <c r="A8" s="35" t="s">
        <v>250</v>
      </c>
      <c r="B8" s="36" t="s">
        <v>251</v>
      </c>
      <c r="C8" s="37" t="s">
        <v>252</v>
      </c>
    </row>
    <row r="9">
      <c r="A9" s="32" t="s">
        <v>253</v>
      </c>
      <c r="B9" s="33" t="s">
        <v>254</v>
      </c>
      <c r="C9" s="39" t="s">
        <v>255</v>
      </c>
    </row>
    <row r="10">
      <c r="A10" s="35" t="s">
        <v>256</v>
      </c>
      <c r="B10" s="36" t="s">
        <v>257</v>
      </c>
      <c r="C10" s="37" t="s">
        <v>258</v>
      </c>
    </row>
    <row r="11">
      <c r="A11" s="32" t="s">
        <v>259</v>
      </c>
      <c r="B11" s="33" t="s">
        <v>260</v>
      </c>
      <c r="C11" s="39" t="s">
        <v>261</v>
      </c>
    </row>
    <row r="12">
      <c r="A12" s="35" t="s">
        <v>262</v>
      </c>
      <c r="B12" s="36" t="s">
        <v>263</v>
      </c>
      <c r="C12" s="37" t="s">
        <v>264</v>
      </c>
    </row>
    <row r="13">
      <c r="A13" s="32" t="s">
        <v>265</v>
      </c>
      <c r="B13" s="33" t="s">
        <v>266</v>
      </c>
      <c r="C13" s="39" t="s">
        <v>267</v>
      </c>
    </row>
    <row r="14">
      <c r="A14" s="35" t="s">
        <v>268</v>
      </c>
      <c r="B14" s="36" t="s">
        <v>269</v>
      </c>
      <c r="C14" s="37" t="s">
        <v>270</v>
      </c>
    </row>
    <row r="15">
      <c r="A15" s="32" t="s">
        <v>271</v>
      </c>
      <c r="B15" s="33" t="s">
        <v>272</v>
      </c>
      <c r="C15" s="34" t="s">
        <v>273</v>
      </c>
    </row>
    <row r="16">
      <c r="A16" s="35" t="s">
        <v>274</v>
      </c>
      <c r="B16" s="36" t="s">
        <v>275</v>
      </c>
      <c r="C16" s="37" t="s">
        <v>276</v>
      </c>
    </row>
    <row r="17">
      <c r="A17" s="32" t="s">
        <v>277</v>
      </c>
      <c r="B17" s="33" t="s">
        <v>278</v>
      </c>
      <c r="C17" s="9" t="s">
        <v>279</v>
      </c>
    </row>
    <row r="18">
      <c r="A18" s="35" t="s">
        <v>280</v>
      </c>
      <c r="B18" s="36" t="s">
        <v>281</v>
      </c>
      <c r="C18" s="40" t="s">
        <v>282</v>
      </c>
    </row>
    <row r="19">
      <c r="A19" s="32" t="s">
        <v>283</v>
      </c>
      <c r="B19" s="33" t="s">
        <v>284</v>
      </c>
      <c r="C19" s="9" t="s">
        <v>285</v>
      </c>
    </row>
    <row r="20">
      <c r="A20" s="35" t="s">
        <v>286</v>
      </c>
      <c r="B20" s="36" t="s">
        <v>287</v>
      </c>
      <c r="C20" s="37" t="s">
        <v>288</v>
      </c>
    </row>
    <row r="21">
      <c r="A21" s="32" t="s">
        <v>289</v>
      </c>
      <c r="B21" s="33" t="s">
        <v>290</v>
      </c>
      <c r="C21" s="39" t="s">
        <v>291</v>
      </c>
    </row>
  </sheetData>
  <mergeCells count="1">
    <mergeCell ref="A1:C1"/>
  </mergeCells>
  <hyperlinks>
    <hyperlink r:id="rId1" ref="C3"/>
    <hyperlink r:id="rId2" ref="C5"/>
    <hyperlink display="See the Wolfpacks tab of this spreadsheet. In short, Pack Hunter is approximately an 25-30% buff to base rocket damage. However, not all perks are multiplied and treated the same — see the tab for more info." location="null!A1" ref="C15"/>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8"/>
    <col customWidth="1" min="2" max="2" width="7.38"/>
    <col customWidth="1" min="3" max="3" width="8.88"/>
    <col customWidth="1" min="4" max="4" width="18.5"/>
    <col customWidth="1" min="5" max="8" width="22.88"/>
    <col customWidth="1" min="9" max="9" width="29.38"/>
  </cols>
  <sheetData>
    <row r="1" ht="30.0" customHeight="1">
      <c r="A1" s="41" t="s">
        <v>292</v>
      </c>
      <c r="B1" s="41" t="s">
        <v>293</v>
      </c>
      <c r="C1" s="42" t="s">
        <v>294</v>
      </c>
      <c r="D1" s="41" t="s">
        <v>295</v>
      </c>
      <c r="E1" s="41" t="s">
        <v>296</v>
      </c>
      <c r="F1" s="41" t="s">
        <v>297</v>
      </c>
      <c r="G1" s="41" t="s">
        <v>298</v>
      </c>
      <c r="H1" s="41" t="s">
        <v>299</v>
      </c>
      <c r="I1" s="42" t="s">
        <v>300</v>
      </c>
    </row>
    <row r="2" ht="43.5" customHeight="1">
      <c r="A2" s="43">
        <v>1.0</v>
      </c>
      <c r="B2" s="44"/>
      <c r="C2" s="45" t="s">
        <v>301</v>
      </c>
      <c r="D2" s="46" t="s">
        <v>302</v>
      </c>
      <c r="E2" s="45" t="s">
        <v>303</v>
      </c>
      <c r="F2" s="45" t="s">
        <v>303</v>
      </c>
      <c r="G2" s="45" t="s">
        <v>303</v>
      </c>
      <c r="H2" s="45" t="s">
        <v>303</v>
      </c>
      <c r="I2" s="45" t="s">
        <v>304</v>
      </c>
    </row>
    <row r="3" ht="43.5" customHeight="1">
      <c r="A3" s="43">
        <v>1.0</v>
      </c>
      <c r="B3" s="44"/>
      <c r="C3" s="45" t="s">
        <v>301</v>
      </c>
      <c r="D3" s="46" t="s">
        <v>305</v>
      </c>
      <c r="E3" s="45" t="s">
        <v>303</v>
      </c>
      <c r="F3" s="45" t="s">
        <v>303</v>
      </c>
      <c r="G3" s="45" t="s">
        <v>303</v>
      </c>
      <c r="H3" s="45" t="s">
        <v>303</v>
      </c>
      <c r="I3" s="45" t="s">
        <v>306</v>
      </c>
    </row>
    <row r="4" ht="43.5" customHeight="1">
      <c r="A4" s="43">
        <v>1.0</v>
      </c>
      <c r="B4" s="44"/>
      <c r="C4" s="45" t="s">
        <v>307</v>
      </c>
      <c r="D4" s="46" t="s">
        <v>29</v>
      </c>
      <c r="E4" s="45" t="s">
        <v>303</v>
      </c>
      <c r="F4" s="45" t="s">
        <v>303</v>
      </c>
      <c r="G4" s="45" t="s">
        <v>308</v>
      </c>
      <c r="H4" s="45" t="s">
        <v>309</v>
      </c>
      <c r="I4" s="45" t="s">
        <v>310</v>
      </c>
    </row>
    <row r="5" ht="43.5" customHeight="1">
      <c r="A5" s="43">
        <v>1.0</v>
      </c>
      <c r="B5" s="44"/>
      <c r="C5" s="45" t="s">
        <v>311</v>
      </c>
      <c r="D5" s="46" t="s">
        <v>312</v>
      </c>
      <c r="E5" s="45" t="s">
        <v>313</v>
      </c>
      <c r="F5" s="45" t="s">
        <v>313</v>
      </c>
      <c r="G5" s="45" t="s">
        <v>313</v>
      </c>
      <c r="H5" s="45" t="s">
        <v>313</v>
      </c>
      <c r="I5" s="45" t="s">
        <v>314</v>
      </c>
    </row>
    <row r="6" ht="43.5" customHeight="1">
      <c r="A6" s="43">
        <v>1.0</v>
      </c>
      <c r="B6" s="44"/>
      <c r="C6" s="45" t="s">
        <v>307</v>
      </c>
      <c r="D6" s="46" t="s">
        <v>315</v>
      </c>
      <c r="E6" s="45" t="s">
        <v>316</v>
      </c>
      <c r="F6" s="45" t="s">
        <v>317</v>
      </c>
      <c r="G6" s="45" t="s">
        <v>318</v>
      </c>
      <c r="H6" s="45" t="s">
        <v>319</v>
      </c>
      <c r="I6" s="45" t="s">
        <v>320</v>
      </c>
    </row>
    <row r="7" ht="43.5" customHeight="1">
      <c r="A7" s="43">
        <v>1.0</v>
      </c>
      <c r="B7" s="44"/>
      <c r="C7" s="45" t="s">
        <v>311</v>
      </c>
      <c r="D7" s="46" t="s">
        <v>321</v>
      </c>
      <c r="E7" s="45" t="s">
        <v>303</v>
      </c>
      <c r="F7" s="45" t="s">
        <v>303</v>
      </c>
      <c r="G7" s="45" t="s">
        <v>303</v>
      </c>
      <c r="H7" s="45" t="s">
        <v>303</v>
      </c>
      <c r="I7" s="45" t="s">
        <v>322</v>
      </c>
    </row>
    <row r="8" ht="43.5" customHeight="1">
      <c r="A8" s="43">
        <v>1.0</v>
      </c>
      <c r="B8" s="44"/>
      <c r="C8" s="45" t="s">
        <v>301</v>
      </c>
      <c r="D8" s="46" t="s">
        <v>323</v>
      </c>
      <c r="E8" s="45" t="s">
        <v>303</v>
      </c>
      <c r="F8" s="45" t="s">
        <v>303</v>
      </c>
      <c r="G8" s="45" t="s">
        <v>324</v>
      </c>
      <c r="H8" s="45" t="s">
        <v>325</v>
      </c>
      <c r="I8" s="45" t="s">
        <v>326</v>
      </c>
    </row>
    <row r="9" ht="43.5" customHeight="1">
      <c r="A9" s="43">
        <v>1.0</v>
      </c>
      <c r="B9" s="44"/>
      <c r="C9" s="45" t="s">
        <v>327</v>
      </c>
      <c r="D9" s="46" t="s">
        <v>328</v>
      </c>
      <c r="E9" s="45" t="s">
        <v>313</v>
      </c>
      <c r="F9" s="45" t="s">
        <v>313</v>
      </c>
      <c r="G9" s="45" t="s">
        <v>313</v>
      </c>
      <c r="H9" s="45" t="s">
        <v>313</v>
      </c>
      <c r="I9" s="45" t="s">
        <v>329</v>
      </c>
    </row>
    <row r="10" ht="43.5" customHeight="1">
      <c r="A10" s="43">
        <v>2.0</v>
      </c>
      <c r="B10" s="44"/>
      <c r="C10" s="45" t="s">
        <v>307</v>
      </c>
      <c r="D10" s="46" t="s">
        <v>330</v>
      </c>
      <c r="E10" s="45" t="s">
        <v>331</v>
      </c>
      <c r="F10" s="45" t="s">
        <v>332</v>
      </c>
      <c r="G10" s="45" t="s">
        <v>333</v>
      </c>
      <c r="H10" s="45" t="s">
        <v>334</v>
      </c>
      <c r="I10" s="45" t="s">
        <v>335</v>
      </c>
    </row>
    <row r="11" ht="43.5" customHeight="1">
      <c r="A11" s="43">
        <v>2.0</v>
      </c>
      <c r="B11" s="44"/>
      <c r="C11" s="45" t="s">
        <v>336</v>
      </c>
      <c r="D11" s="46" t="s">
        <v>337</v>
      </c>
      <c r="E11" s="45" t="s">
        <v>338</v>
      </c>
      <c r="F11" s="45" t="s">
        <v>339</v>
      </c>
      <c r="G11" s="45" t="s">
        <v>340</v>
      </c>
      <c r="H11" s="45" t="s">
        <v>341</v>
      </c>
      <c r="I11" s="45" t="s">
        <v>342</v>
      </c>
    </row>
    <row r="12" ht="43.5" customHeight="1">
      <c r="A12" s="43">
        <v>2.0</v>
      </c>
      <c r="B12" s="44"/>
      <c r="C12" s="45" t="s">
        <v>307</v>
      </c>
      <c r="D12" s="46" t="s">
        <v>343</v>
      </c>
      <c r="E12" s="45" t="s">
        <v>316</v>
      </c>
      <c r="F12" s="45" t="s">
        <v>317</v>
      </c>
      <c r="G12" s="45" t="s">
        <v>344</v>
      </c>
      <c r="H12" s="45" t="s">
        <v>345</v>
      </c>
      <c r="I12" s="45" t="s">
        <v>346</v>
      </c>
    </row>
    <row r="13" ht="43.5" customHeight="1">
      <c r="A13" s="43">
        <v>2.0</v>
      </c>
      <c r="B13" s="44"/>
      <c r="C13" s="45" t="s">
        <v>311</v>
      </c>
      <c r="D13" s="46" t="s">
        <v>347</v>
      </c>
      <c r="E13" s="45" t="s">
        <v>348</v>
      </c>
      <c r="F13" s="45" t="s">
        <v>349</v>
      </c>
      <c r="G13" s="45" t="s">
        <v>340</v>
      </c>
      <c r="H13" s="45" t="s">
        <v>303</v>
      </c>
      <c r="I13" s="45" t="s">
        <v>350</v>
      </c>
    </row>
    <row r="14" ht="43.5" customHeight="1">
      <c r="A14" s="43">
        <v>2.0</v>
      </c>
      <c r="B14" s="47"/>
      <c r="C14" s="45" t="s">
        <v>307</v>
      </c>
      <c r="D14" s="46" t="s">
        <v>351</v>
      </c>
      <c r="E14" s="45" t="s">
        <v>316</v>
      </c>
      <c r="F14" s="45" t="s">
        <v>352</v>
      </c>
      <c r="G14" s="45" t="s">
        <v>353</v>
      </c>
      <c r="H14" s="45" t="s">
        <v>354</v>
      </c>
      <c r="I14" s="45" t="s">
        <v>355</v>
      </c>
    </row>
    <row r="15" ht="43.5" customHeight="1">
      <c r="A15" s="43">
        <v>2.0</v>
      </c>
      <c r="B15" s="44"/>
      <c r="C15" s="45" t="s">
        <v>336</v>
      </c>
      <c r="D15" s="46" t="s">
        <v>356</v>
      </c>
      <c r="E15" s="45" t="s">
        <v>357</v>
      </c>
      <c r="F15" s="45" t="s">
        <v>358</v>
      </c>
      <c r="G15" s="45" t="s">
        <v>359</v>
      </c>
      <c r="H15" s="45" t="s">
        <v>360</v>
      </c>
      <c r="I15" s="45" t="s">
        <v>361</v>
      </c>
    </row>
    <row r="16" ht="43.5" customHeight="1">
      <c r="A16" s="43">
        <v>2.0</v>
      </c>
      <c r="B16" s="44"/>
      <c r="C16" s="45" t="s">
        <v>307</v>
      </c>
      <c r="D16" s="46" t="s">
        <v>362</v>
      </c>
      <c r="E16" s="45" t="s">
        <v>331</v>
      </c>
      <c r="F16" s="45" t="s">
        <v>332</v>
      </c>
      <c r="G16" s="45" t="s">
        <v>363</v>
      </c>
      <c r="H16" s="45" t="s">
        <v>364</v>
      </c>
      <c r="I16" s="45" t="s">
        <v>365</v>
      </c>
    </row>
    <row r="17" ht="43.5" customHeight="1">
      <c r="A17" s="43">
        <v>2.0</v>
      </c>
      <c r="B17" s="44"/>
      <c r="C17" s="45" t="s">
        <v>336</v>
      </c>
      <c r="D17" s="46" t="s">
        <v>366</v>
      </c>
      <c r="E17" s="45" t="s">
        <v>313</v>
      </c>
      <c r="F17" s="45" t="s">
        <v>313</v>
      </c>
      <c r="G17" s="45" t="s">
        <v>313</v>
      </c>
      <c r="H17" s="45" t="s">
        <v>313</v>
      </c>
      <c r="I17" s="45" t="s">
        <v>367</v>
      </c>
    </row>
    <row r="18" ht="43.5" customHeight="1">
      <c r="A18" s="43">
        <v>2.0</v>
      </c>
      <c r="B18" s="44"/>
      <c r="C18" s="45" t="s">
        <v>311</v>
      </c>
      <c r="D18" s="46" t="s">
        <v>368</v>
      </c>
      <c r="E18" s="45" t="s">
        <v>303</v>
      </c>
      <c r="F18" s="45" t="s">
        <v>303</v>
      </c>
      <c r="G18" s="45" t="s">
        <v>303</v>
      </c>
      <c r="H18" s="45" t="s">
        <v>303</v>
      </c>
      <c r="I18" s="45" t="s">
        <v>369</v>
      </c>
    </row>
    <row r="19" ht="43.5" customHeight="1">
      <c r="A19" s="43">
        <v>2.0</v>
      </c>
      <c r="B19" s="44"/>
      <c r="C19" s="45" t="s">
        <v>336</v>
      </c>
      <c r="D19" s="46" t="s">
        <v>370</v>
      </c>
      <c r="E19" s="45" t="s">
        <v>316</v>
      </c>
      <c r="F19" s="45" t="s">
        <v>371</v>
      </c>
      <c r="G19" s="45" t="s">
        <v>372</v>
      </c>
      <c r="H19" s="45" t="s">
        <v>373</v>
      </c>
      <c r="I19" s="45" t="s">
        <v>374</v>
      </c>
    </row>
    <row r="20" ht="43.5" customHeight="1">
      <c r="A20" s="43">
        <v>2.0</v>
      </c>
      <c r="B20" s="45"/>
      <c r="C20" s="45" t="s">
        <v>307</v>
      </c>
      <c r="D20" s="46" t="s">
        <v>375</v>
      </c>
      <c r="E20" s="45" t="s">
        <v>303</v>
      </c>
      <c r="F20" s="45" t="s">
        <v>303</v>
      </c>
      <c r="G20" s="45" t="s">
        <v>303</v>
      </c>
      <c r="H20" s="45" t="s">
        <v>303</v>
      </c>
      <c r="I20" s="45" t="s">
        <v>376</v>
      </c>
    </row>
    <row r="21" ht="43.5" customHeight="1">
      <c r="A21" s="43">
        <v>2.0</v>
      </c>
      <c r="B21" s="44"/>
      <c r="C21" s="45" t="s">
        <v>336</v>
      </c>
      <c r="D21" s="46" t="s">
        <v>377</v>
      </c>
      <c r="E21" s="45" t="s">
        <v>316</v>
      </c>
      <c r="F21" s="45" t="s">
        <v>378</v>
      </c>
      <c r="G21" s="45" t="s">
        <v>379</v>
      </c>
      <c r="H21" s="45" t="s">
        <v>380</v>
      </c>
      <c r="I21" s="45" t="s">
        <v>381</v>
      </c>
    </row>
    <row r="22" ht="43.5" customHeight="1">
      <c r="A22" s="43">
        <v>2.0</v>
      </c>
      <c r="B22" s="47"/>
      <c r="C22" s="45" t="s">
        <v>311</v>
      </c>
      <c r="D22" s="46" t="s">
        <v>382</v>
      </c>
      <c r="E22" s="45" t="s">
        <v>303</v>
      </c>
      <c r="F22" s="45" t="s">
        <v>303</v>
      </c>
      <c r="G22" s="45" t="s">
        <v>303</v>
      </c>
      <c r="H22" s="45" t="s">
        <v>303</v>
      </c>
      <c r="I22" s="45" t="s">
        <v>383</v>
      </c>
    </row>
    <row r="23" ht="43.5" customHeight="1">
      <c r="A23" s="43">
        <v>2.0</v>
      </c>
      <c r="B23" s="44"/>
      <c r="C23" s="45" t="s">
        <v>384</v>
      </c>
      <c r="D23" s="46" t="s">
        <v>385</v>
      </c>
      <c r="E23" s="45" t="s">
        <v>303</v>
      </c>
      <c r="F23" s="45" t="s">
        <v>303</v>
      </c>
      <c r="G23" s="45" t="s">
        <v>303</v>
      </c>
      <c r="H23" s="45" t="s">
        <v>303</v>
      </c>
      <c r="I23" s="45" t="s">
        <v>386</v>
      </c>
    </row>
    <row r="24" ht="43.5" customHeight="1">
      <c r="A24" s="43">
        <v>2.0</v>
      </c>
      <c r="B24" s="48"/>
      <c r="C24" s="45" t="s">
        <v>311</v>
      </c>
      <c r="D24" s="46" t="s">
        <v>387</v>
      </c>
      <c r="E24" s="45" t="s">
        <v>338</v>
      </c>
      <c r="F24" s="45" t="s">
        <v>388</v>
      </c>
      <c r="G24" s="45" t="s">
        <v>389</v>
      </c>
      <c r="H24" s="45" t="s">
        <v>390</v>
      </c>
      <c r="I24" s="45" t="s">
        <v>391</v>
      </c>
    </row>
    <row r="25" ht="43.5" customHeight="1">
      <c r="A25" s="43">
        <v>2.0</v>
      </c>
      <c r="B25" s="44"/>
      <c r="C25" s="45" t="s">
        <v>336</v>
      </c>
      <c r="D25" s="46" t="s">
        <v>392</v>
      </c>
      <c r="E25" s="45" t="s">
        <v>357</v>
      </c>
      <c r="F25" s="45" t="s">
        <v>358</v>
      </c>
      <c r="G25" s="45" t="s">
        <v>393</v>
      </c>
      <c r="H25" s="45" t="s">
        <v>394</v>
      </c>
      <c r="I25" s="45" t="s">
        <v>395</v>
      </c>
    </row>
    <row r="26" ht="43.5" customHeight="1">
      <c r="A26" s="43">
        <v>2.0</v>
      </c>
      <c r="B26" s="44"/>
      <c r="C26" s="45" t="s">
        <v>336</v>
      </c>
      <c r="D26" s="46" t="s">
        <v>396</v>
      </c>
      <c r="E26" s="45" t="s">
        <v>338</v>
      </c>
      <c r="F26" s="45" t="s">
        <v>358</v>
      </c>
      <c r="G26" s="45" t="s">
        <v>397</v>
      </c>
      <c r="H26" s="45" t="s">
        <v>398</v>
      </c>
      <c r="I26" s="45" t="s">
        <v>399</v>
      </c>
    </row>
    <row r="27" ht="43.5" customHeight="1">
      <c r="A27" s="43">
        <v>2.0</v>
      </c>
      <c r="B27" s="44"/>
      <c r="C27" s="45" t="s">
        <v>336</v>
      </c>
      <c r="D27" s="46" t="s">
        <v>400</v>
      </c>
      <c r="E27" s="45" t="s">
        <v>316</v>
      </c>
      <c r="F27" s="45" t="s">
        <v>378</v>
      </c>
      <c r="G27" s="45" t="s">
        <v>372</v>
      </c>
      <c r="H27" s="45" t="s">
        <v>401</v>
      </c>
      <c r="I27" s="45" t="s">
        <v>402</v>
      </c>
    </row>
    <row r="28" ht="43.5" customHeight="1">
      <c r="A28" s="43">
        <v>2.0</v>
      </c>
      <c r="B28" s="44"/>
      <c r="C28" s="45" t="s">
        <v>307</v>
      </c>
      <c r="D28" s="46" t="s">
        <v>403</v>
      </c>
      <c r="E28" s="45" t="s">
        <v>313</v>
      </c>
      <c r="F28" s="45" t="s">
        <v>313</v>
      </c>
      <c r="G28" s="45" t="s">
        <v>313</v>
      </c>
      <c r="H28" s="45" t="s">
        <v>313</v>
      </c>
      <c r="I28" s="45" t="s">
        <v>404</v>
      </c>
    </row>
    <row r="29" ht="43.5" customHeight="1">
      <c r="A29" s="43">
        <v>2.0</v>
      </c>
      <c r="B29" s="44"/>
      <c r="C29" s="45" t="s">
        <v>301</v>
      </c>
      <c r="D29" s="46" t="s">
        <v>405</v>
      </c>
      <c r="E29" s="45" t="s">
        <v>303</v>
      </c>
      <c r="F29" s="45" t="s">
        <v>303</v>
      </c>
      <c r="G29" s="45" t="s">
        <v>406</v>
      </c>
      <c r="H29" s="45" t="s">
        <v>407</v>
      </c>
      <c r="I29" s="45" t="s">
        <v>408</v>
      </c>
    </row>
    <row r="30" ht="43.5" customHeight="1">
      <c r="A30" s="43">
        <v>2.0</v>
      </c>
      <c r="B30" s="44"/>
      <c r="C30" s="45" t="s">
        <v>301</v>
      </c>
      <c r="D30" s="46" t="s">
        <v>409</v>
      </c>
      <c r="E30" s="45" t="s">
        <v>303</v>
      </c>
      <c r="F30" s="45" t="s">
        <v>303</v>
      </c>
      <c r="G30" s="45" t="s">
        <v>303</v>
      </c>
      <c r="H30" s="45" t="s">
        <v>303</v>
      </c>
      <c r="I30" s="45" t="s">
        <v>410</v>
      </c>
    </row>
    <row r="31" ht="43.5" customHeight="1">
      <c r="A31" s="43">
        <v>2.0</v>
      </c>
      <c r="B31" s="44"/>
      <c r="C31" s="45" t="s">
        <v>307</v>
      </c>
      <c r="D31" s="46" t="s">
        <v>411</v>
      </c>
      <c r="E31" s="45" t="s">
        <v>313</v>
      </c>
      <c r="F31" s="45" t="s">
        <v>313</v>
      </c>
      <c r="G31" s="45" t="s">
        <v>313</v>
      </c>
      <c r="H31" s="45" t="s">
        <v>313</v>
      </c>
      <c r="I31" s="45" t="s">
        <v>412</v>
      </c>
    </row>
    <row r="32" ht="43.5" customHeight="1">
      <c r="A32" s="43">
        <v>2.0</v>
      </c>
      <c r="B32" s="44"/>
      <c r="C32" s="45" t="s">
        <v>307</v>
      </c>
      <c r="D32" s="46" t="s">
        <v>413</v>
      </c>
      <c r="E32" s="45" t="s">
        <v>313</v>
      </c>
      <c r="F32" s="45" t="s">
        <v>313</v>
      </c>
      <c r="G32" s="45" t="s">
        <v>313</v>
      </c>
      <c r="H32" s="45" t="s">
        <v>313</v>
      </c>
      <c r="I32" s="45" t="s">
        <v>414</v>
      </c>
    </row>
    <row r="33" ht="43.5" customHeight="1">
      <c r="A33" s="43">
        <v>2.0</v>
      </c>
      <c r="B33" s="44"/>
      <c r="C33" s="45" t="s">
        <v>336</v>
      </c>
      <c r="D33" s="46" t="s">
        <v>415</v>
      </c>
      <c r="E33" s="45" t="s">
        <v>338</v>
      </c>
      <c r="F33" s="45" t="s">
        <v>416</v>
      </c>
      <c r="G33" s="45" t="s">
        <v>417</v>
      </c>
      <c r="H33" s="45" t="s">
        <v>398</v>
      </c>
      <c r="I33" s="45" t="s">
        <v>418</v>
      </c>
    </row>
    <row r="34" ht="43.5" customHeight="1">
      <c r="A34" s="43">
        <v>2.0</v>
      </c>
      <c r="B34" s="44"/>
      <c r="C34" s="45" t="s">
        <v>307</v>
      </c>
      <c r="D34" s="46" t="s">
        <v>419</v>
      </c>
      <c r="E34" s="45" t="s">
        <v>316</v>
      </c>
      <c r="F34" s="45" t="s">
        <v>371</v>
      </c>
      <c r="G34" s="45" t="s">
        <v>420</v>
      </c>
      <c r="H34" s="45" t="s">
        <v>421</v>
      </c>
      <c r="I34" s="45" t="s">
        <v>422</v>
      </c>
    </row>
    <row r="35" ht="43.5" customHeight="1">
      <c r="A35" s="43">
        <v>3.0</v>
      </c>
      <c r="B35" s="44"/>
      <c r="C35" s="45" t="s">
        <v>307</v>
      </c>
      <c r="D35" s="46" t="s">
        <v>423</v>
      </c>
      <c r="E35" s="45" t="s">
        <v>331</v>
      </c>
      <c r="F35" s="45" t="s">
        <v>332</v>
      </c>
      <c r="G35" s="45" t="s">
        <v>333</v>
      </c>
      <c r="H35" s="45" t="s">
        <v>424</v>
      </c>
      <c r="I35" s="45" t="s">
        <v>425</v>
      </c>
    </row>
    <row r="36" ht="43.5" customHeight="1">
      <c r="A36" s="43">
        <v>3.0</v>
      </c>
      <c r="B36" s="48"/>
      <c r="C36" s="45" t="s">
        <v>311</v>
      </c>
      <c r="D36" s="46" t="s">
        <v>426</v>
      </c>
      <c r="E36" s="45" t="s">
        <v>338</v>
      </c>
      <c r="F36" s="45" t="s">
        <v>388</v>
      </c>
      <c r="G36" s="45" t="s">
        <v>427</v>
      </c>
      <c r="H36" s="45" t="s">
        <v>390</v>
      </c>
      <c r="I36" s="45" t="s">
        <v>428</v>
      </c>
    </row>
    <row r="37" ht="43.5" customHeight="1">
      <c r="A37" s="43">
        <v>3.0</v>
      </c>
      <c r="B37" s="44"/>
      <c r="C37" s="45" t="s">
        <v>336</v>
      </c>
      <c r="D37" s="46" t="s">
        <v>429</v>
      </c>
      <c r="E37" s="45" t="s">
        <v>313</v>
      </c>
      <c r="F37" s="45" t="s">
        <v>313</v>
      </c>
      <c r="G37" s="45" t="s">
        <v>313</v>
      </c>
      <c r="H37" s="45" t="s">
        <v>313</v>
      </c>
      <c r="I37" s="45" t="s">
        <v>430</v>
      </c>
    </row>
    <row r="38" ht="43.5" customHeight="1">
      <c r="A38" s="43">
        <v>3.0</v>
      </c>
      <c r="B38" s="47"/>
      <c r="C38" s="45" t="s">
        <v>307</v>
      </c>
      <c r="D38" s="46" t="s">
        <v>431</v>
      </c>
      <c r="E38" s="45" t="s">
        <v>316</v>
      </c>
      <c r="F38" s="45" t="s">
        <v>317</v>
      </c>
      <c r="G38" s="45" t="s">
        <v>432</v>
      </c>
      <c r="H38" s="45" t="s">
        <v>433</v>
      </c>
      <c r="I38" s="45" t="s">
        <v>434</v>
      </c>
    </row>
    <row r="39" ht="43.5" customHeight="1">
      <c r="A39" s="43">
        <v>3.0</v>
      </c>
      <c r="B39" s="44"/>
      <c r="C39" s="45" t="s">
        <v>336</v>
      </c>
      <c r="D39" s="46" t="s">
        <v>435</v>
      </c>
      <c r="E39" s="45" t="s">
        <v>338</v>
      </c>
      <c r="F39" s="45" t="s">
        <v>436</v>
      </c>
      <c r="G39" s="45" t="s">
        <v>437</v>
      </c>
      <c r="H39" s="45" t="s">
        <v>438</v>
      </c>
      <c r="I39" s="45" t="s">
        <v>439</v>
      </c>
    </row>
    <row r="40" ht="43.5" customHeight="1">
      <c r="A40" s="43">
        <v>3.0</v>
      </c>
      <c r="B40" s="44"/>
      <c r="C40" s="45" t="s">
        <v>307</v>
      </c>
      <c r="D40" s="46" t="s">
        <v>440</v>
      </c>
      <c r="E40" s="45" t="s">
        <v>313</v>
      </c>
      <c r="F40" s="45" t="s">
        <v>313</v>
      </c>
      <c r="G40" s="45" t="s">
        <v>313</v>
      </c>
      <c r="H40" s="45" t="s">
        <v>313</v>
      </c>
      <c r="I40" s="45" t="s">
        <v>441</v>
      </c>
    </row>
    <row r="41" ht="43.5" customHeight="1">
      <c r="A41" s="43">
        <v>3.0</v>
      </c>
      <c r="B41" s="44"/>
      <c r="C41" s="45" t="s">
        <v>307</v>
      </c>
      <c r="D41" s="46" t="s">
        <v>442</v>
      </c>
      <c r="E41" s="45" t="s">
        <v>316</v>
      </c>
      <c r="F41" s="45" t="s">
        <v>371</v>
      </c>
      <c r="G41" s="45" t="s">
        <v>372</v>
      </c>
      <c r="H41" s="45" t="s">
        <v>443</v>
      </c>
      <c r="I41" s="45" t="s">
        <v>444</v>
      </c>
    </row>
    <row r="42" ht="43.5" customHeight="1">
      <c r="A42" s="43">
        <v>3.0</v>
      </c>
      <c r="B42" s="44"/>
      <c r="C42" s="45" t="s">
        <v>327</v>
      </c>
      <c r="D42" s="46" t="s">
        <v>445</v>
      </c>
      <c r="E42" s="45" t="s">
        <v>303</v>
      </c>
      <c r="F42" s="45" t="s">
        <v>303</v>
      </c>
      <c r="G42" s="45" t="s">
        <v>303</v>
      </c>
      <c r="H42" s="45" t="s">
        <v>303</v>
      </c>
      <c r="I42" s="45" t="s">
        <v>446</v>
      </c>
    </row>
    <row r="43" ht="43.5" customHeight="1">
      <c r="A43" s="43">
        <v>3.0</v>
      </c>
      <c r="B43" s="44"/>
      <c r="C43" s="45" t="s">
        <v>307</v>
      </c>
      <c r="D43" s="46" t="s">
        <v>447</v>
      </c>
      <c r="E43" s="45" t="s">
        <v>313</v>
      </c>
      <c r="F43" s="45" t="s">
        <v>313</v>
      </c>
      <c r="G43" s="45" t="s">
        <v>313</v>
      </c>
      <c r="H43" s="45" t="s">
        <v>313</v>
      </c>
      <c r="I43" s="45" t="s">
        <v>448</v>
      </c>
    </row>
    <row r="44" ht="43.5" customHeight="1">
      <c r="A44" s="43">
        <v>3.0</v>
      </c>
      <c r="B44" s="44"/>
      <c r="C44" s="45" t="s">
        <v>307</v>
      </c>
      <c r="D44" s="46" t="s">
        <v>449</v>
      </c>
      <c r="E44" s="45" t="s">
        <v>313</v>
      </c>
      <c r="F44" s="45" t="s">
        <v>313</v>
      </c>
      <c r="G44" s="45" t="s">
        <v>313</v>
      </c>
      <c r="H44" s="45" t="s">
        <v>313</v>
      </c>
      <c r="I44" s="45" t="s">
        <v>450</v>
      </c>
    </row>
    <row r="45" ht="43.5" customHeight="1">
      <c r="A45" s="43">
        <v>3.0</v>
      </c>
      <c r="B45" s="44"/>
      <c r="C45" s="45" t="s">
        <v>307</v>
      </c>
      <c r="D45" s="46" t="s">
        <v>451</v>
      </c>
      <c r="E45" s="45" t="s">
        <v>316</v>
      </c>
      <c r="F45" s="45" t="s">
        <v>378</v>
      </c>
      <c r="G45" s="45" t="s">
        <v>452</v>
      </c>
      <c r="H45" s="45" t="s">
        <v>453</v>
      </c>
      <c r="I45" s="45" t="s">
        <v>454</v>
      </c>
    </row>
    <row r="46" ht="43.5" customHeight="1">
      <c r="A46" s="43">
        <v>3.0</v>
      </c>
      <c r="B46" s="44"/>
      <c r="C46" s="45" t="s">
        <v>327</v>
      </c>
      <c r="D46" s="46" t="s">
        <v>455</v>
      </c>
      <c r="E46" s="45" t="s">
        <v>313</v>
      </c>
      <c r="F46" s="45" t="s">
        <v>313</v>
      </c>
      <c r="G46" s="45" t="s">
        <v>313</v>
      </c>
      <c r="H46" s="45" t="s">
        <v>313</v>
      </c>
      <c r="I46" s="45" t="s">
        <v>456</v>
      </c>
    </row>
    <row r="47" ht="43.5" customHeight="1">
      <c r="A47" s="43">
        <v>3.0</v>
      </c>
      <c r="B47" s="44"/>
      <c r="C47" s="45" t="s">
        <v>336</v>
      </c>
      <c r="D47" s="46" t="s">
        <v>457</v>
      </c>
      <c r="E47" s="45" t="s">
        <v>313</v>
      </c>
      <c r="F47" s="45" t="s">
        <v>313</v>
      </c>
      <c r="G47" s="45" t="s">
        <v>313</v>
      </c>
      <c r="H47" s="45" t="s">
        <v>313</v>
      </c>
      <c r="I47" s="45" t="s">
        <v>458</v>
      </c>
    </row>
    <row r="48" ht="43.5" customHeight="1">
      <c r="A48" s="43">
        <v>3.0</v>
      </c>
      <c r="B48" s="44"/>
      <c r="C48" s="45" t="s">
        <v>307</v>
      </c>
      <c r="D48" s="46" t="s">
        <v>459</v>
      </c>
      <c r="E48" s="45" t="s">
        <v>313</v>
      </c>
      <c r="F48" s="45" t="s">
        <v>313</v>
      </c>
      <c r="G48" s="45" t="s">
        <v>313</v>
      </c>
      <c r="H48" s="45" t="s">
        <v>313</v>
      </c>
      <c r="I48" s="45" t="s">
        <v>460</v>
      </c>
    </row>
    <row r="49" ht="43.5" customHeight="1">
      <c r="A49" s="43">
        <v>3.0</v>
      </c>
      <c r="B49" s="44"/>
      <c r="C49" s="45" t="s">
        <v>327</v>
      </c>
      <c r="D49" s="46" t="s">
        <v>461</v>
      </c>
      <c r="E49" s="45" t="s">
        <v>303</v>
      </c>
      <c r="F49" s="45" t="s">
        <v>303</v>
      </c>
      <c r="G49" s="45" t="s">
        <v>303</v>
      </c>
      <c r="H49" s="45" t="s">
        <v>303</v>
      </c>
      <c r="I49" s="45" t="s">
        <v>462</v>
      </c>
    </row>
    <row r="50" ht="43.5" customHeight="1">
      <c r="A50" s="43">
        <v>3.0</v>
      </c>
      <c r="B50" s="44"/>
      <c r="C50" s="45" t="s">
        <v>307</v>
      </c>
      <c r="D50" s="46" t="s">
        <v>463</v>
      </c>
      <c r="E50" s="45" t="s">
        <v>331</v>
      </c>
      <c r="F50" s="45" t="s">
        <v>332</v>
      </c>
      <c r="G50" s="45" t="s">
        <v>333</v>
      </c>
      <c r="H50" s="45" t="s">
        <v>464</v>
      </c>
      <c r="I50" s="45" t="s">
        <v>465</v>
      </c>
    </row>
    <row r="51" ht="43.5" customHeight="1">
      <c r="A51" s="43">
        <v>3.0</v>
      </c>
      <c r="B51" s="44"/>
      <c r="C51" s="45" t="s">
        <v>311</v>
      </c>
      <c r="D51" s="46" t="s">
        <v>466</v>
      </c>
      <c r="E51" s="45" t="s">
        <v>303</v>
      </c>
      <c r="F51" s="45" t="s">
        <v>303</v>
      </c>
      <c r="G51" s="45" t="s">
        <v>303</v>
      </c>
      <c r="H51" s="45" t="s">
        <v>303</v>
      </c>
      <c r="I51" s="45" t="s">
        <v>467</v>
      </c>
    </row>
    <row r="52" ht="43.5" customHeight="1">
      <c r="A52" s="43">
        <v>3.0</v>
      </c>
      <c r="B52" s="44"/>
      <c r="C52" s="45" t="s">
        <v>307</v>
      </c>
      <c r="D52" s="46" t="s">
        <v>468</v>
      </c>
      <c r="E52" s="45" t="s">
        <v>316</v>
      </c>
      <c r="F52" s="45" t="s">
        <v>378</v>
      </c>
      <c r="G52" s="45" t="s">
        <v>469</v>
      </c>
      <c r="H52" s="45" t="s">
        <v>470</v>
      </c>
      <c r="I52" s="45" t="s">
        <v>471</v>
      </c>
    </row>
    <row r="53" ht="43.5" customHeight="1">
      <c r="A53" s="43">
        <v>3.0</v>
      </c>
      <c r="B53" s="44"/>
      <c r="C53" s="45" t="s">
        <v>336</v>
      </c>
      <c r="D53" s="46" t="s">
        <v>472</v>
      </c>
      <c r="E53" s="45" t="s">
        <v>313</v>
      </c>
      <c r="F53" s="45" t="s">
        <v>313</v>
      </c>
      <c r="G53" s="45" t="s">
        <v>313</v>
      </c>
      <c r="H53" s="45" t="s">
        <v>313</v>
      </c>
      <c r="I53" s="45" t="s">
        <v>473</v>
      </c>
    </row>
    <row r="54" ht="43.5" customHeight="1">
      <c r="A54" s="43">
        <v>3.0</v>
      </c>
      <c r="B54" s="48"/>
      <c r="C54" s="45" t="s">
        <v>336</v>
      </c>
      <c r="D54" s="46" t="s">
        <v>474</v>
      </c>
      <c r="E54" s="45" t="s">
        <v>357</v>
      </c>
      <c r="F54" s="45" t="s">
        <v>416</v>
      </c>
      <c r="G54" s="45" t="s">
        <v>379</v>
      </c>
      <c r="H54" s="45" t="s">
        <v>475</v>
      </c>
      <c r="I54" s="45" t="s">
        <v>476</v>
      </c>
    </row>
    <row r="55" ht="43.5" customHeight="1">
      <c r="A55" s="43">
        <v>3.0</v>
      </c>
      <c r="B55" s="44"/>
      <c r="C55" s="45" t="s">
        <v>336</v>
      </c>
      <c r="D55" s="46" t="s">
        <v>477</v>
      </c>
      <c r="E55" s="45" t="s">
        <v>338</v>
      </c>
      <c r="F55" s="45" t="s">
        <v>478</v>
      </c>
      <c r="G55" s="45" t="s">
        <v>479</v>
      </c>
      <c r="H55" s="45" t="s">
        <v>480</v>
      </c>
      <c r="I55" s="45" t="s">
        <v>481</v>
      </c>
    </row>
    <row r="56" ht="43.5" customHeight="1">
      <c r="A56" s="43">
        <v>3.0</v>
      </c>
      <c r="B56" s="44"/>
      <c r="C56" s="45" t="s">
        <v>336</v>
      </c>
      <c r="D56" s="46" t="s">
        <v>482</v>
      </c>
      <c r="E56" s="45" t="s">
        <v>313</v>
      </c>
      <c r="F56" s="45" t="s">
        <v>313</v>
      </c>
      <c r="G56" s="45" t="s">
        <v>313</v>
      </c>
      <c r="H56" s="45" t="s">
        <v>313</v>
      </c>
      <c r="I56" s="45" t="s">
        <v>483</v>
      </c>
    </row>
    <row r="57" ht="43.5" customHeight="1">
      <c r="A57" s="43">
        <v>3.0</v>
      </c>
      <c r="B57" s="44"/>
      <c r="C57" s="45" t="s">
        <v>336</v>
      </c>
      <c r="D57" s="46" t="s">
        <v>484</v>
      </c>
      <c r="E57" s="45" t="s">
        <v>338</v>
      </c>
      <c r="F57" s="45" t="s">
        <v>485</v>
      </c>
      <c r="G57" s="45" t="s">
        <v>486</v>
      </c>
      <c r="H57" s="45" t="s">
        <v>340</v>
      </c>
      <c r="I57" s="45" t="s">
        <v>487</v>
      </c>
    </row>
    <row r="58" ht="43.5" customHeight="1">
      <c r="A58" s="43">
        <v>3.0</v>
      </c>
      <c r="B58" s="44"/>
      <c r="C58" s="45" t="s">
        <v>488</v>
      </c>
      <c r="D58" s="46" t="s">
        <v>489</v>
      </c>
      <c r="E58" s="45" t="s">
        <v>313</v>
      </c>
      <c r="F58" s="45" t="s">
        <v>313</v>
      </c>
      <c r="G58" s="45" t="s">
        <v>313</v>
      </c>
      <c r="H58" s="45" t="s">
        <v>313</v>
      </c>
      <c r="I58" s="45" t="s">
        <v>490</v>
      </c>
    </row>
    <row r="59" ht="43.5" customHeight="1">
      <c r="A59" s="43">
        <v>3.0</v>
      </c>
      <c r="B59" s="44"/>
      <c r="C59" s="45" t="s">
        <v>384</v>
      </c>
      <c r="D59" s="46" t="s">
        <v>491</v>
      </c>
      <c r="E59" s="45" t="s">
        <v>303</v>
      </c>
      <c r="F59" s="45" t="s">
        <v>303</v>
      </c>
      <c r="G59" s="45" t="s">
        <v>303</v>
      </c>
      <c r="H59" s="45" t="s">
        <v>303</v>
      </c>
      <c r="I59" s="45" t="s">
        <v>492</v>
      </c>
    </row>
    <row r="60" ht="43.5" customHeight="1">
      <c r="A60" s="43">
        <v>3.0</v>
      </c>
      <c r="B60" s="44"/>
      <c r="C60" s="45" t="s">
        <v>336</v>
      </c>
      <c r="D60" s="46" t="s">
        <v>493</v>
      </c>
      <c r="E60" s="45" t="s">
        <v>338</v>
      </c>
      <c r="F60" s="45" t="s">
        <v>494</v>
      </c>
      <c r="G60" s="45" t="s">
        <v>495</v>
      </c>
      <c r="H60" s="45" t="s">
        <v>496</v>
      </c>
      <c r="I60" s="45" t="s">
        <v>497</v>
      </c>
    </row>
    <row r="61" ht="43.5" customHeight="1">
      <c r="A61" s="43">
        <v>3.0</v>
      </c>
      <c r="B61" s="44"/>
      <c r="C61" s="45" t="s">
        <v>307</v>
      </c>
      <c r="D61" s="46" t="s">
        <v>498</v>
      </c>
      <c r="E61" s="45" t="s">
        <v>331</v>
      </c>
      <c r="F61" s="45" t="s">
        <v>332</v>
      </c>
      <c r="G61" s="45" t="s">
        <v>499</v>
      </c>
      <c r="H61" s="45" t="s">
        <v>500</v>
      </c>
      <c r="I61" s="45" t="s">
        <v>501</v>
      </c>
    </row>
    <row r="62" ht="43.5" customHeight="1">
      <c r="A62" s="43">
        <v>3.0</v>
      </c>
      <c r="B62" s="44"/>
      <c r="C62" s="45" t="s">
        <v>307</v>
      </c>
      <c r="D62" s="46" t="s">
        <v>502</v>
      </c>
      <c r="E62" s="45" t="s">
        <v>331</v>
      </c>
      <c r="F62" s="45" t="s">
        <v>332</v>
      </c>
      <c r="G62" s="45" t="s">
        <v>363</v>
      </c>
      <c r="H62" s="45" t="s">
        <v>464</v>
      </c>
      <c r="I62" s="45" t="s">
        <v>503</v>
      </c>
    </row>
    <row r="63" ht="43.5" customHeight="1">
      <c r="A63" s="43">
        <v>3.0</v>
      </c>
      <c r="B63" s="44"/>
      <c r="C63" s="45" t="s">
        <v>336</v>
      </c>
      <c r="D63" s="46" t="s">
        <v>504</v>
      </c>
      <c r="E63" s="45" t="s">
        <v>313</v>
      </c>
      <c r="F63" s="45" t="s">
        <v>313</v>
      </c>
      <c r="G63" s="45" t="s">
        <v>313</v>
      </c>
      <c r="H63" s="45" t="s">
        <v>313</v>
      </c>
      <c r="I63" s="45" t="s">
        <v>505</v>
      </c>
    </row>
    <row r="64" ht="43.5" customHeight="1">
      <c r="A64" s="43">
        <v>3.0</v>
      </c>
      <c r="B64" s="47"/>
      <c r="C64" s="45" t="s">
        <v>336</v>
      </c>
      <c r="D64" s="46" t="s">
        <v>506</v>
      </c>
      <c r="E64" s="45" t="s">
        <v>507</v>
      </c>
      <c r="F64" s="45" t="s">
        <v>508</v>
      </c>
      <c r="G64" s="45" t="s">
        <v>509</v>
      </c>
      <c r="H64" s="45" t="s">
        <v>510</v>
      </c>
      <c r="I64" s="45" t="s">
        <v>511</v>
      </c>
    </row>
    <row r="65" ht="43.5" customHeight="1">
      <c r="A65" s="43">
        <v>3.0</v>
      </c>
      <c r="B65" s="44"/>
      <c r="C65" s="45" t="s">
        <v>327</v>
      </c>
      <c r="D65" s="46" t="s">
        <v>512</v>
      </c>
      <c r="E65" s="45" t="s">
        <v>313</v>
      </c>
      <c r="F65" s="45" t="s">
        <v>313</v>
      </c>
      <c r="G65" s="45" t="s">
        <v>313</v>
      </c>
      <c r="H65" s="45" t="s">
        <v>313</v>
      </c>
      <c r="I65" s="45" t="s">
        <v>513</v>
      </c>
    </row>
    <row r="66" ht="43.5" customHeight="1">
      <c r="A66" s="43">
        <v>3.0</v>
      </c>
      <c r="B66" s="44"/>
      <c r="C66" s="45" t="s">
        <v>307</v>
      </c>
      <c r="D66" s="46" t="s">
        <v>514</v>
      </c>
      <c r="E66" s="45" t="s">
        <v>313</v>
      </c>
      <c r="F66" s="45" t="s">
        <v>313</v>
      </c>
      <c r="G66" s="45" t="s">
        <v>313</v>
      </c>
      <c r="H66" s="45" t="s">
        <v>313</v>
      </c>
      <c r="I66" s="45" t="s">
        <v>515</v>
      </c>
    </row>
    <row r="67" ht="43.5" customHeight="1">
      <c r="A67" s="43">
        <v>3.0</v>
      </c>
      <c r="B67" s="44"/>
      <c r="C67" s="45" t="s">
        <v>301</v>
      </c>
      <c r="D67" s="46" t="s">
        <v>516</v>
      </c>
      <c r="E67" s="45" t="s">
        <v>303</v>
      </c>
      <c r="F67" s="45" t="s">
        <v>303</v>
      </c>
      <c r="G67" s="45" t="s">
        <v>303</v>
      </c>
      <c r="H67" s="45" t="s">
        <v>303</v>
      </c>
      <c r="I67" s="45" t="s">
        <v>517</v>
      </c>
    </row>
    <row r="68" ht="43.5" customHeight="1">
      <c r="A68" s="43">
        <v>3.0</v>
      </c>
      <c r="B68" s="44"/>
      <c r="C68" s="45" t="s">
        <v>336</v>
      </c>
      <c r="D68" s="46" t="s">
        <v>518</v>
      </c>
      <c r="E68" s="45" t="s">
        <v>316</v>
      </c>
      <c r="F68" s="45" t="s">
        <v>378</v>
      </c>
      <c r="G68" s="45" t="s">
        <v>519</v>
      </c>
      <c r="H68" s="45" t="s">
        <v>520</v>
      </c>
      <c r="I68" s="45" t="s">
        <v>521</v>
      </c>
    </row>
    <row r="69" ht="43.5" customHeight="1">
      <c r="A69" s="43">
        <v>3.0</v>
      </c>
      <c r="B69" s="44"/>
      <c r="C69" s="45" t="s">
        <v>307</v>
      </c>
      <c r="D69" s="46" t="s">
        <v>522</v>
      </c>
      <c r="E69" s="45" t="s">
        <v>316</v>
      </c>
      <c r="F69" s="45" t="s">
        <v>371</v>
      </c>
      <c r="G69" s="45" t="s">
        <v>372</v>
      </c>
      <c r="H69" s="45" t="s">
        <v>523</v>
      </c>
      <c r="I69" s="45" t="s">
        <v>524</v>
      </c>
    </row>
    <row r="70" ht="43.5" customHeight="1">
      <c r="A70" s="43">
        <v>3.0</v>
      </c>
      <c r="B70" s="44"/>
      <c r="C70" s="45" t="s">
        <v>307</v>
      </c>
      <c r="D70" s="46" t="s">
        <v>525</v>
      </c>
      <c r="E70" s="45" t="s">
        <v>313</v>
      </c>
      <c r="F70" s="45" t="s">
        <v>313</v>
      </c>
      <c r="G70" s="45" t="s">
        <v>313</v>
      </c>
      <c r="H70" s="45" t="s">
        <v>313</v>
      </c>
      <c r="I70" s="45" t="s">
        <v>526</v>
      </c>
    </row>
    <row r="71" ht="43.5" customHeight="1">
      <c r="A71" s="43">
        <v>3.0</v>
      </c>
      <c r="B71" s="44"/>
      <c r="C71" s="45" t="s">
        <v>336</v>
      </c>
      <c r="D71" s="46" t="s">
        <v>527</v>
      </c>
      <c r="E71" s="45" t="s">
        <v>313</v>
      </c>
      <c r="F71" s="45" t="s">
        <v>313</v>
      </c>
      <c r="G71" s="45" t="s">
        <v>313</v>
      </c>
      <c r="H71" s="45" t="s">
        <v>313</v>
      </c>
      <c r="I71" s="45" t="s">
        <v>528</v>
      </c>
    </row>
    <row r="72" ht="43.5" customHeight="1">
      <c r="A72" s="43">
        <v>3.0</v>
      </c>
      <c r="B72" s="44"/>
      <c r="C72" s="45" t="s">
        <v>301</v>
      </c>
      <c r="D72" s="46" t="s">
        <v>529</v>
      </c>
      <c r="E72" s="45" t="s">
        <v>313</v>
      </c>
      <c r="F72" s="45" t="s">
        <v>313</v>
      </c>
      <c r="G72" s="45" t="s">
        <v>313</v>
      </c>
      <c r="H72" s="45" t="s">
        <v>313</v>
      </c>
      <c r="I72" s="45" t="s">
        <v>530</v>
      </c>
    </row>
    <row r="73" ht="43.5" customHeight="1">
      <c r="A73" s="43">
        <v>4.0</v>
      </c>
      <c r="B73" s="44"/>
      <c r="C73" s="45" t="s">
        <v>307</v>
      </c>
      <c r="D73" s="46" t="s">
        <v>531</v>
      </c>
      <c r="E73" s="45" t="s">
        <v>313</v>
      </c>
      <c r="F73" s="45" t="s">
        <v>313</v>
      </c>
      <c r="G73" s="45" t="s">
        <v>313</v>
      </c>
      <c r="H73" s="45" t="s">
        <v>313</v>
      </c>
      <c r="I73" s="45" t="s">
        <v>532</v>
      </c>
    </row>
    <row r="74" ht="43.5" customHeight="1">
      <c r="A74" s="43">
        <v>4.0</v>
      </c>
      <c r="B74" s="44"/>
      <c r="C74" s="45" t="s">
        <v>336</v>
      </c>
      <c r="D74" s="46" t="s">
        <v>533</v>
      </c>
      <c r="E74" s="45" t="s">
        <v>313</v>
      </c>
      <c r="F74" s="45" t="s">
        <v>313</v>
      </c>
      <c r="G74" s="45" t="s">
        <v>313</v>
      </c>
      <c r="H74" s="45" t="s">
        <v>313</v>
      </c>
      <c r="I74" s="45" t="s">
        <v>534</v>
      </c>
    </row>
    <row r="75" ht="43.5" customHeight="1">
      <c r="A75" s="43">
        <v>4.0</v>
      </c>
      <c r="B75" s="44"/>
      <c r="C75" s="45" t="s">
        <v>327</v>
      </c>
      <c r="D75" s="46" t="s">
        <v>535</v>
      </c>
      <c r="E75" s="45" t="s">
        <v>303</v>
      </c>
      <c r="F75" s="45" t="s">
        <v>303</v>
      </c>
      <c r="G75" s="45" t="s">
        <v>303</v>
      </c>
      <c r="H75" s="45" t="s">
        <v>303</v>
      </c>
      <c r="I75" s="45" t="s">
        <v>536</v>
      </c>
    </row>
    <row r="76" ht="43.5" customHeight="1">
      <c r="A76" s="43">
        <v>4.0</v>
      </c>
      <c r="B76" s="44"/>
      <c r="C76" s="45" t="s">
        <v>311</v>
      </c>
      <c r="D76" s="46" t="s">
        <v>537</v>
      </c>
      <c r="E76" s="45" t="s">
        <v>303</v>
      </c>
      <c r="F76" s="45" t="s">
        <v>303</v>
      </c>
      <c r="G76" s="45" t="s">
        <v>303</v>
      </c>
      <c r="H76" s="45" t="s">
        <v>303</v>
      </c>
      <c r="I76" s="45" t="s">
        <v>538</v>
      </c>
    </row>
    <row r="77" ht="43.5" customHeight="1">
      <c r="A77" s="43">
        <v>4.0</v>
      </c>
      <c r="B77" s="49"/>
      <c r="C77" s="45" t="s">
        <v>307</v>
      </c>
      <c r="D77" s="46" t="s">
        <v>539</v>
      </c>
      <c r="E77" s="45" t="s">
        <v>316</v>
      </c>
      <c r="F77" s="45" t="s">
        <v>371</v>
      </c>
      <c r="G77" s="45" t="s">
        <v>452</v>
      </c>
      <c r="H77" s="45" t="s">
        <v>443</v>
      </c>
      <c r="I77" s="45" t="s">
        <v>540</v>
      </c>
    </row>
    <row r="78" ht="43.5" customHeight="1">
      <c r="A78" s="43">
        <v>4.0</v>
      </c>
      <c r="B78" s="49"/>
      <c r="C78" s="45" t="s">
        <v>307</v>
      </c>
      <c r="D78" s="46" t="s">
        <v>541</v>
      </c>
      <c r="E78" s="45" t="s">
        <v>316</v>
      </c>
      <c r="F78" s="45" t="s">
        <v>317</v>
      </c>
      <c r="G78" s="45" t="s">
        <v>452</v>
      </c>
      <c r="H78" s="45" t="s">
        <v>354</v>
      </c>
      <c r="I78" s="45" t="s">
        <v>542</v>
      </c>
    </row>
    <row r="79" ht="43.5" customHeight="1">
      <c r="A79" s="43">
        <v>4.0</v>
      </c>
      <c r="B79" s="44"/>
      <c r="C79" s="45" t="s">
        <v>336</v>
      </c>
      <c r="D79" s="46" t="s">
        <v>543</v>
      </c>
      <c r="E79" s="45" t="s">
        <v>313</v>
      </c>
      <c r="F79" s="45" t="s">
        <v>313</v>
      </c>
      <c r="G79" s="45" t="s">
        <v>313</v>
      </c>
      <c r="H79" s="45" t="s">
        <v>313</v>
      </c>
      <c r="I79" s="45" t="s">
        <v>544</v>
      </c>
    </row>
    <row r="80" ht="43.5" customHeight="1">
      <c r="A80" s="43">
        <v>4.0</v>
      </c>
      <c r="B80" s="44"/>
      <c r="C80" s="45" t="s">
        <v>336</v>
      </c>
      <c r="D80" s="46" t="s">
        <v>545</v>
      </c>
      <c r="E80" s="45" t="s">
        <v>338</v>
      </c>
      <c r="F80" s="45" t="s">
        <v>478</v>
      </c>
      <c r="G80" s="45" t="s">
        <v>373</v>
      </c>
      <c r="H80" s="45" t="s">
        <v>546</v>
      </c>
      <c r="I80" s="45" t="s">
        <v>547</v>
      </c>
    </row>
    <row r="81" ht="43.5" customHeight="1">
      <c r="A81" s="43">
        <v>4.0</v>
      </c>
      <c r="B81" s="44"/>
      <c r="C81" s="45" t="s">
        <v>307</v>
      </c>
      <c r="D81" s="46" t="s">
        <v>548</v>
      </c>
      <c r="E81" s="45" t="s">
        <v>316</v>
      </c>
      <c r="F81" s="45" t="s">
        <v>317</v>
      </c>
      <c r="G81" s="45" t="s">
        <v>549</v>
      </c>
      <c r="H81" s="45" t="s">
        <v>550</v>
      </c>
      <c r="I81" s="45" t="s">
        <v>551</v>
      </c>
    </row>
    <row r="82" ht="43.5" customHeight="1">
      <c r="A82" s="43">
        <v>4.0</v>
      </c>
      <c r="B82" s="48"/>
      <c r="C82" s="45" t="s">
        <v>336</v>
      </c>
      <c r="D82" s="46" t="s">
        <v>552</v>
      </c>
      <c r="E82" s="45" t="s">
        <v>357</v>
      </c>
      <c r="F82" s="45" t="s">
        <v>358</v>
      </c>
      <c r="G82" s="45" t="s">
        <v>553</v>
      </c>
      <c r="H82" s="45" t="s">
        <v>554</v>
      </c>
      <c r="I82" s="45" t="s">
        <v>555</v>
      </c>
    </row>
    <row r="83" ht="43.5" customHeight="1">
      <c r="A83" s="43">
        <v>4.0</v>
      </c>
      <c r="B83" s="44"/>
      <c r="C83" s="45" t="s">
        <v>336</v>
      </c>
      <c r="D83" s="46" t="s">
        <v>556</v>
      </c>
      <c r="E83" s="45" t="s">
        <v>331</v>
      </c>
      <c r="F83" s="45" t="s">
        <v>332</v>
      </c>
      <c r="G83" s="45" t="s">
        <v>557</v>
      </c>
      <c r="H83" s="45" t="s">
        <v>364</v>
      </c>
      <c r="I83" s="45" t="s">
        <v>558</v>
      </c>
    </row>
    <row r="84" ht="43.5" customHeight="1">
      <c r="A84" s="43">
        <v>4.0</v>
      </c>
      <c r="B84" s="44"/>
      <c r="C84" s="45" t="s">
        <v>336</v>
      </c>
      <c r="D84" s="46" t="s">
        <v>559</v>
      </c>
      <c r="E84" s="45" t="s">
        <v>313</v>
      </c>
      <c r="F84" s="45" t="s">
        <v>313</v>
      </c>
      <c r="G84" s="45" t="s">
        <v>313</v>
      </c>
      <c r="H84" s="45" t="s">
        <v>313</v>
      </c>
      <c r="I84" s="45" t="s">
        <v>560</v>
      </c>
    </row>
    <row r="85" ht="43.5" customHeight="1">
      <c r="A85" s="43">
        <v>4.0</v>
      </c>
      <c r="B85" s="44"/>
      <c r="C85" s="45" t="s">
        <v>311</v>
      </c>
      <c r="D85" s="46" t="s">
        <v>561</v>
      </c>
      <c r="E85" s="45" t="s">
        <v>303</v>
      </c>
      <c r="F85" s="45" t="s">
        <v>303</v>
      </c>
      <c r="G85" s="45" t="s">
        <v>303</v>
      </c>
      <c r="H85" s="45" t="s">
        <v>303</v>
      </c>
      <c r="I85" s="45" t="s">
        <v>562</v>
      </c>
    </row>
    <row r="86" ht="43.5" customHeight="1">
      <c r="A86" s="43">
        <v>4.0</v>
      </c>
      <c r="B86" s="44"/>
      <c r="C86" s="45" t="s">
        <v>307</v>
      </c>
      <c r="D86" s="46" t="s">
        <v>563</v>
      </c>
      <c r="E86" s="45" t="s">
        <v>313</v>
      </c>
      <c r="F86" s="45" t="s">
        <v>313</v>
      </c>
      <c r="G86" s="45" t="s">
        <v>313</v>
      </c>
      <c r="H86" s="45" t="s">
        <v>313</v>
      </c>
      <c r="I86" s="45" t="s">
        <v>564</v>
      </c>
    </row>
    <row r="87" ht="43.5" customHeight="1">
      <c r="A87" s="43">
        <v>4.0</v>
      </c>
      <c r="B87" s="44"/>
      <c r="C87" s="45" t="s">
        <v>307</v>
      </c>
      <c r="D87" s="46" t="s">
        <v>565</v>
      </c>
      <c r="E87" s="45" t="s">
        <v>316</v>
      </c>
      <c r="F87" s="45" t="s">
        <v>371</v>
      </c>
      <c r="G87" s="45" t="s">
        <v>452</v>
      </c>
      <c r="H87" s="45" t="s">
        <v>334</v>
      </c>
      <c r="I87" s="45" t="s">
        <v>566</v>
      </c>
    </row>
    <row r="88" ht="43.5" customHeight="1">
      <c r="A88" s="43">
        <v>4.0</v>
      </c>
      <c r="B88" s="44"/>
      <c r="C88" s="45" t="s">
        <v>311</v>
      </c>
      <c r="D88" s="46" t="s">
        <v>567</v>
      </c>
      <c r="E88" s="45" t="s">
        <v>303</v>
      </c>
      <c r="F88" s="45" t="s">
        <v>303</v>
      </c>
      <c r="G88" s="45" t="s">
        <v>303</v>
      </c>
      <c r="H88" s="45" t="s">
        <v>303</v>
      </c>
      <c r="I88" s="45" t="s">
        <v>568</v>
      </c>
    </row>
    <row r="89" ht="43.5" customHeight="1">
      <c r="A89" s="43">
        <v>4.0</v>
      </c>
      <c r="B89" s="44"/>
      <c r="C89" s="45" t="s">
        <v>336</v>
      </c>
      <c r="D89" s="46" t="s">
        <v>569</v>
      </c>
      <c r="E89" s="45" t="s">
        <v>313</v>
      </c>
      <c r="F89" s="45" t="s">
        <v>313</v>
      </c>
      <c r="G89" s="45" t="s">
        <v>313</v>
      </c>
      <c r="H89" s="45" t="s">
        <v>313</v>
      </c>
      <c r="I89" s="45" t="s">
        <v>570</v>
      </c>
    </row>
    <row r="90" ht="43.5" customHeight="1">
      <c r="A90" s="43">
        <v>4.0</v>
      </c>
      <c r="B90" s="44"/>
      <c r="C90" s="45" t="s">
        <v>311</v>
      </c>
      <c r="D90" s="46" t="s">
        <v>571</v>
      </c>
      <c r="E90" s="45" t="s">
        <v>303</v>
      </c>
      <c r="F90" s="45" t="s">
        <v>303</v>
      </c>
      <c r="G90" s="45" t="s">
        <v>303</v>
      </c>
      <c r="H90" s="45" t="s">
        <v>303</v>
      </c>
      <c r="I90" s="45" t="s">
        <v>572</v>
      </c>
    </row>
    <row r="91" ht="43.5" customHeight="1">
      <c r="A91" s="43">
        <v>4.0</v>
      </c>
      <c r="B91" s="44"/>
      <c r="C91" s="45" t="s">
        <v>307</v>
      </c>
      <c r="D91" s="46" t="s">
        <v>573</v>
      </c>
      <c r="E91" s="45" t="s">
        <v>313</v>
      </c>
      <c r="F91" s="45" t="s">
        <v>313</v>
      </c>
      <c r="G91" s="45" t="s">
        <v>313</v>
      </c>
      <c r="H91" s="45" t="s">
        <v>313</v>
      </c>
      <c r="I91" s="45" t="s">
        <v>574</v>
      </c>
    </row>
    <row r="92" ht="43.5" customHeight="1">
      <c r="A92" s="43">
        <v>4.0</v>
      </c>
      <c r="B92" s="44"/>
      <c r="C92" s="45" t="s">
        <v>336</v>
      </c>
      <c r="D92" s="46" t="s">
        <v>575</v>
      </c>
      <c r="E92" s="45" t="s">
        <v>338</v>
      </c>
      <c r="F92" s="45" t="s">
        <v>416</v>
      </c>
      <c r="G92" s="45" t="s">
        <v>576</v>
      </c>
      <c r="H92" s="45" t="s">
        <v>577</v>
      </c>
      <c r="I92" s="45" t="s">
        <v>578</v>
      </c>
    </row>
    <row r="93" ht="43.5" customHeight="1">
      <c r="A93" s="43">
        <v>4.0</v>
      </c>
      <c r="B93" s="44"/>
      <c r="C93" s="45" t="s">
        <v>307</v>
      </c>
      <c r="D93" s="46" t="s">
        <v>579</v>
      </c>
      <c r="E93" s="45" t="s">
        <v>313</v>
      </c>
      <c r="F93" s="45" t="s">
        <v>313</v>
      </c>
      <c r="G93" s="45" t="s">
        <v>313</v>
      </c>
      <c r="H93" s="45" t="s">
        <v>313</v>
      </c>
      <c r="I93" s="45" t="s">
        <v>580</v>
      </c>
    </row>
    <row r="94" ht="43.5" customHeight="1">
      <c r="A94" s="43">
        <v>4.0</v>
      </c>
      <c r="B94" s="44"/>
      <c r="C94" s="45" t="s">
        <v>307</v>
      </c>
      <c r="D94" s="46" t="s">
        <v>581</v>
      </c>
      <c r="E94" s="45" t="s">
        <v>348</v>
      </c>
      <c r="F94" s="45" t="s">
        <v>349</v>
      </c>
      <c r="G94" s="45" t="s">
        <v>582</v>
      </c>
      <c r="H94" s="45" t="s">
        <v>583</v>
      </c>
      <c r="I94" s="45" t="s">
        <v>584</v>
      </c>
    </row>
    <row r="95" ht="43.5" customHeight="1">
      <c r="A95" s="43">
        <v>4.0</v>
      </c>
      <c r="B95" s="44"/>
      <c r="C95" s="45" t="s">
        <v>307</v>
      </c>
      <c r="D95" s="46" t="s">
        <v>585</v>
      </c>
      <c r="E95" s="45" t="s">
        <v>316</v>
      </c>
      <c r="F95" s="45" t="s">
        <v>586</v>
      </c>
      <c r="G95" s="45" t="s">
        <v>587</v>
      </c>
      <c r="H95" s="45" t="s">
        <v>588</v>
      </c>
      <c r="I95" s="45" t="s">
        <v>589</v>
      </c>
    </row>
    <row r="96" ht="43.5" customHeight="1">
      <c r="A96" s="43">
        <v>4.0</v>
      </c>
      <c r="B96" s="44"/>
      <c r="C96" s="45" t="s">
        <v>301</v>
      </c>
      <c r="D96" s="46" t="s">
        <v>590</v>
      </c>
      <c r="E96" s="45" t="s">
        <v>303</v>
      </c>
      <c r="F96" s="45" t="s">
        <v>303</v>
      </c>
      <c r="G96" s="45" t="s">
        <v>591</v>
      </c>
      <c r="H96" s="45" t="s">
        <v>407</v>
      </c>
      <c r="I96" s="45" t="s">
        <v>592</v>
      </c>
    </row>
    <row r="97" ht="43.5" customHeight="1">
      <c r="A97" s="43">
        <v>4.0</v>
      </c>
      <c r="B97" s="44"/>
      <c r="C97" s="45" t="s">
        <v>336</v>
      </c>
      <c r="D97" s="46" t="s">
        <v>593</v>
      </c>
      <c r="E97" s="45" t="s">
        <v>357</v>
      </c>
      <c r="F97" s="45" t="s">
        <v>416</v>
      </c>
      <c r="G97" s="45" t="s">
        <v>594</v>
      </c>
      <c r="H97" s="45" t="s">
        <v>577</v>
      </c>
      <c r="I97" s="45" t="s">
        <v>595</v>
      </c>
    </row>
    <row r="98" ht="43.5" customHeight="1">
      <c r="A98" s="43">
        <v>4.0</v>
      </c>
      <c r="B98" s="44"/>
      <c r="C98" s="45" t="s">
        <v>336</v>
      </c>
      <c r="D98" s="46" t="s">
        <v>596</v>
      </c>
      <c r="E98" s="45" t="s">
        <v>357</v>
      </c>
      <c r="F98" s="45" t="s">
        <v>416</v>
      </c>
      <c r="G98" s="45" t="s">
        <v>379</v>
      </c>
      <c r="H98" s="45" t="s">
        <v>577</v>
      </c>
      <c r="I98" s="45" t="s">
        <v>595</v>
      </c>
    </row>
    <row r="99" ht="43.5" customHeight="1">
      <c r="A99" s="43">
        <v>4.0</v>
      </c>
      <c r="B99" s="44"/>
      <c r="C99" s="45" t="s">
        <v>301</v>
      </c>
      <c r="D99" s="46" t="s">
        <v>597</v>
      </c>
      <c r="E99" s="45" t="s">
        <v>303</v>
      </c>
      <c r="F99" s="45" t="s">
        <v>303</v>
      </c>
      <c r="G99" s="45" t="s">
        <v>303</v>
      </c>
      <c r="H99" s="45" t="s">
        <v>303</v>
      </c>
      <c r="I99" s="45" t="s">
        <v>598</v>
      </c>
    </row>
    <row r="100" ht="43.5" customHeight="1">
      <c r="A100" s="43">
        <v>4.0</v>
      </c>
      <c r="B100" s="50"/>
      <c r="C100" s="45" t="s">
        <v>336</v>
      </c>
      <c r="D100" s="46" t="s">
        <v>599</v>
      </c>
      <c r="E100" s="45" t="s">
        <v>338</v>
      </c>
      <c r="F100" s="45" t="s">
        <v>416</v>
      </c>
      <c r="G100" s="45" t="s">
        <v>600</v>
      </c>
      <c r="H100" s="45" t="s">
        <v>601</v>
      </c>
      <c r="I100" s="45" t="s">
        <v>602</v>
      </c>
    </row>
    <row r="101" ht="43.5" customHeight="1">
      <c r="A101" s="43">
        <v>4.0</v>
      </c>
      <c r="B101" s="44"/>
      <c r="C101" s="45" t="s">
        <v>384</v>
      </c>
      <c r="D101" s="46" t="s">
        <v>603</v>
      </c>
      <c r="E101" s="45" t="s">
        <v>303</v>
      </c>
      <c r="F101" s="45" t="s">
        <v>303</v>
      </c>
      <c r="G101" s="45" t="s">
        <v>303</v>
      </c>
      <c r="H101" s="45" t="s">
        <v>303</v>
      </c>
      <c r="I101" s="45" t="s">
        <v>604</v>
      </c>
    </row>
    <row r="102" ht="43.5" customHeight="1">
      <c r="A102" s="43">
        <v>4.0</v>
      </c>
      <c r="B102" s="49"/>
      <c r="C102" s="45" t="s">
        <v>336</v>
      </c>
      <c r="D102" s="46" t="s">
        <v>605</v>
      </c>
      <c r="E102" s="45" t="s">
        <v>338</v>
      </c>
      <c r="F102" s="45" t="s">
        <v>485</v>
      </c>
      <c r="G102" s="45" t="s">
        <v>486</v>
      </c>
      <c r="H102" s="45" t="s">
        <v>606</v>
      </c>
      <c r="I102" s="45" t="s">
        <v>607</v>
      </c>
    </row>
    <row r="103" ht="43.5" customHeight="1">
      <c r="A103" s="43">
        <v>4.0</v>
      </c>
      <c r="B103" s="44"/>
      <c r="C103" s="45" t="s">
        <v>307</v>
      </c>
      <c r="D103" s="46" t="s">
        <v>608</v>
      </c>
      <c r="E103" s="45" t="s">
        <v>316</v>
      </c>
      <c r="F103" s="45" t="s">
        <v>317</v>
      </c>
      <c r="G103" s="45" t="s">
        <v>372</v>
      </c>
      <c r="H103" s="45" t="s">
        <v>609</v>
      </c>
      <c r="I103" s="45" t="s">
        <v>610</v>
      </c>
    </row>
    <row r="104" ht="43.5" customHeight="1">
      <c r="A104" s="43">
        <v>4.0</v>
      </c>
      <c r="B104" s="44"/>
      <c r="C104" s="45" t="s">
        <v>301</v>
      </c>
      <c r="D104" s="46" t="s">
        <v>611</v>
      </c>
      <c r="E104" s="45" t="s">
        <v>303</v>
      </c>
      <c r="F104" s="45" t="s">
        <v>303</v>
      </c>
      <c r="G104" s="45" t="s">
        <v>303</v>
      </c>
      <c r="H104" s="45" t="s">
        <v>303</v>
      </c>
      <c r="I104" s="45" t="s">
        <v>612</v>
      </c>
    </row>
    <row r="105" ht="43.5" customHeight="1">
      <c r="A105" s="43">
        <v>4.0</v>
      </c>
      <c r="B105" s="44"/>
      <c r="C105" s="45" t="s">
        <v>336</v>
      </c>
      <c r="D105" s="46" t="s">
        <v>613</v>
      </c>
      <c r="E105" s="45" t="s">
        <v>338</v>
      </c>
      <c r="F105" s="45" t="s">
        <v>485</v>
      </c>
      <c r="G105" s="45" t="s">
        <v>614</v>
      </c>
      <c r="H105" s="45" t="s">
        <v>615</v>
      </c>
      <c r="I105" s="45" t="s">
        <v>616</v>
      </c>
    </row>
    <row r="106" ht="43.5" customHeight="1">
      <c r="A106" s="43">
        <v>4.0</v>
      </c>
      <c r="B106" s="44"/>
      <c r="C106" s="45" t="s">
        <v>336</v>
      </c>
      <c r="D106" s="46" t="s">
        <v>617</v>
      </c>
      <c r="E106" s="45" t="s">
        <v>357</v>
      </c>
      <c r="F106" s="45" t="s">
        <v>358</v>
      </c>
      <c r="G106" s="45" t="s">
        <v>379</v>
      </c>
      <c r="H106" s="45" t="s">
        <v>618</v>
      </c>
      <c r="I106" s="45" t="s">
        <v>619</v>
      </c>
    </row>
    <row r="107" ht="43.5" customHeight="1">
      <c r="A107" s="43">
        <v>4.0</v>
      </c>
      <c r="B107" s="44"/>
      <c r="C107" s="45" t="s">
        <v>307</v>
      </c>
      <c r="D107" s="46" t="s">
        <v>620</v>
      </c>
      <c r="E107" s="45" t="s">
        <v>338</v>
      </c>
      <c r="F107" s="45" t="s">
        <v>621</v>
      </c>
      <c r="G107" s="45" t="s">
        <v>622</v>
      </c>
      <c r="H107" s="45" t="s">
        <v>340</v>
      </c>
      <c r="I107" s="45" t="s">
        <v>623</v>
      </c>
    </row>
    <row r="108" ht="43.5" customHeight="1">
      <c r="A108" s="43">
        <v>4.0</v>
      </c>
      <c r="B108" s="44"/>
      <c r="C108" s="45" t="s">
        <v>301</v>
      </c>
      <c r="D108" s="46" t="s">
        <v>624</v>
      </c>
      <c r="E108" s="45" t="s">
        <v>303</v>
      </c>
      <c r="F108" s="45" t="s">
        <v>303</v>
      </c>
      <c r="G108" s="45" t="s">
        <v>303</v>
      </c>
      <c r="H108" s="45" t="s">
        <v>303</v>
      </c>
      <c r="I108" s="45" t="s">
        <v>625</v>
      </c>
    </row>
    <row r="109" ht="43.5" customHeight="1">
      <c r="A109" s="43">
        <v>4.0</v>
      </c>
      <c r="B109" s="44"/>
      <c r="C109" s="45" t="s">
        <v>336</v>
      </c>
      <c r="D109" s="46" t="s">
        <v>626</v>
      </c>
      <c r="E109" s="45" t="s">
        <v>357</v>
      </c>
      <c r="F109" s="45" t="s">
        <v>416</v>
      </c>
      <c r="G109" s="45" t="s">
        <v>627</v>
      </c>
      <c r="H109" s="45" t="s">
        <v>628</v>
      </c>
      <c r="I109" s="45" t="s">
        <v>595</v>
      </c>
    </row>
    <row r="110" ht="43.5" customHeight="1">
      <c r="A110" s="43">
        <v>4.0</v>
      </c>
      <c r="B110" s="44"/>
      <c r="C110" s="45" t="s">
        <v>336</v>
      </c>
      <c r="D110" s="46" t="s">
        <v>629</v>
      </c>
      <c r="E110" s="45" t="s">
        <v>338</v>
      </c>
      <c r="F110" s="45" t="s">
        <v>485</v>
      </c>
      <c r="G110" s="45" t="s">
        <v>614</v>
      </c>
      <c r="H110" s="45" t="s">
        <v>577</v>
      </c>
      <c r="I110" s="45" t="s">
        <v>630</v>
      </c>
    </row>
  </sheetData>
  <autoFilter ref="$A$1:$I$110">
    <sortState ref="A1:I110">
      <sortCondition ref="A1:A110"/>
      <sortCondition ref="D1:D110"/>
      <sortCondition ref="C1:C110"/>
    </sortState>
  </autoFilter>
  <customSheetViews>
    <customSheetView guid="{B3061EE6-0C62-4F49-94DC-19CFA14AB2B1}" filter="1" showAutoFilter="1">
      <autoFilter ref="$A$1:$I$110">
        <filterColumn colId="3">
          <filters>
            <filter val="Anarchy"/>
            <filter val="Conditional Finality"/>
            <filter val="Imperial Decree"/>
            <filter val="Divinity"/>
            <filter val="Seventh Seraph CQC-12"/>
            <filter val="Thunderlord"/>
            <filter val="Tomorrow's Answer"/>
            <filter val="The Fourth Horseman"/>
            <filter val="Until Its Return"/>
            <filter val="Dimensional Hypotrochoid"/>
            <filter val="Ergo Sum"/>
            <filter val="Witherhoard"/>
            <filter val="Bitter/Sweet"/>
            <filter val="Apex Predator"/>
            <filter val="Malfeasance"/>
            <filter val="VS Chill Inhibitor"/>
            <filter val="Lumina"/>
            <filter val="Dead Weight"/>
            <filter val="Unvoiced"/>
            <filter val="Briarbinds"/>
            <filter val="Still Hunt"/>
            <filter val="Without Remorse"/>
            <filter val="Cloudstrike"/>
            <filter val="Keen Thistle"/>
            <filter val="Grand Overture"/>
            <filter val="Winter's Guile"/>
            <filter val="Hezen Vengeance"/>
            <filter val="The Mountaintop"/>
            <filter val="Adamantite"/>
            <filter val="Abyssal Edge"/>
            <filter val="Unloved"/>
            <filter val="Falling Guillotine"/>
            <filter val="Eriana's Vow"/>
            <filter val="Liturgy"/>
            <filter val="Critical Anomaly"/>
            <filter val="Bastion"/>
            <filter val="Wormgod Caress"/>
            <filter val="Stoicism"/>
            <filter val="Ice Breaker"/>
            <filter val="Finality's Auger"/>
            <filter val="One Thousand Voices"/>
            <filter val="Rake Angle"/>
            <filter val="Bequest"/>
            <filter val="Choir of One"/>
            <filter val="Ager's Scepter"/>
            <filter val="Nessa's Oblation"/>
            <filter val="D.A.R.C.I."/>
            <filter val="Gjallarhorn"/>
            <filter val="Geodetic HSm"/>
            <filter val="Barrow-Dyad"/>
            <filter val="VS Velocity Baton"/>
            <filter val="Euphony"/>
            <filter val="Cynosure"/>
            <filter val="The Wardcliff Coil"/>
            <filter val="Microcosm"/>
            <filter val="Outbreak Perfected"/>
            <filter val="Edge of Action"/>
            <filter val="The Queenbreaker"/>
            <filter val="Wicked Sister"/>
            <filter val="Winterbite"/>
            <filter val="Alethonym"/>
            <filter val="Hullabaloo"/>
            <filter val="Supercluster"/>
            <filter val="Lost Signal"/>
            <filter val="Praedyth's Revenge"/>
            <filter val="Solipsism"/>
            <filter val="Synthoceps"/>
            <filter val="Knucklehead Radar"/>
            <filter val="The Navigator"/>
            <filter val="Riiswalker"/>
            <filter val="Izanagi's Burden"/>
            <filter val="Cold Comfort"/>
            <filter val="Crux Termination IV"/>
            <filter val="Ill Omen"/>
            <filter val="No Hesitation"/>
            <filter val="Whisper of the Worm"/>
            <filter val="Regnant"/>
            <filter val="Hazardous Propulsion"/>
            <filter val="Triton Vice"/>
            <filter val="Merciless"/>
            <filter val="Yesterday's Question"/>
            <filter val="Psychopomp"/>
            <filter val="Parasite"/>
            <filter val="Apotheosis Veil"/>
            <filter val="Koraxis's Distress"/>
            <filter val="The Supremacy"/>
            <filter val="Temptation's Hook"/>
            <filter val="Perfect Paradox"/>
            <filter val="Edge Transit"/>
            <filter val="Relativism"/>
            <filter val="Tractor Cannon"/>
            <filter val="IKELOS_SG_V1.0.3"/>
            <filter val="Lord of Wolves"/>
            <filter val="Scatter Signal"/>
            <filter val="Summum Bonum"/>
            <filter val="Cataphract GL3"/>
          </filters>
        </filterColumn>
        <sortState ref="A1:I110">
          <sortCondition ref="A1:A110"/>
          <sortCondition ref="D1:D110"/>
        </sortState>
      </autoFilter>
    </customSheetView>
    <customSheetView guid="{764FDE29-FA82-488B-8FF5-DF166BF729B0}" filter="1" showAutoFilter="1">
      <autoFilter ref="$A$1:$I$110">
        <filterColumn colId="3">
          <filters>
            <filter val="Anarchy"/>
            <filter val="Imperial Decree"/>
            <filter val="Divinity"/>
            <filter val="Seventh Seraph CQC-12"/>
            <filter val="Thunderlord"/>
            <filter val="Tomorrow's Answer"/>
            <filter val="Celestial Nighthawk"/>
            <filter val="Boots of the Assembler"/>
            <filter val="Dimensional Hypotrochoid"/>
            <filter val="Ergo Sum"/>
            <filter val="The Dragon's Shadow"/>
            <filter val="Bitter/Sweet"/>
            <filter val="VS Chill Inhibitor"/>
            <filter val="Lumina"/>
            <filter val="Unvoiced"/>
            <filter val="Briarbinds"/>
            <filter val="Still Hunt"/>
            <filter val="Cloudstrike"/>
            <filter val="Keen Thistle"/>
            <filter val="Grand Overture"/>
            <filter val="Winter's Guile"/>
            <filter val="Hezen Vengeance"/>
            <filter val="The Mountaintop"/>
            <filter val="Mask of Bakris"/>
            <filter val="Adamantite"/>
            <filter val="Abyssal Edge"/>
            <filter val="Unloved"/>
            <filter val="Falling Guillotine"/>
            <filter val="Eriana's Vow"/>
            <filter val="Liturgy"/>
            <filter val="Critical Anomaly"/>
            <filter val="Bastion"/>
            <filter val="Lucky Pants"/>
            <filter val="Wormgod Caress"/>
            <filter val="Stoicism"/>
            <filter val="Ice Breaker"/>
            <filter val="Cuirass of the Falling Star"/>
            <filter val="Finality's Auger"/>
            <filter val="One Thousand Voices"/>
            <filter val="Rake Angle"/>
            <filter val="Bequest"/>
            <filter val="Choir of One"/>
            <filter val="Ager's Scepter"/>
            <filter val="D.A.R.C.I."/>
            <filter val="Rain of Fire"/>
            <filter val="Geodetic HSm"/>
            <filter val="Verity's Brow"/>
            <filter val="Barrow-Dyad"/>
            <filter val="VS Velocity Baton"/>
            <filter val="Euphony"/>
            <filter val="Cynosure"/>
            <filter val="The Wardcliff Coil"/>
            <filter val="Star-Eater Scales"/>
            <filter val="Microcosm"/>
            <filter val="Outbreak Perfected"/>
            <filter val="Edge of Action"/>
            <filter val="The Queenbreaker"/>
            <filter val="Wicked Sister"/>
            <filter val="Winterbite"/>
            <filter val="Alethonym"/>
            <filter val="Lunafaction Boots"/>
            <filter val="Sanguine Alchemy"/>
            <filter val="Hullabaloo"/>
            <filter val="Supercluster"/>
            <filter val="Lost Signal"/>
            <filter val="Praedyth's Revenge"/>
            <filter val="Solipsism"/>
            <filter val="Synthoceps"/>
            <filter val="Knucklehead Radar"/>
            <filter val="The Navigator"/>
            <filter val="Crux Termination IV"/>
            <filter val="Ill Omen"/>
            <filter val="No Hesitation"/>
            <filter val="Whisper of the Worm"/>
            <filter val="Regnant"/>
            <filter val="Hazardous Propulsion"/>
            <filter val="Triton Vice"/>
            <filter val="Yesterday's Question"/>
            <filter val="Psychopomp"/>
            <filter val="Apotheosis Veil"/>
            <filter val="Koraxis's Distress"/>
            <filter val="Temptation's Hook"/>
            <filter val="Felwinter's Helm"/>
            <filter val="Perfect Paradox"/>
            <filter val="Edge Transit"/>
            <filter val="Relativism"/>
            <filter val="Lord of Wolves"/>
            <filter val="Scatter Signal"/>
            <filter val="Summum Bonum"/>
            <filter val="Cataphract GL3"/>
            <filter val="Foetracer"/>
          </filters>
        </filterColumn>
        <sortState ref="A1:I110">
          <sortCondition ref="A1:A110"/>
          <sortCondition ref="D1:D110"/>
        </sortState>
      </autoFilter>
    </customSheetView>
  </customSheetViews>
  <conditionalFormatting sqref="A1 B2:B20 B22:B69 B71:B97 B103:B110">
    <cfRule type="containsText" dxfId="4" priority="1" operator="containsText" text="!">
      <formula>NOT(ISERROR(SEARCH(("!"),(A1))))</formula>
    </cfRule>
  </conditionalFormatting>
  <conditionalFormatting sqref="A2:A110">
    <cfRule type="cellIs" dxfId="5" priority="2" operator="equal">
      <formula>1</formula>
    </cfRule>
  </conditionalFormatting>
  <conditionalFormatting sqref="A2:A110">
    <cfRule type="cellIs" dxfId="6" priority="3" operator="equal">
      <formula>2</formula>
    </cfRule>
  </conditionalFormatting>
  <conditionalFormatting sqref="A2:A110">
    <cfRule type="cellIs" dxfId="7" priority="4" operator="equal">
      <formula>3</formula>
    </cfRule>
  </conditionalFormatting>
  <conditionalFormatting sqref="E2:I110">
    <cfRule type="cellIs" dxfId="8" priority="5" operator="equal">
      <formula>"Fixed"</formula>
    </cfRule>
  </conditionalFormatting>
  <conditionalFormatting sqref="E2:I110">
    <cfRule type="cellIs" dxfId="9" priority="6" operator="equal">
      <formula>"/"</formula>
    </cfRule>
  </conditionalFormatting>
  <conditionalFormatting sqref="A2:A110">
    <cfRule type="cellIs" dxfId="4" priority="7" operator="equal">
      <formula>4</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4.5"/>
    <col customWidth="1" min="2" max="2" width="18.25"/>
    <col customWidth="1" min="3" max="3" width="19.25"/>
    <col customWidth="1" min="4" max="4" width="6.63"/>
    <col customWidth="1" min="5" max="5" width="22.88"/>
    <col customWidth="1" min="6" max="6" width="46.38"/>
    <col customWidth="1" min="7" max="7" width="4.0"/>
    <col customWidth="1" min="8" max="8" width="5.13"/>
    <col customWidth="1" min="9" max="9" width="3.5"/>
    <col customWidth="1" min="10" max="10" width="4.0"/>
    <col customWidth="1" min="11" max="11" width="9.25"/>
    <col customWidth="1" min="12" max="14" width="3.5"/>
    <col customWidth="1" min="15" max="15" width="8.88"/>
    <col customWidth="1" min="16" max="17" width="8.0"/>
    <col customWidth="1" min="18" max="18" width="4.0"/>
    <col customWidth="1" min="19" max="19" width="9.25"/>
    <col customWidth="1" min="20" max="20" width="5.75"/>
    <col customWidth="1" min="21" max="21" width="3.88"/>
    <col customWidth="1" min="22" max="22" width="4.0"/>
    <col customWidth="1" min="23" max="23" width="5.38"/>
    <col customWidth="1" min="24" max="24" width="5.88"/>
    <col customWidth="1" min="25" max="25" width="7.25"/>
  </cols>
  <sheetData>
    <row r="1" ht="13.5" customHeight="1">
      <c r="A1" s="51" t="s">
        <v>631</v>
      </c>
      <c r="G1" s="52" t="s">
        <v>632</v>
      </c>
      <c r="L1" s="53" t="s">
        <v>633</v>
      </c>
      <c r="T1" s="54" t="s">
        <v>634</v>
      </c>
    </row>
    <row r="2" ht="21.0" customHeight="1">
      <c r="A2" s="55" t="s">
        <v>635</v>
      </c>
      <c r="B2" s="56" t="s">
        <v>636</v>
      </c>
      <c r="C2" s="57" t="s">
        <v>637</v>
      </c>
      <c r="D2" s="58" t="s">
        <v>638</v>
      </c>
      <c r="E2" s="58" t="s">
        <v>639</v>
      </c>
      <c r="F2" s="56" t="s">
        <v>640</v>
      </c>
      <c r="G2" s="59" t="s">
        <v>641</v>
      </c>
      <c r="H2" s="59" t="s">
        <v>642</v>
      </c>
      <c r="I2" s="59" t="s">
        <v>292</v>
      </c>
      <c r="J2" s="60" t="s">
        <v>643</v>
      </c>
      <c r="K2" s="61" t="s">
        <v>644</v>
      </c>
      <c r="L2" s="62" t="s">
        <v>641</v>
      </c>
      <c r="M2" s="63" t="s">
        <v>292</v>
      </c>
      <c r="N2" s="64" t="s">
        <v>636</v>
      </c>
      <c r="O2" s="65" t="s">
        <v>645</v>
      </c>
      <c r="P2" s="65" t="s">
        <v>646</v>
      </c>
      <c r="Q2" s="65" t="s">
        <v>647</v>
      </c>
      <c r="R2" s="66" t="s">
        <v>643</v>
      </c>
      <c r="S2" s="67" t="s">
        <v>648</v>
      </c>
      <c r="T2" s="68" t="s">
        <v>649</v>
      </c>
      <c r="U2" s="69" t="s">
        <v>650</v>
      </c>
      <c r="V2" s="70" t="s">
        <v>651</v>
      </c>
      <c r="W2" s="70" t="s">
        <v>652</v>
      </c>
      <c r="X2" s="70" t="s">
        <v>653</v>
      </c>
      <c r="Y2" s="71" t="s">
        <v>654</v>
      </c>
    </row>
    <row r="3" ht="26.25" customHeight="1">
      <c r="A3" s="72"/>
      <c r="B3" s="73" t="s">
        <v>655</v>
      </c>
      <c r="C3" s="74" t="s">
        <v>656</v>
      </c>
      <c r="D3" s="75">
        <v>383.0</v>
      </c>
      <c r="E3" s="75" t="s">
        <v>657</v>
      </c>
      <c r="F3" s="76"/>
      <c r="G3" s="77" t="s">
        <v>658</v>
      </c>
      <c r="H3" s="77">
        <v>383.0</v>
      </c>
      <c r="I3" s="77">
        <v>1.0</v>
      </c>
      <c r="J3" s="78">
        <f t="shared" ref="J3:J23" si="1">IFS(G3="S",21494/2048*1.25,G3="C",1.25*2*1.22,OR(G3="R",G3="T"),1.25*1.22)</f>
        <v>13.11889648</v>
      </c>
      <c r="K3" s="79">
        <f t="shared" ref="K3:K253" si="2">H3/I3/J3/V3/U3</f>
        <v>25.3865467</v>
      </c>
      <c r="L3" s="80" t="s">
        <v>658</v>
      </c>
      <c r="M3" s="81">
        <v>49.0</v>
      </c>
      <c r="N3" s="81" t="s">
        <v>659</v>
      </c>
      <c r="O3" s="82">
        <v>90.023753</v>
      </c>
      <c r="P3" s="82">
        <v>85.748219</v>
      </c>
      <c r="Q3" s="82">
        <f t="shared" ref="Q3:Q8" si="3">O3-P3</f>
        <v>4.275534</v>
      </c>
      <c r="R3" s="78">
        <f t="shared" ref="R3:R8" si="4">IFS(L3="S",21494/2048*1.25)</f>
        <v>13.11889648</v>
      </c>
      <c r="S3" s="83">
        <f t="shared" ref="S3:S8" si="5">IFS(N3="B",Q3/M3/100*249945/R3/V3/U3
*W3,N3="C",Q3/M3/100*249945/R3/V3/U3
)</f>
        <v>25.281233</v>
      </c>
      <c r="T3" s="84" t="s">
        <v>660</v>
      </c>
      <c r="U3" s="78">
        <v>1.0</v>
      </c>
      <c r="V3" s="85">
        <v>1.15</v>
      </c>
      <c r="W3" s="83">
        <f>383/219</f>
        <v>1.748858447</v>
      </c>
      <c r="X3" s="83">
        <f t="shared" ref="X3:X8" si="6">S3/K3</f>
        <v>0.9958515941</v>
      </c>
      <c r="Y3" s="83">
        <f t="shared" ref="Y3:Y8" si="7">(S3-K3)*M3*U3*V3*J3/(249945/845)</f>
        <v>-0.2632014956</v>
      </c>
    </row>
    <row r="4" ht="26.25" customHeight="1">
      <c r="A4" s="85"/>
      <c r="B4" s="85" t="s">
        <v>655</v>
      </c>
      <c r="C4" s="74" t="s">
        <v>661</v>
      </c>
      <c r="D4" s="75">
        <v>596.0</v>
      </c>
      <c r="E4" s="75" t="s">
        <v>662</v>
      </c>
      <c r="F4" s="76"/>
      <c r="G4" s="77" t="s">
        <v>658</v>
      </c>
      <c r="H4" s="77">
        <v>596.0</v>
      </c>
      <c r="I4" s="77">
        <v>1.0</v>
      </c>
      <c r="J4" s="78">
        <f t="shared" si="1"/>
        <v>13.11889648</v>
      </c>
      <c r="K4" s="79">
        <f t="shared" si="2"/>
        <v>37.62372705</v>
      </c>
      <c r="L4" s="80" t="s">
        <v>658</v>
      </c>
      <c r="M4" s="81">
        <v>50.0</v>
      </c>
      <c r="N4" s="81" t="s">
        <v>659</v>
      </c>
      <c r="O4" s="82">
        <v>90.023753</v>
      </c>
      <c r="P4" s="82">
        <v>83.016627</v>
      </c>
      <c r="Q4" s="82">
        <f t="shared" si="3"/>
        <v>7.007126</v>
      </c>
      <c r="R4" s="78">
        <f t="shared" si="4"/>
        <v>13.11889648</v>
      </c>
      <c r="S4" s="83">
        <f t="shared" si="5"/>
        <v>37.43980064</v>
      </c>
      <c r="T4" s="84" t="s">
        <v>663</v>
      </c>
      <c r="U4" s="78">
        <v>1.05</v>
      </c>
      <c r="V4" s="85">
        <v>1.15</v>
      </c>
      <c r="W4" s="83">
        <f>596/352</f>
        <v>1.693181818</v>
      </c>
      <c r="X4" s="83">
        <f t="shared" si="6"/>
        <v>0.995111425</v>
      </c>
      <c r="Y4" s="83">
        <f t="shared" si="7"/>
        <v>-0.4925051754</v>
      </c>
    </row>
    <row r="5" ht="26.25" customHeight="1">
      <c r="A5" s="72"/>
      <c r="B5" s="73" t="s">
        <v>655</v>
      </c>
      <c r="C5" s="74" t="s">
        <v>664</v>
      </c>
      <c r="D5" s="75">
        <v>543.0</v>
      </c>
      <c r="E5" s="75" t="s">
        <v>665</v>
      </c>
      <c r="F5" s="75"/>
      <c r="G5" s="77" t="s">
        <v>658</v>
      </c>
      <c r="H5" s="77">
        <v>543.0</v>
      </c>
      <c r="I5" s="77">
        <v>1.0</v>
      </c>
      <c r="J5" s="78">
        <f t="shared" si="1"/>
        <v>13.11889648</v>
      </c>
      <c r="K5" s="79">
        <f t="shared" si="2"/>
        <v>32.71990235</v>
      </c>
      <c r="L5" s="80" t="s">
        <v>658</v>
      </c>
      <c r="M5" s="81">
        <v>44.0</v>
      </c>
      <c r="N5" s="81" t="s">
        <v>659</v>
      </c>
      <c r="O5" s="82">
        <v>90.023753</v>
      </c>
      <c r="P5" s="82">
        <v>84.441805</v>
      </c>
      <c r="Q5" s="82">
        <f t="shared" si="3"/>
        <v>5.581948</v>
      </c>
      <c r="R5" s="78">
        <f t="shared" si="4"/>
        <v>13.11889648</v>
      </c>
      <c r="S5" s="83">
        <f t="shared" si="5"/>
        <v>32.42198375</v>
      </c>
      <c r="T5" s="84" t="s">
        <v>660</v>
      </c>
      <c r="U5" s="86">
        <v>1.1</v>
      </c>
      <c r="V5" s="85">
        <v>1.15</v>
      </c>
      <c r="W5" s="83">
        <f>543/320</f>
        <v>1.696875</v>
      </c>
      <c r="X5" s="83">
        <f t="shared" si="6"/>
        <v>0.9908948813</v>
      </c>
      <c r="Y5" s="83">
        <f t="shared" si="7"/>
        <v>-0.735445295</v>
      </c>
    </row>
    <row r="6" ht="26.25" customHeight="1">
      <c r="A6" s="72"/>
      <c r="B6" s="73" t="s">
        <v>655</v>
      </c>
      <c r="C6" s="87" t="s">
        <v>666</v>
      </c>
      <c r="D6" s="75">
        <f>1064*1.25</f>
        <v>1330</v>
      </c>
      <c r="E6" s="75" t="s">
        <v>667</v>
      </c>
      <c r="F6" s="75" t="s">
        <v>668</v>
      </c>
      <c r="G6" s="77" t="s">
        <v>658</v>
      </c>
      <c r="H6" s="77">
        <v>1330.0</v>
      </c>
      <c r="I6" s="77">
        <v>1.0</v>
      </c>
      <c r="J6" s="78">
        <f t="shared" si="1"/>
        <v>13.11889648</v>
      </c>
      <c r="K6" s="79">
        <f t="shared" si="2"/>
        <v>88.15693763</v>
      </c>
      <c r="L6" s="80" t="s">
        <v>658</v>
      </c>
      <c r="M6" s="81">
        <v>7.0</v>
      </c>
      <c r="N6" s="81" t="s">
        <v>659</v>
      </c>
      <c r="O6" s="82">
        <v>90.023753</v>
      </c>
      <c r="P6" s="82">
        <v>87.885986</v>
      </c>
      <c r="Q6" s="82">
        <f t="shared" si="3"/>
        <v>2.137767</v>
      </c>
      <c r="R6" s="78">
        <f t="shared" si="4"/>
        <v>13.11889648</v>
      </c>
      <c r="S6" s="83">
        <f t="shared" si="5"/>
        <v>90.81238245</v>
      </c>
      <c r="T6" s="84" t="s">
        <v>660</v>
      </c>
      <c r="U6" s="86">
        <v>1.0</v>
      </c>
      <c r="V6" s="85">
        <v>1.15</v>
      </c>
      <c r="W6" s="83">
        <f>1330/741</f>
        <v>1.794871795</v>
      </c>
      <c r="X6" s="83">
        <f t="shared" si="6"/>
        <v>1.030121791</v>
      </c>
      <c r="Y6" s="83">
        <f t="shared" si="7"/>
        <v>0.9480750606</v>
      </c>
    </row>
    <row r="7" ht="26.25" customHeight="1">
      <c r="A7" s="72"/>
      <c r="B7" s="73" t="s">
        <v>655</v>
      </c>
      <c r="C7" s="87" t="s">
        <v>337</v>
      </c>
      <c r="D7" s="75">
        <v>4128.0</v>
      </c>
      <c r="E7" s="75" t="s">
        <v>669</v>
      </c>
      <c r="F7" s="75" t="s">
        <v>670</v>
      </c>
      <c r="G7" s="77" t="s">
        <v>658</v>
      </c>
      <c r="H7" s="77">
        <v>4128.0</v>
      </c>
      <c r="I7" s="77">
        <v>1.0</v>
      </c>
      <c r="J7" s="78">
        <f t="shared" si="1"/>
        <v>13.11889648</v>
      </c>
      <c r="K7" s="79">
        <f t="shared" si="2"/>
        <v>248.743567</v>
      </c>
      <c r="L7" s="80" t="s">
        <v>658</v>
      </c>
      <c r="M7" s="81">
        <v>19.0</v>
      </c>
      <c r="N7" s="81" t="s">
        <v>659</v>
      </c>
      <c r="O7" s="82">
        <v>90.023753</v>
      </c>
      <c r="P7" s="82">
        <v>72.565321</v>
      </c>
      <c r="Q7" s="82">
        <f t="shared" si="3"/>
        <v>17.458432</v>
      </c>
      <c r="R7" s="78">
        <f t="shared" si="4"/>
        <v>13.11889648</v>
      </c>
      <c r="S7" s="83">
        <f t="shared" si="5"/>
        <v>248.2740492</v>
      </c>
      <c r="T7" s="84" t="s">
        <v>660</v>
      </c>
      <c r="U7" s="86">
        <v>1.1</v>
      </c>
      <c r="V7" s="73">
        <v>1.15</v>
      </c>
      <c r="W7" s="83">
        <f>4128/2301</f>
        <v>1.794002608</v>
      </c>
      <c r="X7" s="83">
        <f t="shared" si="6"/>
        <v>0.9981124422</v>
      </c>
      <c r="Y7" s="83">
        <f t="shared" si="7"/>
        <v>-0.500501974</v>
      </c>
    </row>
    <row r="8" ht="26.25" customHeight="1">
      <c r="A8" s="72"/>
      <c r="B8" s="73" t="s">
        <v>655</v>
      </c>
      <c r="C8" s="87" t="s">
        <v>337</v>
      </c>
      <c r="D8" s="75">
        <v>8061.0</v>
      </c>
      <c r="E8" s="75" t="s">
        <v>671</v>
      </c>
      <c r="F8" s="75" t="s">
        <v>672</v>
      </c>
      <c r="G8" s="77" t="s">
        <v>658</v>
      </c>
      <c r="H8" s="77">
        <f>8061+930</f>
        <v>8991</v>
      </c>
      <c r="I8" s="77">
        <v>1.0</v>
      </c>
      <c r="J8" s="78">
        <f t="shared" si="1"/>
        <v>13.11889648</v>
      </c>
      <c r="K8" s="79">
        <f t="shared" si="2"/>
        <v>541.7765046</v>
      </c>
      <c r="L8" s="80" t="s">
        <v>658</v>
      </c>
      <c r="M8" s="81">
        <v>4.0</v>
      </c>
      <c r="N8" s="81" t="s">
        <v>659</v>
      </c>
      <c r="O8" s="82">
        <v>90.023753</v>
      </c>
      <c r="P8" s="82">
        <v>75.534442</v>
      </c>
      <c r="Q8" s="82">
        <f t="shared" si="3"/>
        <v>14.489311</v>
      </c>
      <c r="R8" s="78">
        <f t="shared" si="4"/>
        <v>13.11889648</v>
      </c>
      <c r="S8" s="83">
        <f t="shared" si="5"/>
        <v>545.5623175</v>
      </c>
      <c r="T8" s="84" t="s">
        <v>660</v>
      </c>
      <c r="U8" s="86">
        <v>1.1</v>
      </c>
      <c r="V8" s="73">
        <v>1.15</v>
      </c>
      <c r="W8" s="79">
        <v>1.0</v>
      </c>
      <c r="X8" s="83">
        <f t="shared" si="6"/>
        <v>1.006987776</v>
      </c>
      <c r="Y8" s="83">
        <f t="shared" si="7"/>
        <v>0.8496092349</v>
      </c>
    </row>
    <row r="9" ht="26.25" customHeight="1">
      <c r="A9" s="72"/>
      <c r="B9" s="73" t="s">
        <v>655</v>
      </c>
      <c r="C9" s="87" t="s">
        <v>337</v>
      </c>
      <c r="D9" s="75">
        <v>1613.0</v>
      </c>
      <c r="E9" s="75" t="s">
        <v>673</v>
      </c>
      <c r="F9" s="75" t="s">
        <v>674</v>
      </c>
      <c r="G9" s="77" t="s">
        <v>658</v>
      </c>
      <c r="H9" s="77">
        <f>(1613+155)*5</f>
        <v>8840</v>
      </c>
      <c r="I9" s="77">
        <v>1.0</v>
      </c>
      <c r="J9" s="78">
        <f t="shared" si="1"/>
        <v>13.11889648</v>
      </c>
      <c r="K9" s="79">
        <f t="shared" si="2"/>
        <v>532.6775999</v>
      </c>
      <c r="L9" s="80" t="s">
        <v>303</v>
      </c>
      <c r="M9" s="81" t="s">
        <v>303</v>
      </c>
      <c r="N9" s="81" t="s">
        <v>303</v>
      </c>
      <c r="O9" s="82" t="s">
        <v>303</v>
      </c>
      <c r="P9" s="82" t="s">
        <v>303</v>
      </c>
      <c r="Q9" s="82" t="s">
        <v>303</v>
      </c>
      <c r="R9" s="78" t="s">
        <v>303</v>
      </c>
      <c r="S9" s="79" t="s">
        <v>303</v>
      </c>
      <c r="T9" s="84" t="s">
        <v>660</v>
      </c>
      <c r="U9" s="86">
        <v>1.1</v>
      </c>
      <c r="V9" s="73">
        <v>1.15</v>
      </c>
      <c r="W9" s="79">
        <v>1.0</v>
      </c>
      <c r="X9" s="83">
        <f>101183/101700</f>
        <v>0.9949164208</v>
      </c>
      <c r="Y9" s="83">
        <f>(101183-101700)/(1500000/845)</f>
        <v>-0.2912433333</v>
      </c>
    </row>
    <row r="10" ht="26.25" customHeight="1">
      <c r="A10" s="72"/>
      <c r="B10" s="73" t="s">
        <v>655</v>
      </c>
      <c r="C10" s="74" t="s">
        <v>675</v>
      </c>
      <c r="D10" s="75">
        <v>383.0</v>
      </c>
      <c r="E10" s="75" t="s">
        <v>657</v>
      </c>
      <c r="F10" s="76"/>
      <c r="G10" s="77" t="s">
        <v>658</v>
      </c>
      <c r="H10" s="77">
        <v>383.0</v>
      </c>
      <c r="I10" s="77">
        <v>1.0</v>
      </c>
      <c r="J10" s="78">
        <f t="shared" si="1"/>
        <v>13.11889648</v>
      </c>
      <c r="K10" s="79">
        <f t="shared" si="2"/>
        <v>25.3865467</v>
      </c>
      <c r="L10" s="80" t="s">
        <v>658</v>
      </c>
      <c r="M10" s="81">
        <v>49.0</v>
      </c>
      <c r="N10" s="81" t="s">
        <v>659</v>
      </c>
      <c r="O10" s="82">
        <v>90.023753</v>
      </c>
      <c r="P10" s="82">
        <v>85.748219</v>
      </c>
      <c r="Q10" s="82">
        <f t="shared" ref="Q10:Q11" si="8">O10-P10</f>
        <v>4.275534</v>
      </c>
      <c r="R10" s="78">
        <f t="shared" ref="R10:R11" si="9">IFS(L10="S",21494/2048*1.25)</f>
        <v>13.11889648</v>
      </c>
      <c r="S10" s="83">
        <f t="shared" ref="S10:S11" si="10">IFS(N10="B",Q10/M10/100*249945/R10/V10/U10
*W10,N10="C",Q10/M10/100*249945/R10/V10/U10
)</f>
        <v>25.281233</v>
      </c>
      <c r="T10" s="84" t="s">
        <v>660</v>
      </c>
      <c r="U10" s="86">
        <v>1.0</v>
      </c>
      <c r="V10" s="85">
        <v>1.15</v>
      </c>
      <c r="W10" s="83">
        <f>383/219</f>
        <v>1.748858447</v>
      </c>
      <c r="X10" s="83">
        <f t="shared" ref="X10:X11" si="11">S10/K10</f>
        <v>0.9958515941</v>
      </c>
      <c r="Y10" s="83">
        <f t="shared" ref="Y10:Y11" si="12">(S10-K10)*M10*U10*V10*J10/(249945/845)</f>
        <v>-0.2632014956</v>
      </c>
    </row>
    <row r="11" ht="26.25" customHeight="1">
      <c r="A11" s="72"/>
      <c r="B11" s="73" t="s">
        <v>655</v>
      </c>
      <c r="C11" s="74" t="s">
        <v>676</v>
      </c>
      <c r="D11" s="75">
        <v>626.0</v>
      </c>
      <c r="E11" s="75" t="s">
        <v>677</v>
      </c>
      <c r="F11" s="76"/>
      <c r="G11" s="77" t="s">
        <v>658</v>
      </c>
      <c r="H11" s="77">
        <v>626.0</v>
      </c>
      <c r="I11" s="77">
        <v>1.0</v>
      </c>
      <c r="J11" s="78">
        <f t="shared" si="1"/>
        <v>13.11889648</v>
      </c>
      <c r="K11" s="79">
        <f t="shared" si="2"/>
        <v>41.49341576</v>
      </c>
      <c r="L11" s="80" t="s">
        <v>658</v>
      </c>
      <c r="M11" s="81">
        <v>38.0</v>
      </c>
      <c r="N11" s="81" t="s">
        <v>659</v>
      </c>
      <c r="O11" s="82">
        <v>90.023753</v>
      </c>
      <c r="P11" s="82">
        <v>84.679335</v>
      </c>
      <c r="Q11" s="82">
        <f t="shared" si="8"/>
        <v>5.344418</v>
      </c>
      <c r="R11" s="78">
        <f t="shared" si="9"/>
        <v>13.11889648</v>
      </c>
      <c r="S11" s="83">
        <f t="shared" si="10"/>
        <v>41.79410557</v>
      </c>
      <c r="T11" s="84" t="s">
        <v>660</v>
      </c>
      <c r="U11" s="86">
        <v>1.0</v>
      </c>
      <c r="V11" s="85">
        <v>1.15</v>
      </c>
      <c r="W11" s="83">
        <f>626/349</f>
        <v>1.793696275</v>
      </c>
      <c r="X11" s="83">
        <f t="shared" si="11"/>
        <v>1.007246688</v>
      </c>
      <c r="Y11" s="83">
        <f t="shared" si="12"/>
        <v>0.5827868196</v>
      </c>
    </row>
    <row r="12" ht="26.25" customHeight="1">
      <c r="A12" s="72"/>
      <c r="B12" s="73" t="s">
        <v>655</v>
      </c>
      <c r="C12" s="74" t="s">
        <v>678</v>
      </c>
      <c r="D12" s="75">
        <v>383.0</v>
      </c>
      <c r="E12" s="75" t="s">
        <v>679</v>
      </c>
      <c r="F12" s="75" t="s">
        <v>680</v>
      </c>
      <c r="G12" s="77" t="s">
        <v>658</v>
      </c>
      <c r="H12" s="77">
        <f>(219*35+770*7)*W12</f>
        <v>22831.34703</v>
      </c>
      <c r="I12" s="77">
        <v>42.0</v>
      </c>
      <c r="J12" s="78">
        <f t="shared" si="1"/>
        <v>13.11889648</v>
      </c>
      <c r="K12" s="79">
        <f t="shared" si="2"/>
        <v>36.03189467</v>
      </c>
      <c r="L12" s="80" t="s">
        <v>303</v>
      </c>
      <c r="M12" s="81" t="s">
        <v>303</v>
      </c>
      <c r="N12" s="81" t="s">
        <v>303</v>
      </c>
      <c r="O12" s="82" t="s">
        <v>303</v>
      </c>
      <c r="P12" s="82" t="s">
        <v>303</v>
      </c>
      <c r="Q12" s="82" t="s">
        <v>303</v>
      </c>
      <c r="R12" s="78" t="s">
        <v>303</v>
      </c>
      <c r="S12" s="79" t="s">
        <v>303</v>
      </c>
      <c r="T12" s="84" t="s">
        <v>660</v>
      </c>
      <c r="U12" s="86">
        <v>1.0</v>
      </c>
      <c r="V12" s="85">
        <v>1.15</v>
      </c>
      <c r="W12" s="83">
        <f t="shared" ref="W12:W13" si="13">383/219</f>
        <v>1.748858447</v>
      </c>
      <c r="X12" s="83">
        <f>30178/30490</f>
        <v>0.9897671368</v>
      </c>
      <c r="Y12" s="83">
        <f>(30178-30490)/(1500000/845)</f>
        <v>-0.17576</v>
      </c>
    </row>
    <row r="13" ht="26.25" customHeight="1">
      <c r="A13" s="72"/>
      <c r="B13" s="73" t="s">
        <v>655</v>
      </c>
      <c r="C13" s="74" t="s">
        <v>681</v>
      </c>
      <c r="D13" s="75">
        <v>383.0</v>
      </c>
      <c r="E13" s="75" t="s">
        <v>657</v>
      </c>
      <c r="F13" s="75"/>
      <c r="G13" s="77" t="s">
        <v>658</v>
      </c>
      <c r="H13" s="77">
        <v>383.0</v>
      </c>
      <c r="I13" s="77">
        <v>1.0</v>
      </c>
      <c r="J13" s="78">
        <f t="shared" si="1"/>
        <v>13.11889648</v>
      </c>
      <c r="K13" s="79">
        <f t="shared" si="2"/>
        <v>25.3865467</v>
      </c>
      <c r="L13" s="80" t="s">
        <v>658</v>
      </c>
      <c r="M13" s="81">
        <v>43.0</v>
      </c>
      <c r="N13" s="81" t="s">
        <v>659</v>
      </c>
      <c r="O13" s="82">
        <v>90.023753</v>
      </c>
      <c r="P13" s="82">
        <v>86.223278</v>
      </c>
      <c r="Q13" s="82">
        <f t="shared" ref="Q13:Q21" si="14">O13-P13</f>
        <v>3.800475</v>
      </c>
      <c r="R13" s="78">
        <f t="shared" ref="R13:R21" si="15">IFS(L13="S",21494/2048*1.25)</f>
        <v>13.11889648</v>
      </c>
      <c r="S13" s="83">
        <f t="shared" ref="S13:S21" si="16">IFS(N13="B",Q13/M13/100*249945/R13/V13/U13
*W13,N13="C",Q13/M13/100*249945/R13/V13/U13
)</f>
        <v>25.60786616</v>
      </c>
      <c r="T13" s="84" t="s">
        <v>660</v>
      </c>
      <c r="U13" s="86">
        <v>1.0</v>
      </c>
      <c r="V13" s="85">
        <v>1.15</v>
      </c>
      <c r="W13" s="83">
        <f t="shared" si="13"/>
        <v>1.748858447</v>
      </c>
      <c r="X13" s="83">
        <f t="shared" ref="X13:X21" si="17">S13/K13</f>
        <v>1.008717982</v>
      </c>
      <c r="Y13" s="83">
        <f t="shared" ref="Y13:Y21" si="18">(S13-K13)*M13*U13*V13*J13/(249945/845)</f>
        <v>0.4853951863</v>
      </c>
    </row>
    <row r="14" ht="26.25" customHeight="1">
      <c r="A14" s="72"/>
      <c r="B14" s="73" t="s">
        <v>655</v>
      </c>
      <c r="C14" s="74" t="s">
        <v>682</v>
      </c>
      <c r="D14" s="75">
        <v>336.0</v>
      </c>
      <c r="E14" s="76" t="s">
        <v>683</v>
      </c>
      <c r="F14" s="76"/>
      <c r="G14" s="77" t="s">
        <v>658</v>
      </c>
      <c r="H14" s="77">
        <v>336.0</v>
      </c>
      <c r="I14" s="77">
        <v>1.0</v>
      </c>
      <c r="J14" s="78">
        <f t="shared" si="1"/>
        <v>13.11889648</v>
      </c>
      <c r="K14" s="79">
        <f t="shared" si="2"/>
        <v>22.27122635</v>
      </c>
      <c r="L14" s="80" t="s">
        <v>658</v>
      </c>
      <c r="M14" s="81">
        <v>50.0</v>
      </c>
      <c r="N14" s="81" t="s">
        <v>659</v>
      </c>
      <c r="O14" s="82">
        <v>90.023753</v>
      </c>
      <c r="P14" s="82">
        <v>86.104513</v>
      </c>
      <c r="Q14" s="82">
        <f t="shared" si="14"/>
        <v>3.91924</v>
      </c>
      <c r="R14" s="78">
        <f t="shared" si="15"/>
        <v>13.11889648</v>
      </c>
      <c r="S14" s="83">
        <f t="shared" si="16"/>
        <v>22.03714095</v>
      </c>
      <c r="T14" s="84" t="s">
        <v>660</v>
      </c>
      <c r="U14" s="86">
        <v>1.0</v>
      </c>
      <c r="V14" s="85">
        <v>1.15</v>
      </c>
      <c r="W14" s="83">
        <f>336/198</f>
        <v>1.696969697</v>
      </c>
      <c r="X14" s="83">
        <f t="shared" si="17"/>
        <v>0.9894893352</v>
      </c>
      <c r="Y14" s="83">
        <f t="shared" si="18"/>
        <v>-0.5969689259</v>
      </c>
    </row>
    <row r="15" ht="26.25" customHeight="1">
      <c r="A15" s="72"/>
      <c r="B15" s="73" t="s">
        <v>655</v>
      </c>
      <c r="C15" s="74" t="s">
        <v>684</v>
      </c>
      <c r="D15" s="75">
        <v>494.0</v>
      </c>
      <c r="E15" s="75" t="s">
        <v>685</v>
      </c>
      <c r="F15" s="76"/>
      <c r="G15" s="77" t="s">
        <v>658</v>
      </c>
      <c r="H15" s="77">
        <v>494.0</v>
      </c>
      <c r="I15" s="77">
        <v>1.0</v>
      </c>
      <c r="J15" s="78">
        <f t="shared" si="1"/>
        <v>13.11889648</v>
      </c>
      <c r="K15" s="79">
        <f t="shared" si="2"/>
        <v>32.7440054</v>
      </c>
      <c r="L15" s="80" t="s">
        <v>658</v>
      </c>
      <c r="M15" s="81">
        <v>38.0</v>
      </c>
      <c r="N15" s="81" t="s">
        <v>659</v>
      </c>
      <c r="O15" s="82">
        <v>90.023753</v>
      </c>
      <c r="P15" s="82">
        <v>85.510689</v>
      </c>
      <c r="Q15" s="82">
        <f t="shared" si="14"/>
        <v>4.513064</v>
      </c>
      <c r="R15" s="78">
        <f t="shared" si="15"/>
        <v>13.11889648</v>
      </c>
      <c r="S15" s="83">
        <f t="shared" si="16"/>
        <v>33.40189938</v>
      </c>
      <c r="T15" s="84" t="s">
        <v>660</v>
      </c>
      <c r="U15" s="86">
        <v>1.0</v>
      </c>
      <c r="V15" s="85">
        <v>1.15</v>
      </c>
      <c r="W15" s="83">
        <f>494/291</f>
        <v>1.697594502</v>
      </c>
      <c r="X15" s="83">
        <f t="shared" si="17"/>
        <v>1.020092043</v>
      </c>
      <c r="Y15" s="83">
        <f t="shared" si="18"/>
        <v>1.275107812</v>
      </c>
    </row>
    <row r="16" ht="26.25" customHeight="1">
      <c r="A16" s="72"/>
      <c r="B16" s="73" t="s">
        <v>655</v>
      </c>
      <c r="C16" s="74" t="s">
        <v>686</v>
      </c>
      <c r="D16" s="75">
        <v>336.0</v>
      </c>
      <c r="E16" s="75" t="s">
        <v>687</v>
      </c>
      <c r="F16" s="75" t="s">
        <v>688</v>
      </c>
      <c r="G16" s="77" t="s">
        <v>658</v>
      </c>
      <c r="H16" s="77">
        <f>1164+68+336*10</f>
        <v>4592</v>
      </c>
      <c r="I16" s="77">
        <v>11.0</v>
      </c>
      <c r="J16" s="78">
        <f t="shared" si="1"/>
        <v>13.11889648</v>
      </c>
      <c r="K16" s="79">
        <f t="shared" si="2"/>
        <v>27.67031152</v>
      </c>
      <c r="L16" s="80" t="s">
        <v>658</v>
      </c>
      <c r="M16" s="81">
        <v>11.0</v>
      </c>
      <c r="N16" s="81" t="s">
        <v>689</v>
      </c>
      <c r="O16" s="82">
        <v>90.023753</v>
      </c>
      <c r="P16" s="82">
        <v>88.123515</v>
      </c>
      <c r="Q16" s="82">
        <f t="shared" si="14"/>
        <v>1.900238</v>
      </c>
      <c r="R16" s="78">
        <f t="shared" si="15"/>
        <v>13.11889648</v>
      </c>
      <c r="S16" s="83">
        <f t="shared" si="16"/>
        <v>28.61966996</v>
      </c>
      <c r="T16" s="84" t="s">
        <v>660</v>
      </c>
      <c r="U16" s="86">
        <v>1.0</v>
      </c>
      <c r="V16" s="85">
        <v>1.15</v>
      </c>
      <c r="W16" s="83">
        <f>(494*10+1164+68)/(291*10+1164+68)</f>
        <v>1.4901014</v>
      </c>
      <c r="X16" s="83">
        <f t="shared" si="17"/>
        <v>1.03430964</v>
      </c>
      <c r="Y16" s="83">
        <f t="shared" si="18"/>
        <v>0.5326357374</v>
      </c>
    </row>
    <row r="17" ht="26.25" customHeight="1">
      <c r="A17" s="72"/>
      <c r="B17" s="73" t="s">
        <v>655</v>
      </c>
      <c r="C17" s="74" t="s">
        <v>686</v>
      </c>
      <c r="D17" s="75">
        <v>6979.0</v>
      </c>
      <c r="E17" s="75" t="s">
        <v>690</v>
      </c>
      <c r="F17" s="75" t="s">
        <v>691</v>
      </c>
      <c r="G17" s="77" t="s">
        <v>658</v>
      </c>
      <c r="H17" s="77">
        <f>6979+200</f>
        <v>7179</v>
      </c>
      <c r="I17" s="77">
        <v>1.0</v>
      </c>
      <c r="J17" s="78">
        <f t="shared" si="1"/>
        <v>13.11889648</v>
      </c>
      <c r="K17" s="79">
        <f t="shared" si="2"/>
        <v>475.848613</v>
      </c>
      <c r="L17" s="80" t="s">
        <v>658</v>
      </c>
      <c r="M17" s="81">
        <v>3.0</v>
      </c>
      <c r="N17" s="81" t="s">
        <v>659</v>
      </c>
      <c r="O17" s="82">
        <v>80.522565</v>
      </c>
      <c r="P17" s="82">
        <v>71.852732</v>
      </c>
      <c r="Q17" s="82">
        <f t="shared" si="14"/>
        <v>8.669833</v>
      </c>
      <c r="R17" s="78">
        <f t="shared" si="15"/>
        <v>13.11889648</v>
      </c>
      <c r="S17" s="83">
        <f t="shared" si="16"/>
        <v>478.78307</v>
      </c>
      <c r="T17" s="84" t="s">
        <v>660</v>
      </c>
      <c r="U17" s="86">
        <v>1.0</v>
      </c>
      <c r="V17" s="85">
        <v>1.15</v>
      </c>
      <c r="W17" s="79">
        <v>1.0</v>
      </c>
      <c r="X17" s="83">
        <f t="shared" si="17"/>
        <v>1.006166787</v>
      </c>
      <c r="Y17" s="83">
        <f t="shared" si="18"/>
        <v>0.4490104127</v>
      </c>
    </row>
    <row r="18" ht="26.25" customHeight="1">
      <c r="A18" s="72"/>
      <c r="B18" s="73" t="s">
        <v>655</v>
      </c>
      <c r="C18" s="74" t="s">
        <v>692</v>
      </c>
      <c r="D18" s="75">
        <v>336.0</v>
      </c>
      <c r="E18" s="75" t="s">
        <v>693</v>
      </c>
      <c r="F18" s="76"/>
      <c r="G18" s="77" t="s">
        <v>658</v>
      </c>
      <c r="H18" s="77">
        <v>336.0</v>
      </c>
      <c r="I18" s="77">
        <v>1.0</v>
      </c>
      <c r="J18" s="78">
        <f t="shared" si="1"/>
        <v>13.11889648</v>
      </c>
      <c r="K18" s="79">
        <f t="shared" si="2"/>
        <v>22.27122635</v>
      </c>
      <c r="L18" s="80" t="s">
        <v>658</v>
      </c>
      <c r="M18" s="81">
        <v>51.0</v>
      </c>
      <c r="N18" s="81" t="s">
        <v>659</v>
      </c>
      <c r="O18" s="82">
        <v>90.023753</v>
      </c>
      <c r="P18" s="82">
        <v>85.985748</v>
      </c>
      <c r="Q18" s="82">
        <f t="shared" si="14"/>
        <v>4.038005</v>
      </c>
      <c r="R18" s="78">
        <f t="shared" si="15"/>
        <v>13.11889648</v>
      </c>
      <c r="S18" s="83">
        <f t="shared" si="16"/>
        <v>22.25973917</v>
      </c>
      <c r="T18" s="84" t="s">
        <v>660</v>
      </c>
      <c r="U18" s="86">
        <v>1.0</v>
      </c>
      <c r="V18" s="85">
        <v>1.15</v>
      </c>
      <c r="W18" s="83">
        <f>336/198</f>
        <v>1.696969697</v>
      </c>
      <c r="X18" s="83">
        <f t="shared" si="17"/>
        <v>0.9994842144</v>
      </c>
      <c r="Y18" s="83">
        <f t="shared" si="18"/>
        <v>-0.02988070929</v>
      </c>
    </row>
    <row r="19" ht="26.25" customHeight="1">
      <c r="A19" s="72"/>
      <c r="B19" s="73" t="s">
        <v>655</v>
      </c>
      <c r="C19" s="74" t="s">
        <v>694</v>
      </c>
      <c r="D19" s="75">
        <v>384.0</v>
      </c>
      <c r="E19" s="75" t="s">
        <v>695</v>
      </c>
      <c r="F19" s="76"/>
      <c r="G19" s="77" t="s">
        <v>658</v>
      </c>
      <c r="H19" s="77">
        <v>384.0</v>
      </c>
      <c r="I19" s="77">
        <v>1.0</v>
      </c>
      <c r="J19" s="78">
        <f t="shared" si="1"/>
        <v>13.11889648</v>
      </c>
      <c r="K19" s="79">
        <f t="shared" si="2"/>
        <v>25.45283011</v>
      </c>
      <c r="L19" s="80" t="s">
        <v>658</v>
      </c>
      <c r="M19" s="81">
        <v>28.0</v>
      </c>
      <c r="N19" s="81" t="s">
        <v>659</v>
      </c>
      <c r="O19" s="82">
        <v>90.023753</v>
      </c>
      <c r="P19" s="82">
        <v>86.935867</v>
      </c>
      <c r="Q19" s="82">
        <f t="shared" si="14"/>
        <v>3.087886</v>
      </c>
      <c r="R19" s="78">
        <f t="shared" si="15"/>
        <v>13.11889648</v>
      </c>
      <c r="S19" s="83">
        <f t="shared" si="16"/>
        <v>25.60549621</v>
      </c>
      <c r="T19" s="84" t="s">
        <v>660</v>
      </c>
      <c r="U19" s="86">
        <v>1.0</v>
      </c>
      <c r="V19" s="85">
        <v>1.15</v>
      </c>
      <c r="W19" s="83">
        <f>384/274</f>
        <v>1.401459854</v>
      </c>
      <c r="X19" s="83">
        <f t="shared" si="17"/>
        <v>1.005998001</v>
      </c>
      <c r="Y19" s="83">
        <f t="shared" si="18"/>
        <v>0.2180258739</v>
      </c>
    </row>
    <row r="20" ht="26.25" customHeight="1">
      <c r="A20" s="72"/>
      <c r="B20" s="73" t="s">
        <v>655</v>
      </c>
      <c r="C20" s="74" t="s">
        <v>696</v>
      </c>
      <c r="D20" s="75">
        <v>626.0</v>
      </c>
      <c r="E20" s="75" t="s">
        <v>697</v>
      </c>
      <c r="F20" s="75" t="s">
        <v>698</v>
      </c>
      <c r="G20" s="77" t="s">
        <v>658</v>
      </c>
      <c r="H20" s="77">
        <f>(349*18+367*6+368*2+369+370*2+372+373+374+376+379+381+384)*W20</f>
        <v>23260.6533</v>
      </c>
      <c r="I20" s="77">
        <v>36.0</v>
      </c>
      <c r="J20" s="78">
        <f t="shared" si="1"/>
        <v>13.11889648</v>
      </c>
      <c r="K20" s="79">
        <f t="shared" si="2"/>
        <v>42.82765167</v>
      </c>
      <c r="L20" s="80" t="s">
        <v>658</v>
      </c>
      <c r="M20" s="81">
        <v>36.0</v>
      </c>
      <c r="N20" s="81" t="s">
        <v>659</v>
      </c>
      <c r="O20" s="82">
        <v>90.023753</v>
      </c>
      <c r="P20" s="82">
        <v>84.7981</v>
      </c>
      <c r="Q20" s="82">
        <f t="shared" si="14"/>
        <v>5.225653</v>
      </c>
      <c r="R20" s="78">
        <f t="shared" si="15"/>
        <v>13.11889648</v>
      </c>
      <c r="S20" s="83">
        <f t="shared" si="16"/>
        <v>43.13564348</v>
      </c>
      <c r="T20" s="84" t="s">
        <v>660</v>
      </c>
      <c r="U20" s="86">
        <v>1.0</v>
      </c>
      <c r="V20" s="85">
        <v>1.15</v>
      </c>
      <c r="W20" s="83">
        <f>626/349</f>
        <v>1.793696275</v>
      </c>
      <c r="X20" s="83">
        <f t="shared" si="17"/>
        <v>1.007191424</v>
      </c>
      <c r="Y20" s="83">
        <f t="shared" si="18"/>
        <v>0.5655214463</v>
      </c>
    </row>
    <row r="21" ht="26.25" customHeight="1">
      <c r="A21" s="72"/>
      <c r="B21" s="73" t="s">
        <v>655</v>
      </c>
      <c r="C21" s="74" t="s">
        <v>696</v>
      </c>
      <c r="D21" s="75">
        <v>359.0</v>
      </c>
      <c r="E21" s="75" t="s">
        <v>699</v>
      </c>
      <c r="F21" s="75" t="s">
        <v>700</v>
      </c>
      <c r="G21" s="77" t="s">
        <v>658</v>
      </c>
      <c r="H21" s="77">
        <f>(219*18+230*8+231*2+232*2+233+234+235+237+238+240)*W21</f>
        <v>13319.06393</v>
      </c>
      <c r="I21" s="77">
        <v>36.0</v>
      </c>
      <c r="J21" s="78">
        <f t="shared" si="1"/>
        <v>13.11889648</v>
      </c>
      <c r="K21" s="79">
        <f t="shared" si="2"/>
        <v>24.52313884</v>
      </c>
      <c r="L21" s="80" t="s">
        <v>658</v>
      </c>
      <c r="M21" s="81">
        <v>36.0</v>
      </c>
      <c r="N21" s="81" t="s">
        <v>659</v>
      </c>
      <c r="O21" s="82">
        <v>90.023753</v>
      </c>
      <c r="P21" s="82">
        <v>86.698337</v>
      </c>
      <c r="Q21" s="82">
        <f t="shared" si="14"/>
        <v>3.325416</v>
      </c>
      <c r="R21" s="78">
        <f t="shared" si="15"/>
        <v>13.11889648</v>
      </c>
      <c r="S21" s="83">
        <f t="shared" si="16"/>
        <v>25.08667611</v>
      </c>
      <c r="T21" s="84" t="s">
        <v>660</v>
      </c>
      <c r="U21" s="86">
        <v>1.0</v>
      </c>
      <c r="V21" s="85">
        <v>1.15</v>
      </c>
      <c r="W21" s="83">
        <f>359/219</f>
        <v>1.639269406</v>
      </c>
      <c r="X21" s="83">
        <f t="shared" si="17"/>
        <v>1.022979818</v>
      </c>
      <c r="Y21" s="83">
        <f t="shared" si="18"/>
        <v>1.034743111</v>
      </c>
    </row>
    <row r="22" ht="26.25" customHeight="1">
      <c r="A22" s="72"/>
      <c r="B22" s="73" t="s">
        <v>655</v>
      </c>
      <c r="C22" s="87" t="s">
        <v>701</v>
      </c>
      <c r="D22" s="75">
        <v>423.0</v>
      </c>
      <c r="E22" s="75" t="s">
        <v>702</v>
      </c>
      <c r="F22" s="76" t="s">
        <v>703</v>
      </c>
      <c r="G22" s="77" t="s">
        <v>704</v>
      </c>
      <c r="H22" s="77">
        <f>5460*1.5</f>
        <v>8190</v>
      </c>
      <c r="I22" s="77">
        <v>150.0</v>
      </c>
      <c r="J22" s="78">
        <f t="shared" si="1"/>
        <v>1.525</v>
      </c>
      <c r="K22" s="79">
        <f t="shared" si="2"/>
        <v>31.13328582</v>
      </c>
      <c r="L22" s="80" t="s">
        <v>303</v>
      </c>
      <c r="M22" s="81" t="s">
        <v>303</v>
      </c>
      <c r="N22" s="79" t="s">
        <v>303</v>
      </c>
      <c r="O22" s="82" t="s">
        <v>303</v>
      </c>
      <c r="P22" s="82" t="s">
        <v>303</v>
      </c>
      <c r="Q22" s="82" t="s">
        <v>303</v>
      </c>
      <c r="R22" s="78" t="s">
        <v>303</v>
      </c>
      <c r="S22" s="79" t="s">
        <v>303</v>
      </c>
      <c r="T22" s="84" t="s">
        <v>705</v>
      </c>
      <c r="U22" s="86">
        <v>1.0</v>
      </c>
      <c r="V22" s="85">
        <v>1.15</v>
      </c>
      <c r="W22" s="83">
        <f>423/275</f>
        <v>1.538181818</v>
      </c>
      <c r="X22" s="83">
        <f>33728/34664</f>
        <v>0.9729979229</v>
      </c>
      <c r="Y22" s="83">
        <f>(33728-34664)/(1500000/845)</f>
        <v>-0.52728</v>
      </c>
    </row>
    <row r="23" ht="26.25" customHeight="1">
      <c r="A23" s="72"/>
      <c r="B23" s="73" t="s">
        <v>655</v>
      </c>
      <c r="C23" s="74" t="s">
        <v>706</v>
      </c>
      <c r="D23" s="75">
        <v>11202.0</v>
      </c>
      <c r="E23" s="75" t="s">
        <v>707</v>
      </c>
      <c r="F23" s="76" t="s">
        <v>708</v>
      </c>
      <c r="G23" s="77" t="s">
        <v>704</v>
      </c>
      <c r="H23" s="77">
        <f>7007*1.5</f>
        <v>10510.5</v>
      </c>
      <c r="I23" s="77">
        <v>100.0</v>
      </c>
      <c r="J23" s="78">
        <f t="shared" si="1"/>
        <v>1.525</v>
      </c>
      <c r="K23" s="79">
        <f t="shared" si="2"/>
        <v>54.48325018</v>
      </c>
      <c r="L23" s="80" t="s">
        <v>704</v>
      </c>
      <c r="M23" s="81">
        <v>100.0</v>
      </c>
      <c r="N23" s="79" t="s">
        <v>689</v>
      </c>
      <c r="O23" s="82">
        <v>99.64497</v>
      </c>
      <c r="P23" s="82">
        <v>94.08284</v>
      </c>
      <c r="Q23" s="82">
        <f t="shared" ref="Q23:Q48" si="19">O23-P23</f>
        <v>5.56213</v>
      </c>
      <c r="R23" s="78">
        <f>1.25*1.22</f>
        <v>1.525</v>
      </c>
      <c r="S23" s="83">
        <f>IFS(N23="B",Q23/M23/100*182596/R23/V23/U23
*W23,N23="C",Q23/M23/100*182596/R23/V23/U23
)</f>
        <v>52.64680565</v>
      </c>
      <c r="T23" s="84" t="s">
        <v>705</v>
      </c>
      <c r="U23" s="86">
        <v>1.1</v>
      </c>
      <c r="V23" s="85">
        <v>1.15</v>
      </c>
      <c r="W23" s="83">
        <f>369/218</f>
        <v>1.69266055</v>
      </c>
      <c r="X23" s="83">
        <f>44379/44090</f>
        <v>1.006554774</v>
      </c>
      <c r="Y23" s="83">
        <f>(44379-44090)/(1500000/845)</f>
        <v>0.1628033333</v>
      </c>
    </row>
    <row r="24" ht="26.25" customHeight="1">
      <c r="A24" s="85"/>
      <c r="B24" s="85" t="s">
        <v>709</v>
      </c>
      <c r="C24" s="74" t="s">
        <v>710</v>
      </c>
      <c r="D24" s="75">
        <v>1399.0</v>
      </c>
      <c r="E24" s="75" t="s">
        <v>711</v>
      </c>
      <c r="F24" s="75" t="s">
        <v>712</v>
      </c>
      <c r="G24" s="77" t="s">
        <v>689</v>
      </c>
      <c r="H24" s="77">
        <v>38475.0</v>
      </c>
      <c r="I24" s="77">
        <v>15.0</v>
      </c>
      <c r="J24" s="78">
        <f t="shared" ref="J24:J27" si="20">1.25*2*1.15</f>
        <v>2.875</v>
      </c>
      <c r="K24" s="79">
        <f t="shared" si="2"/>
        <v>738.8603835</v>
      </c>
      <c r="L24" s="80" t="s">
        <v>689</v>
      </c>
      <c r="M24" s="81">
        <v>15.0</v>
      </c>
      <c r="N24" s="81" t="s">
        <v>689</v>
      </c>
      <c r="O24" s="82">
        <v>100.0</v>
      </c>
      <c r="P24" s="82">
        <v>97.39645</v>
      </c>
      <c r="Q24" s="82">
        <f t="shared" si="19"/>
        <v>2.60355</v>
      </c>
      <c r="R24" s="78">
        <f t="shared" ref="R24:R27" si="21">1.25*2*1.15</f>
        <v>2.875</v>
      </c>
      <c r="S24" s="83">
        <f t="shared" ref="S24:S27" si="22">Q24/M24/100*1500000/R24/V24/U24
</f>
        <v>749.9648933</v>
      </c>
      <c r="T24" s="84" t="s">
        <v>713</v>
      </c>
      <c r="U24" s="78">
        <v>1.05</v>
      </c>
      <c r="V24" s="85">
        <v>1.15</v>
      </c>
      <c r="W24" s="83">
        <f>(1399+1166)/(1399+1053)</f>
        <v>1.046084829</v>
      </c>
      <c r="X24" s="83">
        <f t="shared" ref="X24:X48" si="23">S24/K24</f>
        <v>1.01502924</v>
      </c>
      <c r="Y24" s="83">
        <f t="shared" ref="Y24:Y27" si="24">(S24-K24)*M24*U24*V24*J24/(1500000/845)</f>
        <v>0.3257475</v>
      </c>
    </row>
    <row r="25" ht="26.25" customHeight="1">
      <c r="A25" s="85"/>
      <c r="B25" s="85" t="s">
        <v>709</v>
      </c>
      <c r="C25" s="74" t="s">
        <v>710</v>
      </c>
      <c r="D25" s="75">
        <v>1637.0</v>
      </c>
      <c r="E25" s="75" t="s">
        <v>714</v>
      </c>
      <c r="F25" s="75" t="s">
        <v>715</v>
      </c>
      <c r="G25" s="77" t="s">
        <v>689</v>
      </c>
      <c r="H25" s="77">
        <v>19691.0</v>
      </c>
      <c r="I25" s="77">
        <v>5.0</v>
      </c>
      <c r="J25" s="78">
        <f t="shared" si="20"/>
        <v>2.875</v>
      </c>
      <c r="K25" s="79">
        <f t="shared" si="2"/>
        <v>1134.417139</v>
      </c>
      <c r="L25" s="80" t="s">
        <v>689</v>
      </c>
      <c r="M25" s="81">
        <v>5.0</v>
      </c>
      <c r="N25" s="81" t="s">
        <v>689</v>
      </c>
      <c r="O25" s="82">
        <v>100.0</v>
      </c>
      <c r="P25" s="82">
        <v>98.698225</v>
      </c>
      <c r="Q25" s="82">
        <f t="shared" si="19"/>
        <v>1.301775</v>
      </c>
      <c r="R25" s="78">
        <f t="shared" si="21"/>
        <v>2.875</v>
      </c>
      <c r="S25" s="83">
        <f t="shared" si="22"/>
        <v>1124.94734</v>
      </c>
      <c r="T25" s="84" t="s">
        <v>713</v>
      </c>
      <c r="U25" s="78">
        <v>1.05</v>
      </c>
      <c r="V25" s="85">
        <v>1.15</v>
      </c>
      <c r="W25" s="83">
        <f>19691/18694</f>
        <v>1.05333262</v>
      </c>
      <c r="X25" s="83">
        <f t="shared" si="23"/>
        <v>0.9916522777</v>
      </c>
      <c r="Y25" s="83">
        <f t="shared" si="24"/>
        <v>-0.09259791667</v>
      </c>
    </row>
    <row r="26" ht="26.25" customHeight="1">
      <c r="A26" s="85"/>
      <c r="B26" s="85" t="s">
        <v>709</v>
      </c>
      <c r="C26" s="74" t="s">
        <v>710</v>
      </c>
      <c r="D26" s="75">
        <v>2862.0</v>
      </c>
      <c r="E26" s="75" t="s">
        <v>716</v>
      </c>
      <c r="F26" s="75" t="s">
        <v>717</v>
      </c>
      <c r="G26" s="77" t="s">
        <v>689</v>
      </c>
      <c r="H26" s="77">
        <v>17149.0</v>
      </c>
      <c r="I26" s="77">
        <v>3.0</v>
      </c>
      <c r="J26" s="78">
        <f t="shared" si="20"/>
        <v>2.875</v>
      </c>
      <c r="K26" s="79">
        <f t="shared" si="2"/>
        <v>1646.616857</v>
      </c>
      <c r="L26" s="80" t="s">
        <v>689</v>
      </c>
      <c r="M26" s="81">
        <v>3.0</v>
      </c>
      <c r="N26" s="81" t="s">
        <v>689</v>
      </c>
      <c r="O26" s="82">
        <v>100.0</v>
      </c>
      <c r="P26" s="82">
        <v>98.816568</v>
      </c>
      <c r="Q26" s="82">
        <f t="shared" si="19"/>
        <v>1.183432</v>
      </c>
      <c r="R26" s="78">
        <f t="shared" si="21"/>
        <v>2.875</v>
      </c>
      <c r="S26" s="83">
        <f t="shared" si="22"/>
        <v>1704.465929</v>
      </c>
      <c r="T26" s="84" t="s">
        <v>713</v>
      </c>
      <c r="U26" s="78">
        <v>1.05</v>
      </c>
      <c r="V26" s="85">
        <v>1.15</v>
      </c>
      <c r="W26" s="83">
        <f>17149/14470</f>
        <v>1.185141672</v>
      </c>
      <c r="X26" s="83">
        <f t="shared" si="23"/>
        <v>1.035132078</v>
      </c>
      <c r="Y26" s="83">
        <f t="shared" si="24"/>
        <v>0.3393970667</v>
      </c>
    </row>
    <row r="27" ht="26.25" customHeight="1">
      <c r="A27" s="85"/>
      <c r="B27" s="85" t="s">
        <v>709</v>
      </c>
      <c r="C27" s="74" t="s">
        <v>710</v>
      </c>
      <c r="D27" s="75">
        <v>2862.0</v>
      </c>
      <c r="E27" s="75" t="s">
        <v>718</v>
      </c>
      <c r="F27" s="75" t="s">
        <v>719</v>
      </c>
      <c r="G27" s="77" t="s">
        <v>689</v>
      </c>
      <c r="H27" s="77">
        <v>27908.0</v>
      </c>
      <c r="I27" s="77">
        <v>4.0</v>
      </c>
      <c r="J27" s="78">
        <f t="shared" si="20"/>
        <v>2.875</v>
      </c>
      <c r="K27" s="79">
        <f t="shared" si="2"/>
        <v>2009.757854</v>
      </c>
      <c r="L27" s="80" t="s">
        <v>689</v>
      </c>
      <c r="M27" s="81">
        <v>4.0</v>
      </c>
      <c r="N27" s="81" t="s">
        <v>689</v>
      </c>
      <c r="O27" s="82">
        <v>100.0</v>
      </c>
      <c r="P27" s="82">
        <v>98.106509</v>
      </c>
      <c r="Q27" s="82">
        <f t="shared" si="19"/>
        <v>1.893491</v>
      </c>
      <c r="R27" s="78">
        <f t="shared" si="21"/>
        <v>2.875</v>
      </c>
      <c r="S27" s="83">
        <f t="shared" si="22"/>
        <v>2045.358898</v>
      </c>
      <c r="T27" s="84" t="s">
        <v>713</v>
      </c>
      <c r="U27" s="78">
        <v>1.05</v>
      </c>
      <c r="V27" s="85">
        <v>1.15</v>
      </c>
      <c r="W27" s="83">
        <f>27908/26794</f>
        <v>1.041576472</v>
      </c>
      <c r="X27" s="83">
        <f t="shared" si="23"/>
        <v>1.017714096</v>
      </c>
      <c r="Y27" s="83">
        <f t="shared" si="24"/>
        <v>0.2784922833</v>
      </c>
    </row>
    <row r="28" ht="26.25" customHeight="1">
      <c r="A28" s="72"/>
      <c r="B28" s="73" t="s">
        <v>709</v>
      </c>
      <c r="C28" s="87" t="s">
        <v>720</v>
      </c>
      <c r="D28" s="75">
        <v>3508.0</v>
      </c>
      <c r="E28" s="75" t="s">
        <v>721</v>
      </c>
      <c r="F28" s="76"/>
      <c r="G28" s="77" t="s">
        <v>658</v>
      </c>
      <c r="H28" s="77">
        <v>3508.0</v>
      </c>
      <c r="I28" s="77">
        <v>1.0</v>
      </c>
      <c r="J28" s="78">
        <f>IFS(G28="S",21494/2048*1.25,G28="C",1.25*2*1.22,OR(G28="R",G28="T"),1.25*1.22)</f>
        <v>13.11889648</v>
      </c>
      <c r="K28" s="79">
        <f t="shared" si="2"/>
        <v>211.3838258</v>
      </c>
      <c r="L28" s="80" t="s">
        <v>658</v>
      </c>
      <c r="M28" s="81">
        <v>5.0</v>
      </c>
      <c r="N28" s="81" t="s">
        <v>689</v>
      </c>
      <c r="O28" s="82">
        <v>90.023753</v>
      </c>
      <c r="P28" s="82">
        <v>83.016627</v>
      </c>
      <c r="Q28" s="82">
        <f t="shared" si="19"/>
        <v>7.007126</v>
      </c>
      <c r="R28" s="78">
        <f>IFS(L28="S",21494/2048*1.25)</f>
        <v>13.11889648</v>
      </c>
      <c r="S28" s="83">
        <f>IFS(N28="B",Q28/M28/100*249945/R28/V28/U28
*W28,N28="C",Q28/M28/100*249945/R28/V28/U28
)</f>
        <v>211.070017</v>
      </c>
      <c r="T28" s="84" t="s">
        <v>660</v>
      </c>
      <c r="U28" s="78">
        <v>1.1</v>
      </c>
      <c r="V28" s="85">
        <v>1.15</v>
      </c>
      <c r="W28" s="83">
        <f>3508/2195</f>
        <v>1.598177677</v>
      </c>
      <c r="X28" s="83">
        <f t="shared" si="23"/>
        <v>0.998515455</v>
      </c>
      <c r="Y28" s="83">
        <f>(S28-K28)*M28*U28*V28*J28/(249945/845)</f>
        <v>-0.08803091404</v>
      </c>
    </row>
    <row r="29" ht="26.25" customHeight="1">
      <c r="A29" s="73"/>
      <c r="B29" s="73" t="s">
        <v>709</v>
      </c>
      <c r="C29" s="74" t="s">
        <v>676</v>
      </c>
      <c r="D29" s="75">
        <v>5861.0</v>
      </c>
      <c r="E29" s="75" t="s">
        <v>722</v>
      </c>
      <c r="F29" s="76" t="s">
        <v>723</v>
      </c>
      <c r="G29" s="77" t="s">
        <v>689</v>
      </c>
      <c r="H29" s="77">
        <v>62027.0</v>
      </c>
      <c r="I29" s="77">
        <v>10.0</v>
      </c>
      <c r="J29" s="78">
        <f t="shared" ref="J29:J33" si="25">1.25*2*1.15*1.17</f>
        <v>3.36375</v>
      </c>
      <c r="K29" s="79">
        <f t="shared" si="2"/>
        <v>1596.52264</v>
      </c>
      <c r="L29" s="80" t="s">
        <v>689</v>
      </c>
      <c r="M29" s="81">
        <v>10.0</v>
      </c>
      <c r="N29" s="81" t="s">
        <v>689</v>
      </c>
      <c r="O29" s="82">
        <v>100.0</v>
      </c>
      <c r="P29" s="82">
        <v>95.502959</v>
      </c>
      <c r="Q29" s="82">
        <f t="shared" si="19"/>
        <v>4.497041</v>
      </c>
      <c r="R29" s="78">
        <f t="shared" ref="R29:R33" si="26">1.25*2*1.15*1.17</f>
        <v>3.36375</v>
      </c>
      <c r="S29" s="83">
        <f t="shared" ref="S29:S33" si="27">Q29/M29/100*1500000/R29/V29/U29
</f>
        <v>1736.250609</v>
      </c>
      <c r="T29" s="84" t="s">
        <v>713</v>
      </c>
      <c r="U29" s="78">
        <v>1.05</v>
      </c>
      <c r="V29" s="85">
        <v>1.1</v>
      </c>
      <c r="W29" s="83">
        <f>62027/46990</f>
        <v>1.320004256</v>
      </c>
      <c r="X29" s="83">
        <f t="shared" si="23"/>
        <v>1.087520193</v>
      </c>
      <c r="Y29" s="83">
        <f t="shared" ref="Y29:Y33" si="28">(S29-K29)*M29*U29*V29*J29/(1500000/845)</f>
        <v>3.058119783</v>
      </c>
    </row>
    <row r="30" ht="26.25" customHeight="1">
      <c r="A30" s="73"/>
      <c r="B30" s="73" t="s">
        <v>709</v>
      </c>
      <c r="C30" s="74" t="s">
        <v>676</v>
      </c>
      <c r="D30" s="75">
        <v>2638.0</v>
      </c>
      <c r="E30" s="75" t="s">
        <v>724</v>
      </c>
      <c r="F30" s="76" t="s">
        <v>725</v>
      </c>
      <c r="G30" s="77" t="s">
        <v>689</v>
      </c>
      <c r="H30" s="77">
        <v>58620.0</v>
      </c>
      <c r="I30" s="77">
        <v>10.0</v>
      </c>
      <c r="J30" s="78">
        <f t="shared" si="25"/>
        <v>3.36375</v>
      </c>
      <c r="K30" s="79">
        <f t="shared" si="2"/>
        <v>1508.829335</v>
      </c>
      <c r="L30" s="80" t="s">
        <v>689</v>
      </c>
      <c r="M30" s="81">
        <v>10.0</v>
      </c>
      <c r="N30" s="81" t="s">
        <v>689</v>
      </c>
      <c r="O30" s="82">
        <v>100.0</v>
      </c>
      <c r="P30" s="82">
        <v>96.094675</v>
      </c>
      <c r="Q30" s="82">
        <f t="shared" si="19"/>
        <v>3.905325</v>
      </c>
      <c r="R30" s="78">
        <f t="shared" si="26"/>
        <v>3.36375</v>
      </c>
      <c r="S30" s="83">
        <f t="shared" si="27"/>
        <v>1507.796551</v>
      </c>
      <c r="T30" s="84" t="s">
        <v>713</v>
      </c>
      <c r="U30" s="78">
        <v>1.05</v>
      </c>
      <c r="V30" s="85">
        <v>1.1</v>
      </c>
      <c r="W30" s="83">
        <f>58620/51880</f>
        <v>1.129915189</v>
      </c>
      <c r="X30" s="83">
        <f t="shared" si="23"/>
        <v>0.9993155067</v>
      </c>
      <c r="Y30" s="83">
        <f t="shared" si="28"/>
        <v>-0.02260375</v>
      </c>
    </row>
    <row r="31" ht="26.25" customHeight="1">
      <c r="A31" s="73"/>
      <c r="B31" s="73" t="s">
        <v>709</v>
      </c>
      <c r="C31" s="74" t="s">
        <v>676</v>
      </c>
      <c r="D31" s="75">
        <v>6447.0</v>
      </c>
      <c r="E31" s="75" t="s">
        <v>726</v>
      </c>
      <c r="F31" s="76" t="s">
        <v>727</v>
      </c>
      <c r="G31" s="77" t="s">
        <v>689</v>
      </c>
      <c r="H31" s="77">
        <v>64470.0</v>
      </c>
      <c r="I31" s="77">
        <v>10.0</v>
      </c>
      <c r="J31" s="78">
        <f t="shared" si="25"/>
        <v>3.36375</v>
      </c>
      <c r="K31" s="79">
        <f t="shared" si="2"/>
        <v>1659.403399</v>
      </c>
      <c r="L31" s="80" t="s">
        <v>689</v>
      </c>
      <c r="M31" s="81">
        <v>10.0</v>
      </c>
      <c r="N31" s="81" t="s">
        <v>689</v>
      </c>
      <c r="O31" s="82">
        <v>100.0</v>
      </c>
      <c r="P31" s="82">
        <v>95.739645</v>
      </c>
      <c r="Q31" s="82">
        <f t="shared" si="19"/>
        <v>4.260355</v>
      </c>
      <c r="R31" s="78">
        <f t="shared" si="26"/>
        <v>3.36375</v>
      </c>
      <c r="S31" s="83">
        <f t="shared" si="27"/>
        <v>1644.869141</v>
      </c>
      <c r="T31" s="84" t="s">
        <v>713</v>
      </c>
      <c r="U31" s="78">
        <v>1.05</v>
      </c>
      <c r="V31" s="85">
        <v>1.1</v>
      </c>
      <c r="W31" s="83">
        <f>64470/48000</f>
        <v>1.343125</v>
      </c>
      <c r="X31" s="83">
        <f t="shared" si="23"/>
        <v>0.991241275</v>
      </c>
      <c r="Y31" s="83">
        <f t="shared" si="28"/>
        <v>-0.31810025</v>
      </c>
    </row>
    <row r="32" ht="26.25" customHeight="1">
      <c r="A32" s="73"/>
      <c r="B32" s="73" t="s">
        <v>709</v>
      </c>
      <c r="C32" s="74" t="s">
        <v>676</v>
      </c>
      <c r="D32" s="75">
        <v>5861.0</v>
      </c>
      <c r="E32" s="75" t="s">
        <v>728</v>
      </c>
      <c r="F32" s="76" t="s">
        <v>729</v>
      </c>
      <c r="G32" s="77" t="s">
        <v>689</v>
      </c>
      <c r="H32" s="77">
        <v>64725.0</v>
      </c>
      <c r="I32" s="77">
        <v>10.0</v>
      </c>
      <c r="J32" s="78">
        <f t="shared" si="25"/>
        <v>3.36375</v>
      </c>
      <c r="K32" s="79">
        <f t="shared" si="2"/>
        <v>1665.966883</v>
      </c>
      <c r="L32" s="80" t="s">
        <v>689</v>
      </c>
      <c r="M32" s="81">
        <v>10.0</v>
      </c>
      <c r="N32" s="81" t="s">
        <v>689</v>
      </c>
      <c r="O32" s="82">
        <v>100.0</v>
      </c>
      <c r="P32" s="82">
        <v>95.621302</v>
      </c>
      <c r="Q32" s="82">
        <f t="shared" si="19"/>
        <v>4.378698</v>
      </c>
      <c r="R32" s="78">
        <f t="shared" si="26"/>
        <v>3.36375</v>
      </c>
      <c r="S32" s="83">
        <f t="shared" si="27"/>
        <v>1690.559875</v>
      </c>
      <c r="T32" s="84" t="s">
        <v>713</v>
      </c>
      <c r="U32" s="78">
        <v>1.05</v>
      </c>
      <c r="V32" s="85">
        <v>1.1</v>
      </c>
      <c r="W32" s="83">
        <f>64725/49755</f>
        <v>1.300874284</v>
      </c>
      <c r="X32" s="83">
        <f t="shared" si="23"/>
        <v>1.014761993</v>
      </c>
      <c r="Y32" s="83">
        <f t="shared" si="28"/>
        <v>0.5382481</v>
      </c>
    </row>
    <row r="33" ht="26.25" customHeight="1">
      <c r="A33" s="73"/>
      <c r="B33" s="73" t="s">
        <v>709</v>
      </c>
      <c r="C33" s="74" t="s">
        <v>676</v>
      </c>
      <c r="D33" s="75">
        <v>5861.0</v>
      </c>
      <c r="E33" s="75" t="s">
        <v>730</v>
      </c>
      <c r="F33" s="76" t="s">
        <v>731</v>
      </c>
      <c r="G33" s="77" t="s">
        <v>689</v>
      </c>
      <c r="H33" s="77">
        <v>59170.0</v>
      </c>
      <c r="I33" s="77">
        <v>10.0</v>
      </c>
      <c r="J33" s="78">
        <f t="shared" si="25"/>
        <v>3.36375</v>
      </c>
      <c r="K33" s="79">
        <f t="shared" si="2"/>
        <v>1522.985871</v>
      </c>
      <c r="L33" s="80" t="s">
        <v>689</v>
      </c>
      <c r="M33" s="81">
        <v>10.0</v>
      </c>
      <c r="N33" s="81" t="s">
        <v>689</v>
      </c>
      <c r="O33" s="82">
        <v>100.0</v>
      </c>
      <c r="P33" s="82">
        <v>96.094675</v>
      </c>
      <c r="Q33" s="82">
        <f t="shared" si="19"/>
        <v>3.905325</v>
      </c>
      <c r="R33" s="78">
        <f t="shared" si="26"/>
        <v>3.36375</v>
      </c>
      <c r="S33" s="83">
        <f t="shared" si="27"/>
        <v>1507.796551</v>
      </c>
      <c r="T33" s="84" t="s">
        <v>713</v>
      </c>
      <c r="U33" s="78">
        <v>1.05</v>
      </c>
      <c r="V33" s="85">
        <v>1.1</v>
      </c>
      <c r="W33" s="83">
        <f>59170/44200</f>
        <v>1.338687783</v>
      </c>
      <c r="X33" s="83">
        <f t="shared" si="23"/>
        <v>0.9900266182</v>
      </c>
      <c r="Y33" s="83">
        <f t="shared" si="28"/>
        <v>-0.3324370833</v>
      </c>
    </row>
    <row r="34" ht="26.25" customHeight="1">
      <c r="A34" s="72"/>
      <c r="B34" s="73" t="s">
        <v>709</v>
      </c>
      <c r="C34" s="74" t="s">
        <v>732</v>
      </c>
      <c r="D34" s="75">
        <v>3977.0</v>
      </c>
      <c r="E34" s="75" t="s">
        <v>733</v>
      </c>
      <c r="F34" s="76"/>
      <c r="G34" s="77" t="s">
        <v>658</v>
      </c>
      <c r="H34" s="77">
        <v>3977.0</v>
      </c>
      <c r="I34" s="77">
        <v>1.0</v>
      </c>
      <c r="J34" s="78">
        <f t="shared" ref="J34:J59" si="29">IFS(G34="S",21494/2048*1.25,G34="C",1.25*2*1.22,OR(G34="R",G34="T"),1.25*1.22)</f>
        <v>13.11889648</v>
      </c>
      <c r="K34" s="79">
        <f t="shared" si="2"/>
        <v>255.1771867</v>
      </c>
      <c r="L34" s="80" t="s">
        <v>658</v>
      </c>
      <c r="M34" s="81">
        <v>2.0</v>
      </c>
      <c r="N34" s="81" t="s">
        <v>689</v>
      </c>
      <c r="O34" s="82">
        <v>90.023753</v>
      </c>
      <c r="P34" s="82">
        <v>86.817102</v>
      </c>
      <c r="Q34" s="82">
        <f t="shared" si="19"/>
        <v>3.206651</v>
      </c>
      <c r="R34" s="78">
        <f t="shared" ref="R34:R48" si="30">IFS(L34="S",21494/2048*1.25)</f>
        <v>13.11889648</v>
      </c>
      <c r="S34" s="83">
        <f t="shared" ref="S34:S48" si="31">IFS(N34="B",Q34/M34/100*249945/R34/V34/U34
*W34,N34="C",Q34/M34/100*249945/R34/V34/U34
)</f>
        <v>257.1297972</v>
      </c>
      <c r="T34" s="84" t="s">
        <v>660</v>
      </c>
      <c r="U34" s="78">
        <v>1.08</v>
      </c>
      <c r="V34" s="85">
        <v>1.1</v>
      </c>
      <c r="W34" s="83">
        <f>3977/3050</f>
        <v>1.303934426</v>
      </c>
      <c r="X34" s="83">
        <f t="shared" si="23"/>
        <v>1.007651979</v>
      </c>
      <c r="Y34" s="83">
        <f t="shared" ref="Y34:Y48" si="32">(S34-K34)*M34*U34*V34*J34/(249945/845)</f>
        <v>0.2057650541</v>
      </c>
    </row>
    <row r="35" ht="26.25" customHeight="1">
      <c r="A35" s="72"/>
      <c r="B35" s="73" t="s">
        <v>709</v>
      </c>
      <c r="C35" s="74" t="s">
        <v>734</v>
      </c>
      <c r="D35" s="75">
        <v>2898.0</v>
      </c>
      <c r="E35" s="75" t="s">
        <v>735</v>
      </c>
      <c r="F35" s="75" t="s">
        <v>736</v>
      </c>
      <c r="G35" s="77" t="s">
        <v>689</v>
      </c>
      <c r="H35" s="77">
        <v>6580.0</v>
      </c>
      <c r="I35" s="77">
        <v>5.0</v>
      </c>
      <c r="J35" s="78">
        <f t="shared" si="29"/>
        <v>3.05</v>
      </c>
      <c r="K35" s="79">
        <f t="shared" si="2"/>
        <v>375.1960086</v>
      </c>
      <c r="L35" s="80" t="s">
        <v>658</v>
      </c>
      <c r="M35" s="81">
        <v>5.0</v>
      </c>
      <c r="N35" s="81" t="s">
        <v>689</v>
      </c>
      <c r="O35" s="82">
        <v>90.023753</v>
      </c>
      <c r="P35" s="82">
        <v>78.384798</v>
      </c>
      <c r="Q35" s="82">
        <f t="shared" si="19"/>
        <v>11.638955</v>
      </c>
      <c r="R35" s="78">
        <f t="shared" si="30"/>
        <v>13.11889648</v>
      </c>
      <c r="S35" s="83">
        <f t="shared" si="31"/>
        <v>385.6499616</v>
      </c>
      <c r="T35" s="84" t="s">
        <v>660</v>
      </c>
      <c r="U35" s="86">
        <v>1.0</v>
      </c>
      <c r="V35" s="85">
        <v>1.15</v>
      </c>
      <c r="W35" s="83">
        <f>6580/5320</f>
        <v>1.236842105</v>
      </c>
      <c r="X35" s="83">
        <f t="shared" si="23"/>
        <v>1.027862645</v>
      </c>
      <c r="Y35" s="83">
        <f t="shared" si="32"/>
        <v>0.6198127228</v>
      </c>
    </row>
    <row r="36" ht="26.25" customHeight="1">
      <c r="A36" s="72"/>
      <c r="B36" s="73" t="s">
        <v>709</v>
      </c>
      <c r="C36" s="87" t="s">
        <v>737</v>
      </c>
      <c r="D36" s="75">
        <v>16620.0</v>
      </c>
      <c r="E36" s="75" t="s">
        <v>738</v>
      </c>
      <c r="F36" s="88"/>
      <c r="G36" s="77" t="s">
        <v>658</v>
      </c>
      <c r="H36" s="77">
        <f>16620+12262+984</f>
        <v>29866</v>
      </c>
      <c r="I36" s="77">
        <v>1.0</v>
      </c>
      <c r="J36" s="78">
        <f t="shared" si="29"/>
        <v>13.11889648</v>
      </c>
      <c r="K36" s="79">
        <f t="shared" si="2"/>
        <v>2069.60312</v>
      </c>
      <c r="L36" s="80" t="s">
        <v>658</v>
      </c>
      <c r="M36" s="81">
        <v>3.0</v>
      </c>
      <c r="N36" s="81" t="s">
        <v>689</v>
      </c>
      <c r="O36" s="82">
        <v>90.023753</v>
      </c>
      <c r="P36" s="82">
        <v>54.15677</v>
      </c>
      <c r="Q36" s="82">
        <f t="shared" si="19"/>
        <v>35.866983</v>
      </c>
      <c r="R36" s="78">
        <f t="shared" si="30"/>
        <v>13.11889648</v>
      </c>
      <c r="S36" s="83">
        <f t="shared" si="31"/>
        <v>2070.751836</v>
      </c>
      <c r="T36" s="84" t="s">
        <v>739</v>
      </c>
      <c r="U36" s="86">
        <v>1.0</v>
      </c>
      <c r="V36" s="73">
        <v>1.1</v>
      </c>
      <c r="W36" s="79">
        <f>(16620+12262+984)/(7674+16620+984)</f>
        <v>1.181501701</v>
      </c>
      <c r="X36" s="83">
        <f t="shared" si="23"/>
        <v>1.000555042</v>
      </c>
      <c r="Y36" s="83">
        <f t="shared" si="32"/>
        <v>0.1681266165</v>
      </c>
    </row>
    <row r="37" ht="26.25" customHeight="1">
      <c r="A37" s="72"/>
      <c r="B37" s="73" t="s">
        <v>709</v>
      </c>
      <c r="C37" s="74" t="s">
        <v>740</v>
      </c>
      <c r="D37" s="75">
        <v>2997.0</v>
      </c>
      <c r="E37" s="75" t="s">
        <v>741</v>
      </c>
      <c r="F37" s="76"/>
      <c r="G37" s="77" t="s">
        <v>658</v>
      </c>
      <c r="H37" s="77">
        <v>2997.0</v>
      </c>
      <c r="I37" s="77">
        <v>1.0</v>
      </c>
      <c r="J37" s="78">
        <f t="shared" si="29"/>
        <v>13.11889648</v>
      </c>
      <c r="K37" s="79">
        <f t="shared" si="2"/>
        <v>198.651385</v>
      </c>
      <c r="L37" s="80" t="s">
        <v>658</v>
      </c>
      <c r="M37" s="81">
        <v>5.0</v>
      </c>
      <c r="N37" s="81" t="s">
        <v>689</v>
      </c>
      <c r="O37" s="82">
        <v>90.023753</v>
      </c>
      <c r="P37" s="82">
        <v>83.966746</v>
      </c>
      <c r="Q37" s="82">
        <f t="shared" si="19"/>
        <v>6.057007</v>
      </c>
      <c r="R37" s="78">
        <f t="shared" si="30"/>
        <v>13.11889648</v>
      </c>
      <c r="S37" s="83">
        <f t="shared" si="31"/>
        <v>200.6953818</v>
      </c>
      <c r="T37" s="84" t="s">
        <v>660</v>
      </c>
      <c r="U37" s="86">
        <v>1.0</v>
      </c>
      <c r="V37" s="85">
        <v>1.15</v>
      </c>
      <c r="W37" s="83">
        <f>2997/1876</f>
        <v>1.597547974</v>
      </c>
      <c r="X37" s="83">
        <f t="shared" si="23"/>
        <v>1.010289366</v>
      </c>
      <c r="Y37" s="83">
        <f t="shared" si="32"/>
        <v>0.521263852</v>
      </c>
    </row>
    <row r="38" ht="26.25" customHeight="1">
      <c r="A38" s="72"/>
      <c r="B38" s="73" t="s">
        <v>709</v>
      </c>
      <c r="C38" s="74" t="s">
        <v>684</v>
      </c>
      <c r="D38" s="75">
        <v>3071.0</v>
      </c>
      <c r="E38" s="75" t="s">
        <v>742</v>
      </c>
      <c r="F38" s="76"/>
      <c r="G38" s="77" t="s">
        <v>658</v>
      </c>
      <c r="H38" s="77">
        <v>3071.0</v>
      </c>
      <c r="I38" s="77">
        <v>1.0</v>
      </c>
      <c r="J38" s="78">
        <f t="shared" si="29"/>
        <v>13.11889648</v>
      </c>
      <c r="K38" s="79">
        <f t="shared" si="2"/>
        <v>203.5563575</v>
      </c>
      <c r="L38" s="80" t="s">
        <v>658</v>
      </c>
      <c r="M38" s="81">
        <v>5.0</v>
      </c>
      <c r="N38" s="81" t="s">
        <v>689</v>
      </c>
      <c r="O38" s="82">
        <v>90.023753</v>
      </c>
      <c r="P38" s="82">
        <v>83.847981</v>
      </c>
      <c r="Q38" s="82">
        <f t="shared" si="19"/>
        <v>6.175772</v>
      </c>
      <c r="R38" s="78">
        <f t="shared" si="30"/>
        <v>13.11889648</v>
      </c>
      <c r="S38" s="83">
        <f t="shared" si="31"/>
        <v>204.6305905</v>
      </c>
      <c r="T38" s="84" t="s">
        <v>660</v>
      </c>
      <c r="U38" s="86">
        <v>1.0</v>
      </c>
      <c r="V38" s="85">
        <v>1.15</v>
      </c>
      <c r="W38" s="83">
        <f>3071/2356</f>
        <v>1.303480475</v>
      </c>
      <c r="X38" s="83">
        <f t="shared" si="23"/>
        <v>1.005277325</v>
      </c>
      <c r="Y38" s="83">
        <f t="shared" si="32"/>
        <v>0.2739529095</v>
      </c>
    </row>
    <row r="39" ht="26.25" customHeight="1">
      <c r="A39" s="72"/>
      <c r="B39" s="73" t="s">
        <v>709</v>
      </c>
      <c r="C39" s="87" t="s">
        <v>743</v>
      </c>
      <c r="D39" s="75">
        <v>4076.0</v>
      </c>
      <c r="E39" s="76" t="s">
        <v>744</v>
      </c>
      <c r="F39" s="76" t="s">
        <v>745</v>
      </c>
      <c r="G39" s="77" t="s">
        <v>658</v>
      </c>
      <c r="H39" s="77">
        <f>188*3+2997+4076</f>
        <v>7637</v>
      </c>
      <c r="I39" s="77">
        <v>2.0</v>
      </c>
      <c r="J39" s="78">
        <f t="shared" si="29"/>
        <v>13.11889648</v>
      </c>
      <c r="K39" s="79">
        <f t="shared" si="2"/>
        <v>253.1032078</v>
      </c>
      <c r="L39" s="80" t="s">
        <v>658</v>
      </c>
      <c r="M39" s="81">
        <v>2.0</v>
      </c>
      <c r="N39" s="81" t="s">
        <v>689</v>
      </c>
      <c r="O39" s="82">
        <v>90.023753</v>
      </c>
      <c r="P39" s="82">
        <v>86.935867</v>
      </c>
      <c r="Q39" s="82">
        <f t="shared" si="19"/>
        <v>3.087886</v>
      </c>
      <c r="R39" s="78">
        <f t="shared" si="30"/>
        <v>13.11889648</v>
      </c>
      <c r="S39" s="83">
        <f t="shared" si="31"/>
        <v>255.7882382</v>
      </c>
      <c r="T39" s="84" t="s">
        <v>660</v>
      </c>
      <c r="U39" s="86">
        <v>1.0</v>
      </c>
      <c r="V39" s="85">
        <v>1.15</v>
      </c>
      <c r="W39" s="83">
        <f t="shared" ref="W39:W40" si="33">5616/3374</f>
        <v>1.664493183</v>
      </c>
      <c r="X39" s="83">
        <f t="shared" si="23"/>
        <v>1.010608441</v>
      </c>
      <c r="Y39" s="83">
        <f t="shared" si="32"/>
        <v>0.2738965772</v>
      </c>
    </row>
    <row r="40" ht="26.25" customHeight="1">
      <c r="A40" s="72"/>
      <c r="B40" s="73" t="s">
        <v>709</v>
      </c>
      <c r="C40" s="87" t="s">
        <v>743</v>
      </c>
      <c r="D40" s="75">
        <v>4076.0</v>
      </c>
      <c r="E40" s="75" t="s">
        <v>746</v>
      </c>
      <c r="F40" s="76" t="s">
        <v>747</v>
      </c>
      <c r="G40" s="77" t="s">
        <v>658</v>
      </c>
      <c r="H40" s="77">
        <f>341*3+5616+4076</f>
        <v>10715</v>
      </c>
      <c r="I40" s="77">
        <v>2.0</v>
      </c>
      <c r="J40" s="78">
        <f t="shared" si="29"/>
        <v>13.11889648</v>
      </c>
      <c r="K40" s="79">
        <f t="shared" si="2"/>
        <v>355.1133785</v>
      </c>
      <c r="L40" s="80" t="s">
        <v>658</v>
      </c>
      <c r="M40" s="81">
        <v>2.0</v>
      </c>
      <c r="N40" s="81" t="s">
        <v>689</v>
      </c>
      <c r="O40" s="82">
        <v>69.35867</v>
      </c>
      <c r="P40" s="82">
        <v>64.964371</v>
      </c>
      <c r="Q40" s="82">
        <f t="shared" si="19"/>
        <v>4.394299</v>
      </c>
      <c r="R40" s="78">
        <f t="shared" si="30"/>
        <v>13.11889648</v>
      </c>
      <c r="S40" s="83">
        <f t="shared" si="31"/>
        <v>364.0063135</v>
      </c>
      <c r="T40" s="84" t="s">
        <v>660</v>
      </c>
      <c r="U40" s="86">
        <v>1.0</v>
      </c>
      <c r="V40" s="85">
        <v>1.15</v>
      </c>
      <c r="W40" s="83">
        <f t="shared" si="33"/>
        <v>1.664493183</v>
      </c>
      <c r="X40" s="83">
        <f t="shared" si="23"/>
        <v>1.025042523</v>
      </c>
      <c r="Y40" s="83">
        <f t="shared" si="32"/>
        <v>0.9071571227</v>
      </c>
    </row>
    <row r="41" ht="26.25" customHeight="1">
      <c r="A41" s="72"/>
      <c r="B41" s="73" t="s">
        <v>709</v>
      </c>
      <c r="C41" s="87" t="s">
        <v>748</v>
      </c>
      <c r="D41" s="75">
        <v>1044.0</v>
      </c>
      <c r="E41" s="75" t="s">
        <v>749</v>
      </c>
      <c r="F41" s="76"/>
      <c r="G41" s="77" t="s">
        <v>658</v>
      </c>
      <c r="H41" s="77">
        <f>1044*3</f>
        <v>3132</v>
      </c>
      <c r="I41" s="77">
        <v>1.0</v>
      </c>
      <c r="J41" s="78">
        <f t="shared" si="29"/>
        <v>13.11889648</v>
      </c>
      <c r="K41" s="79">
        <f t="shared" si="2"/>
        <v>207.5996456</v>
      </c>
      <c r="L41" s="80" t="s">
        <v>658</v>
      </c>
      <c r="M41" s="81">
        <v>5.0</v>
      </c>
      <c r="N41" s="81" t="s">
        <v>689</v>
      </c>
      <c r="O41" s="82">
        <v>90.023753</v>
      </c>
      <c r="P41" s="82">
        <v>83.729216</v>
      </c>
      <c r="Q41" s="82">
        <f t="shared" si="19"/>
        <v>6.294537</v>
      </c>
      <c r="R41" s="78">
        <f t="shared" si="30"/>
        <v>13.11889648</v>
      </c>
      <c r="S41" s="83">
        <f t="shared" si="31"/>
        <v>208.5657993</v>
      </c>
      <c r="T41" s="84" t="s">
        <v>660</v>
      </c>
      <c r="U41" s="86">
        <v>1.0</v>
      </c>
      <c r="V41" s="85">
        <v>1.15</v>
      </c>
      <c r="W41" s="83">
        <f>1044/801</f>
        <v>1.303370787</v>
      </c>
      <c r="X41" s="83">
        <f t="shared" si="23"/>
        <v>1.004653928</v>
      </c>
      <c r="Y41" s="83">
        <f t="shared" si="32"/>
        <v>0.2463903116</v>
      </c>
    </row>
    <row r="42" ht="26.25" customHeight="1">
      <c r="A42" s="72"/>
      <c r="B42" s="73" t="s">
        <v>709</v>
      </c>
      <c r="C42" s="87" t="s">
        <v>750</v>
      </c>
      <c r="D42" s="75">
        <v>2997.0</v>
      </c>
      <c r="E42" s="75" t="s">
        <v>741</v>
      </c>
      <c r="F42" s="76"/>
      <c r="G42" s="77" t="s">
        <v>658</v>
      </c>
      <c r="H42" s="77">
        <v>2997.0</v>
      </c>
      <c r="I42" s="77">
        <v>1.0</v>
      </c>
      <c r="J42" s="78">
        <f t="shared" si="29"/>
        <v>13.11889648</v>
      </c>
      <c r="K42" s="79">
        <f t="shared" si="2"/>
        <v>198.651385</v>
      </c>
      <c r="L42" s="80" t="s">
        <v>658</v>
      </c>
      <c r="M42" s="81">
        <v>6.0</v>
      </c>
      <c r="N42" s="81" t="s">
        <v>689</v>
      </c>
      <c r="O42" s="82">
        <v>90.023753</v>
      </c>
      <c r="P42" s="82">
        <v>82.779097</v>
      </c>
      <c r="Q42" s="82">
        <f t="shared" si="19"/>
        <v>7.244656</v>
      </c>
      <c r="R42" s="78">
        <f t="shared" si="30"/>
        <v>13.11889648</v>
      </c>
      <c r="S42" s="83">
        <f t="shared" si="31"/>
        <v>200.0395302</v>
      </c>
      <c r="T42" s="84" t="s">
        <v>660</v>
      </c>
      <c r="U42" s="86">
        <v>1.0</v>
      </c>
      <c r="V42" s="85">
        <v>1.15</v>
      </c>
      <c r="W42" s="83">
        <f>2997/1876</f>
        <v>1.597547974</v>
      </c>
      <c r="X42" s="83">
        <f t="shared" si="23"/>
        <v>1.006987846</v>
      </c>
      <c r="Y42" s="83">
        <f t="shared" si="32"/>
        <v>0.4248088424</v>
      </c>
    </row>
    <row r="43" ht="26.25" customHeight="1">
      <c r="A43" s="72"/>
      <c r="B43" s="73" t="s">
        <v>709</v>
      </c>
      <c r="C43" s="87" t="s">
        <v>751</v>
      </c>
      <c r="D43" s="75">
        <v>2688.0</v>
      </c>
      <c r="E43" s="75" t="s">
        <v>752</v>
      </c>
      <c r="F43" s="76"/>
      <c r="G43" s="77" t="s">
        <v>658</v>
      </c>
      <c r="H43" s="77">
        <f>2688+2413*2</f>
        <v>7514</v>
      </c>
      <c r="I43" s="77">
        <v>1.0</v>
      </c>
      <c r="J43" s="78">
        <f t="shared" si="29"/>
        <v>13.11889648</v>
      </c>
      <c r="K43" s="79">
        <f t="shared" si="2"/>
        <v>498.0535559</v>
      </c>
      <c r="L43" s="80" t="s">
        <v>658</v>
      </c>
      <c r="M43" s="81">
        <v>1.0</v>
      </c>
      <c r="N43" s="81" t="s">
        <v>689</v>
      </c>
      <c r="O43" s="82">
        <v>90.023753</v>
      </c>
      <c r="P43" s="82">
        <v>87.054632</v>
      </c>
      <c r="Q43" s="82">
        <f t="shared" si="19"/>
        <v>2.969121</v>
      </c>
      <c r="R43" s="78">
        <f t="shared" si="30"/>
        <v>13.11889648</v>
      </c>
      <c r="S43" s="83">
        <f t="shared" si="31"/>
        <v>491.9004325</v>
      </c>
      <c r="T43" s="84" t="s">
        <v>660</v>
      </c>
      <c r="U43" s="86">
        <v>1.0</v>
      </c>
      <c r="V43" s="85">
        <v>1.15</v>
      </c>
      <c r="W43" s="83">
        <f>2688/1498</f>
        <v>1.794392523</v>
      </c>
      <c r="X43" s="83">
        <f t="shared" si="23"/>
        <v>0.9876456592</v>
      </c>
      <c r="Y43" s="83">
        <f t="shared" si="32"/>
        <v>-0.3138361899</v>
      </c>
    </row>
    <row r="44" ht="26.25" customHeight="1">
      <c r="A44" s="72"/>
      <c r="B44" s="73" t="s">
        <v>709</v>
      </c>
      <c r="C44" s="87" t="s">
        <v>753</v>
      </c>
      <c r="D44" s="75">
        <v>3376.0</v>
      </c>
      <c r="E44" s="75" t="s">
        <v>754</v>
      </c>
      <c r="F44" s="76"/>
      <c r="G44" s="77" t="s">
        <v>658</v>
      </c>
      <c r="H44" s="77">
        <v>3376.0</v>
      </c>
      <c r="I44" s="77">
        <v>1.0</v>
      </c>
      <c r="J44" s="78">
        <f t="shared" si="29"/>
        <v>13.11889648</v>
      </c>
      <c r="K44" s="79">
        <f t="shared" si="2"/>
        <v>203.4298164</v>
      </c>
      <c r="L44" s="80" t="s">
        <v>658</v>
      </c>
      <c r="M44" s="81">
        <v>4.0</v>
      </c>
      <c r="N44" s="81" t="s">
        <v>689</v>
      </c>
      <c r="O44" s="82">
        <v>90.023753</v>
      </c>
      <c r="P44" s="82">
        <v>84.56057</v>
      </c>
      <c r="Q44" s="82">
        <f t="shared" si="19"/>
        <v>5.463183</v>
      </c>
      <c r="R44" s="78">
        <f t="shared" si="30"/>
        <v>13.11889648</v>
      </c>
      <c r="S44" s="83">
        <f t="shared" si="31"/>
        <v>205.7038308</v>
      </c>
      <c r="T44" s="84" t="s">
        <v>660</v>
      </c>
      <c r="U44" s="86">
        <v>1.1</v>
      </c>
      <c r="V44" s="85">
        <v>1.15</v>
      </c>
      <c r="W44" s="83">
        <f>3376/2589</f>
        <v>1.30397837</v>
      </c>
      <c r="X44" s="83">
        <f t="shared" si="23"/>
        <v>1.011178373</v>
      </c>
      <c r="Y44" s="83">
        <f t="shared" si="32"/>
        <v>0.510332566</v>
      </c>
    </row>
    <row r="45" ht="26.25" customHeight="1">
      <c r="A45" s="72"/>
      <c r="B45" s="73" t="s">
        <v>755</v>
      </c>
      <c r="C45" s="87" t="s">
        <v>656</v>
      </c>
      <c r="D45" s="75">
        <v>1679.0</v>
      </c>
      <c r="E45" s="75"/>
      <c r="F45" s="76" t="s">
        <v>756</v>
      </c>
      <c r="G45" s="77" t="s">
        <v>658</v>
      </c>
      <c r="H45" s="77">
        <f>7*1679</f>
        <v>11753</v>
      </c>
      <c r="I45" s="77">
        <v>1.0</v>
      </c>
      <c r="J45" s="78">
        <f t="shared" si="29"/>
        <v>13.11889648</v>
      </c>
      <c r="K45" s="79">
        <f t="shared" si="2"/>
        <v>779.0289383</v>
      </c>
      <c r="L45" s="80" t="s">
        <v>658</v>
      </c>
      <c r="M45" s="81">
        <v>5.0</v>
      </c>
      <c r="N45" s="81" t="s">
        <v>659</v>
      </c>
      <c r="O45" s="82">
        <v>90.023753</v>
      </c>
      <c r="P45" s="82">
        <v>66.508314</v>
      </c>
      <c r="Q45" s="82">
        <f t="shared" si="19"/>
        <v>23.515439</v>
      </c>
      <c r="R45" s="78">
        <f t="shared" si="30"/>
        <v>13.11889648</v>
      </c>
      <c r="S45" s="83">
        <f t="shared" si="31"/>
        <v>779.1703077</v>
      </c>
      <c r="T45" s="84" t="s">
        <v>757</v>
      </c>
      <c r="U45" s="86">
        <v>1.0</v>
      </c>
      <c r="V45" s="73">
        <v>1.15</v>
      </c>
      <c r="W45" s="79">
        <v>1.0</v>
      </c>
      <c r="X45" s="83">
        <f t="shared" si="23"/>
        <v>1.000181469</v>
      </c>
      <c r="Y45" s="83">
        <f t="shared" si="32"/>
        <v>0.0360522804</v>
      </c>
    </row>
    <row r="46" ht="26.25" customHeight="1">
      <c r="A46" s="72"/>
      <c r="B46" s="73" t="s">
        <v>755</v>
      </c>
      <c r="C46" s="74" t="s">
        <v>758</v>
      </c>
      <c r="D46" s="75">
        <v>1045.0</v>
      </c>
      <c r="E46" s="76"/>
      <c r="F46" s="76" t="s">
        <v>756</v>
      </c>
      <c r="G46" s="77" t="s">
        <v>658</v>
      </c>
      <c r="H46" s="77">
        <f>12*1045</f>
        <v>12540</v>
      </c>
      <c r="I46" s="77">
        <v>1.0</v>
      </c>
      <c r="J46" s="78">
        <f t="shared" si="29"/>
        <v>13.11889648</v>
      </c>
      <c r="K46" s="79">
        <f t="shared" si="2"/>
        <v>831.1939834</v>
      </c>
      <c r="L46" s="80" t="s">
        <v>658</v>
      </c>
      <c r="M46" s="81">
        <v>3.0</v>
      </c>
      <c r="N46" s="81" t="s">
        <v>659</v>
      </c>
      <c r="O46" s="82">
        <v>90.023753</v>
      </c>
      <c r="P46" s="82">
        <v>74.940618</v>
      </c>
      <c r="Q46" s="82">
        <f t="shared" si="19"/>
        <v>15.083135</v>
      </c>
      <c r="R46" s="78">
        <f t="shared" si="30"/>
        <v>13.11889648</v>
      </c>
      <c r="S46" s="83">
        <f t="shared" si="31"/>
        <v>832.9514168</v>
      </c>
      <c r="T46" s="84" t="s">
        <v>757</v>
      </c>
      <c r="U46" s="86">
        <v>1.0</v>
      </c>
      <c r="V46" s="73">
        <v>1.15</v>
      </c>
      <c r="W46" s="79">
        <v>1.0</v>
      </c>
      <c r="X46" s="83">
        <f t="shared" si="23"/>
        <v>1.002114348</v>
      </c>
      <c r="Y46" s="83">
        <f t="shared" si="32"/>
        <v>0.2689103623</v>
      </c>
    </row>
    <row r="47" ht="26.25" customHeight="1">
      <c r="A47" s="73"/>
      <c r="B47" s="73" t="s">
        <v>755</v>
      </c>
      <c r="C47" s="87" t="s">
        <v>440</v>
      </c>
      <c r="D47" s="75">
        <v>6561.0</v>
      </c>
      <c r="E47" s="75" t="s">
        <v>759</v>
      </c>
      <c r="F47" s="88"/>
      <c r="G47" s="77" t="s">
        <v>658</v>
      </c>
      <c r="H47" s="77">
        <f>6561*3</f>
        <v>19683</v>
      </c>
      <c r="I47" s="77">
        <v>1.0</v>
      </c>
      <c r="J47" s="78">
        <f t="shared" si="29"/>
        <v>13.11889648</v>
      </c>
      <c r="K47" s="79">
        <f t="shared" si="2"/>
        <v>1304.656393</v>
      </c>
      <c r="L47" s="80" t="s">
        <v>658</v>
      </c>
      <c r="M47" s="81">
        <v>2.0</v>
      </c>
      <c r="N47" s="81" t="s">
        <v>659</v>
      </c>
      <c r="O47" s="82">
        <v>90.023753</v>
      </c>
      <c r="P47" s="82">
        <v>74.228029</v>
      </c>
      <c r="Q47" s="82">
        <f t="shared" si="19"/>
        <v>15.795724</v>
      </c>
      <c r="R47" s="78">
        <f t="shared" si="30"/>
        <v>13.11889648</v>
      </c>
      <c r="S47" s="83">
        <f t="shared" si="31"/>
        <v>1308.455174</v>
      </c>
      <c r="T47" s="84" t="s">
        <v>739</v>
      </c>
      <c r="U47" s="86">
        <v>1.0</v>
      </c>
      <c r="V47" s="73">
        <v>1.15</v>
      </c>
      <c r="W47" s="79">
        <v>1.0</v>
      </c>
      <c r="X47" s="83">
        <f t="shared" si="23"/>
        <v>1.002911709</v>
      </c>
      <c r="Y47" s="83">
        <f t="shared" si="32"/>
        <v>0.387508801</v>
      </c>
    </row>
    <row r="48" ht="26.25" customHeight="1">
      <c r="A48" s="73"/>
      <c r="B48" s="73" t="s">
        <v>755</v>
      </c>
      <c r="C48" s="87" t="s">
        <v>760</v>
      </c>
      <c r="D48" s="75">
        <v>619.0</v>
      </c>
      <c r="E48" s="76"/>
      <c r="F48" s="75" t="s">
        <v>761</v>
      </c>
      <c r="G48" s="77" t="s">
        <v>658</v>
      </c>
      <c r="H48" s="77">
        <f>16*619</f>
        <v>9904</v>
      </c>
      <c r="I48" s="77">
        <v>1.0</v>
      </c>
      <c r="J48" s="78">
        <f t="shared" si="29"/>
        <v>13.11889648</v>
      </c>
      <c r="K48" s="79">
        <f t="shared" si="2"/>
        <v>656.47091</v>
      </c>
      <c r="L48" s="80" t="s">
        <v>658</v>
      </c>
      <c r="M48" s="81">
        <v>3.0</v>
      </c>
      <c r="N48" s="81" t="s">
        <v>659</v>
      </c>
      <c r="O48" s="82">
        <v>90.023753</v>
      </c>
      <c r="P48" s="82">
        <v>84.085511</v>
      </c>
      <c r="Q48" s="82">
        <f t="shared" si="19"/>
        <v>5.938242</v>
      </c>
      <c r="R48" s="78">
        <f t="shared" si="30"/>
        <v>13.11889648</v>
      </c>
      <c r="S48" s="83">
        <f t="shared" si="31"/>
        <v>327.9336217</v>
      </c>
      <c r="T48" s="84" t="s">
        <v>739</v>
      </c>
      <c r="U48" s="86">
        <v>1.0</v>
      </c>
      <c r="V48" s="73">
        <v>1.15</v>
      </c>
      <c r="W48" s="79">
        <v>1.0</v>
      </c>
      <c r="X48" s="83">
        <f t="shared" si="23"/>
        <v>0.4995402183</v>
      </c>
      <c r="Y48" s="83">
        <f t="shared" si="32"/>
        <v>-50.2705138</v>
      </c>
    </row>
    <row r="49" ht="26.25" customHeight="1">
      <c r="A49" s="73"/>
      <c r="B49" s="73" t="s">
        <v>755</v>
      </c>
      <c r="C49" s="87" t="s">
        <v>760</v>
      </c>
      <c r="D49" s="75">
        <v>742.0</v>
      </c>
      <c r="E49" s="76"/>
      <c r="F49" s="76" t="s">
        <v>762</v>
      </c>
      <c r="G49" s="77" t="s">
        <v>658</v>
      </c>
      <c r="H49" s="77">
        <f>742*16</f>
        <v>11872</v>
      </c>
      <c r="I49" s="77">
        <v>1.0</v>
      </c>
      <c r="J49" s="78">
        <f t="shared" si="29"/>
        <v>13.11889648</v>
      </c>
      <c r="K49" s="79">
        <f t="shared" si="2"/>
        <v>786.9166643</v>
      </c>
      <c r="L49" s="89" t="s">
        <v>303</v>
      </c>
      <c r="M49" s="85" t="s">
        <v>303</v>
      </c>
      <c r="N49" s="85" t="s">
        <v>303</v>
      </c>
      <c r="O49" s="82" t="s">
        <v>303</v>
      </c>
      <c r="P49" s="82" t="s">
        <v>303</v>
      </c>
      <c r="Q49" s="82" t="s">
        <v>303</v>
      </c>
      <c r="R49" s="78" t="s">
        <v>303</v>
      </c>
      <c r="S49" s="79" t="s">
        <v>303</v>
      </c>
      <c r="T49" s="84" t="s">
        <v>739</v>
      </c>
      <c r="U49" s="86">
        <v>1.0</v>
      </c>
      <c r="V49" s="73">
        <v>1.15</v>
      </c>
      <c r="W49" s="79">
        <v>1.0</v>
      </c>
      <c r="X49" s="83">
        <f>53254/108576</f>
        <v>0.4904767168</v>
      </c>
      <c r="Y49" s="83">
        <f>(53254-108576)/(1500000/845)</f>
        <v>-31.16472667</v>
      </c>
    </row>
    <row r="50" ht="26.25" customHeight="1">
      <c r="A50" s="72"/>
      <c r="B50" s="73" t="s">
        <v>755</v>
      </c>
      <c r="C50" s="87" t="s">
        <v>676</v>
      </c>
      <c r="D50" s="75">
        <v>3083.0</v>
      </c>
      <c r="E50" s="75"/>
      <c r="F50" s="76" t="s">
        <v>756</v>
      </c>
      <c r="G50" s="77" t="s">
        <v>658</v>
      </c>
      <c r="H50" s="77">
        <f>3083*5</f>
        <v>15415</v>
      </c>
      <c r="I50" s="77">
        <v>1.0</v>
      </c>
      <c r="J50" s="78">
        <f t="shared" si="29"/>
        <v>13.11889648</v>
      </c>
      <c r="K50" s="79">
        <f t="shared" si="2"/>
        <v>1021.758792</v>
      </c>
      <c r="L50" s="80" t="s">
        <v>658</v>
      </c>
      <c r="M50" s="81">
        <v>4.0</v>
      </c>
      <c r="N50" s="81" t="s">
        <v>659</v>
      </c>
      <c r="O50" s="82">
        <v>90.023753</v>
      </c>
      <c r="P50" s="82">
        <v>65.320665</v>
      </c>
      <c r="Q50" s="82">
        <f t="shared" ref="Q50:Q53" si="34">O50-P50</f>
        <v>24.703088</v>
      </c>
      <c r="R50" s="78">
        <f t="shared" ref="R50:R53" si="35">IFS(L50="S",21494/2048*1.25)</f>
        <v>13.11889648</v>
      </c>
      <c r="S50" s="83">
        <f t="shared" ref="S50:S53" si="36">IFS(N50="B",Q50/M50/100*249945/R50/V50/U50
*W50,N50="C",Q50/M50/100*249945/R50/V50/U50
)</f>
        <v>1023.152953</v>
      </c>
      <c r="T50" s="84" t="s">
        <v>757</v>
      </c>
      <c r="U50" s="86">
        <v>1.0</v>
      </c>
      <c r="V50" s="73">
        <v>1.15</v>
      </c>
      <c r="W50" s="79">
        <v>1.0</v>
      </c>
      <c r="X50" s="83">
        <f t="shared" ref="X50:X53" si="37">S50/K50</f>
        <v>1.001364471</v>
      </c>
      <c r="Y50" s="83">
        <f t="shared" ref="Y50:Y53" si="38">(S50-K50)*M50*U50*V50*J50/(249945/845)</f>
        <v>0.2844331347</v>
      </c>
    </row>
    <row r="51" ht="26.25" customHeight="1">
      <c r="A51" s="72"/>
      <c r="B51" s="73" t="s">
        <v>755</v>
      </c>
      <c r="C51" s="87" t="s">
        <v>763</v>
      </c>
      <c r="D51" s="75">
        <v>8737.0</v>
      </c>
      <c r="E51" s="75" t="s">
        <v>764</v>
      </c>
      <c r="F51" s="76" t="s">
        <v>765</v>
      </c>
      <c r="G51" s="77" t="s">
        <v>658</v>
      </c>
      <c r="H51" s="77">
        <f>(8737*5+2474*5+421*16)/5</f>
        <v>12558.2</v>
      </c>
      <c r="I51" s="77">
        <v>1.0</v>
      </c>
      <c r="J51" s="78">
        <f t="shared" si="29"/>
        <v>13.11889648</v>
      </c>
      <c r="K51" s="79">
        <f t="shared" si="2"/>
        <v>832.4003415</v>
      </c>
      <c r="L51" s="80" t="s">
        <v>658</v>
      </c>
      <c r="M51" s="81">
        <v>5.0</v>
      </c>
      <c r="N51" s="81" t="s">
        <v>659</v>
      </c>
      <c r="O51" s="82">
        <v>90.023753</v>
      </c>
      <c r="P51" s="82">
        <v>64.845606</v>
      </c>
      <c r="Q51" s="82">
        <f t="shared" si="34"/>
        <v>25.178147</v>
      </c>
      <c r="R51" s="78">
        <f t="shared" si="35"/>
        <v>13.11889648</v>
      </c>
      <c r="S51" s="83">
        <f t="shared" si="36"/>
        <v>834.2631641</v>
      </c>
      <c r="T51" s="84" t="s">
        <v>739</v>
      </c>
      <c r="U51" s="86">
        <v>1.0</v>
      </c>
      <c r="V51" s="73">
        <v>1.15</v>
      </c>
      <c r="W51" s="79">
        <v>1.0</v>
      </c>
      <c r="X51" s="83">
        <f t="shared" si="37"/>
        <v>1.002237893</v>
      </c>
      <c r="Y51" s="83">
        <f t="shared" si="38"/>
        <v>0.475060488</v>
      </c>
    </row>
    <row r="52" ht="26.25" customHeight="1">
      <c r="A52" s="72"/>
      <c r="B52" s="73" t="s">
        <v>755</v>
      </c>
      <c r="C52" s="87" t="s">
        <v>482</v>
      </c>
      <c r="D52" s="75">
        <v>2975.0</v>
      </c>
      <c r="E52" s="75" t="s">
        <v>766</v>
      </c>
      <c r="F52" s="76" t="s">
        <v>767</v>
      </c>
      <c r="G52" s="77" t="s">
        <v>658</v>
      </c>
      <c r="H52" s="77">
        <f>2975+2955+2936+2916+2896+2877+2857+2837+2817+2798+2778+2758+2738+2719+2699+2679*25</f>
        <v>109531</v>
      </c>
      <c r="I52" s="77">
        <v>1.0</v>
      </c>
      <c r="J52" s="78">
        <f t="shared" si="29"/>
        <v>13.11889648</v>
      </c>
      <c r="K52" s="79">
        <f t="shared" si="2"/>
        <v>7260.088372</v>
      </c>
      <c r="L52" s="80" t="s">
        <v>658</v>
      </c>
      <c r="M52" s="81">
        <v>1.0</v>
      </c>
      <c r="N52" s="81" t="s">
        <v>659</v>
      </c>
      <c r="O52" s="82">
        <v>90.023753</v>
      </c>
      <c r="P52" s="82">
        <v>46.199525</v>
      </c>
      <c r="Q52" s="82">
        <f t="shared" si="34"/>
        <v>43.824228</v>
      </c>
      <c r="R52" s="78">
        <f t="shared" si="35"/>
        <v>13.11889648</v>
      </c>
      <c r="S52" s="83">
        <f t="shared" si="36"/>
        <v>7260.450722</v>
      </c>
      <c r="T52" s="84" t="s">
        <v>739</v>
      </c>
      <c r="U52" s="86">
        <v>1.0</v>
      </c>
      <c r="V52" s="73">
        <v>1.15</v>
      </c>
      <c r="W52" s="79">
        <v>1.0</v>
      </c>
      <c r="X52" s="83">
        <f t="shared" si="37"/>
        <v>1.00004991</v>
      </c>
      <c r="Y52" s="83">
        <f t="shared" si="38"/>
        <v>0.01848142606</v>
      </c>
    </row>
    <row r="53" ht="26.25" customHeight="1">
      <c r="A53" s="72"/>
      <c r="B53" s="73" t="s">
        <v>755</v>
      </c>
      <c r="C53" s="87" t="s">
        <v>482</v>
      </c>
      <c r="D53" s="75">
        <v>2679.0</v>
      </c>
      <c r="E53" s="76"/>
      <c r="F53" s="76" t="s">
        <v>768</v>
      </c>
      <c r="G53" s="77" t="s">
        <v>658</v>
      </c>
      <c r="H53" s="77">
        <f>2679*8*5</f>
        <v>107160</v>
      </c>
      <c r="I53" s="77">
        <v>1.0</v>
      </c>
      <c r="J53" s="78">
        <f t="shared" si="29"/>
        <v>13.11889648</v>
      </c>
      <c r="K53" s="79">
        <f t="shared" si="2"/>
        <v>7102.930403</v>
      </c>
      <c r="L53" s="80" t="s">
        <v>658</v>
      </c>
      <c r="M53" s="81">
        <v>1.0</v>
      </c>
      <c r="N53" s="81" t="s">
        <v>659</v>
      </c>
      <c r="O53" s="82">
        <v>72.921615</v>
      </c>
      <c r="P53" s="82">
        <v>30.047506</v>
      </c>
      <c r="Q53" s="82">
        <f t="shared" si="34"/>
        <v>42.874109</v>
      </c>
      <c r="R53" s="78">
        <f t="shared" si="35"/>
        <v>13.11889648</v>
      </c>
      <c r="S53" s="83">
        <f t="shared" si="36"/>
        <v>7103.042538</v>
      </c>
      <c r="T53" s="84" t="s">
        <v>739</v>
      </c>
      <c r="U53" s="86">
        <v>1.0</v>
      </c>
      <c r="V53" s="73">
        <v>1.15</v>
      </c>
      <c r="W53" s="79">
        <v>1.0</v>
      </c>
      <c r="X53" s="83">
        <f t="shared" si="37"/>
        <v>1.000015787</v>
      </c>
      <c r="Y53" s="83">
        <f t="shared" si="38"/>
        <v>0.005719339624</v>
      </c>
    </row>
    <row r="54" ht="26.25" customHeight="1">
      <c r="A54" s="72"/>
      <c r="B54" s="73" t="s">
        <v>755</v>
      </c>
      <c r="C54" s="87" t="s">
        <v>579</v>
      </c>
      <c r="D54" s="75">
        <v>12230.0</v>
      </c>
      <c r="E54" s="75" t="s">
        <v>769</v>
      </c>
      <c r="F54" s="76" t="s">
        <v>770</v>
      </c>
      <c r="G54" s="77" t="s">
        <v>658</v>
      </c>
      <c r="H54" s="77">
        <f>10*214+9*2775+12230/2+344</f>
        <v>33574</v>
      </c>
      <c r="I54" s="77">
        <v>1.0</v>
      </c>
      <c r="J54" s="78">
        <f t="shared" si="29"/>
        <v>13.11889648</v>
      </c>
      <c r="K54" s="79">
        <f t="shared" si="2"/>
        <v>2326.553778</v>
      </c>
      <c r="L54" s="89" t="s">
        <v>303</v>
      </c>
      <c r="M54" s="85" t="s">
        <v>303</v>
      </c>
      <c r="N54" s="85" t="s">
        <v>303</v>
      </c>
      <c r="O54" s="82" t="s">
        <v>303</v>
      </c>
      <c r="P54" s="82" t="s">
        <v>303</v>
      </c>
      <c r="Q54" s="82" t="s">
        <v>303</v>
      </c>
      <c r="R54" s="78" t="s">
        <v>303</v>
      </c>
      <c r="S54" s="79" t="s">
        <v>303</v>
      </c>
      <c r="T54" s="84" t="s">
        <v>739</v>
      </c>
      <c r="U54" s="86">
        <v>1.0</v>
      </c>
      <c r="V54" s="73">
        <v>1.1</v>
      </c>
      <c r="W54" s="79">
        <v>1.0</v>
      </c>
      <c r="X54" s="83">
        <f>92308/81048</f>
        <v>1.138930017</v>
      </c>
      <c r="Y54" s="83">
        <f>(92308-81048)/(1500000/845)</f>
        <v>6.343133333</v>
      </c>
    </row>
    <row r="55" ht="26.25" customHeight="1">
      <c r="A55" s="72"/>
      <c r="B55" s="73" t="s">
        <v>755</v>
      </c>
      <c r="C55" s="87" t="s">
        <v>579</v>
      </c>
      <c r="D55" s="75">
        <v>12230.0</v>
      </c>
      <c r="E55" s="75" t="s">
        <v>771</v>
      </c>
      <c r="F55" s="76" t="s">
        <v>772</v>
      </c>
      <c r="G55" s="77" t="s">
        <v>658</v>
      </c>
      <c r="H55" s="77">
        <f>10*214+9*2775+12230</f>
        <v>39345</v>
      </c>
      <c r="I55" s="77">
        <v>1.0</v>
      </c>
      <c r="J55" s="78">
        <f t="shared" si="29"/>
        <v>13.11889648</v>
      </c>
      <c r="K55" s="79">
        <f t="shared" si="2"/>
        <v>2726.462691</v>
      </c>
      <c r="L55" s="89" t="s">
        <v>303</v>
      </c>
      <c r="M55" s="85" t="s">
        <v>303</v>
      </c>
      <c r="N55" s="85" t="s">
        <v>303</v>
      </c>
      <c r="O55" s="82" t="s">
        <v>303</v>
      </c>
      <c r="P55" s="82" t="s">
        <v>303</v>
      </c>
      <c r="Q55" s="82" t="s">
        <v>303</v>
      </c>
      <c r="R55" s="78" t="s">
        <v>303</v>
      </c>
      <c r="S55" s="79" t="s">
        <v>303</v>
      </c>
      <c r="T55" s="84" t="s">
        <v>739</v>
      </c>
      <c r="U55" s="86">
        <v>1.0</v>
      </c>
      <c r="V55" s="73">
        <v>1.1</v>
      </c>
      <c r="W55" s="79">
        <v>1.0</v>
      </c>
      <c r="X55" s="83">
        <f>122485/105753</f>
        <v>1.158217734</v>
      </c>
      <c r="Y55" s="83">
        <f>(122485-105753)/(1500000/845)</f>
        <v>9.425693333</v>
      </c>
    </row>
    <row r="56" ht="26.25" customHeight="1">
      <c r="A56" s="73"/>
      <c r="B56" s="73" t="s">
        <v>755</v>
      </c>
      <c r="C56" s="87" t="s">
        <v>684</v>
      </c>
      <c r="D56" s="75">
        <v>1741.0</v>
      </c>
      <c r="E56" s="75"/>
      <c r="F56" s="76" t="s">
        <v>756</v>
      </c>
      <c r="G56" s="77" t="s">
        <v>658</v>
      </c>
      <c r="H56" s="77">
        <f>1741*7</f>
        <v>12187</v>
      </c>
      <c r="I56" s="77">
        <v>1.0</v>
      </c>
      <c r="J56" s="78">
        <f t="shared" si="29"/>
        <v>13.11889648</v>
      </c>
      <c r="K56" s="79">
        <f t="shared" si="2"/>
        <v>807.795939</v>
      </c>
      <c r="L56" s="80" t="s">
        <v>658</v>
      </c>
      <c r="M56" s="81">
        <v>5.0</v>
      </c>
      <c r="N56" s="81" t="s">
        <v>659</v>
      </c>
      <c r="O56" s="82">
        <v>90.023753</v>
      </c>
      <c r="P56" s="82">
        <v>65.558195</v>
      </c>
      <c r="Q56" s="82">
        <f t="shared" ref="Q56:Q77" si="39">O56-P56</f>
        <v>24.465558</v>
      </c>
      <c r="R56" s="78">
        <f t="shared" ref="R56:R59" si="40">IFS(L56="S",21494/2048*1.25)</f>
        <v>13.11889648</v>
      </c>
      <c r="S56" s="83">
        <f t="shared" ref="S56:S77" si="41">IFS(N56="B",Q56/M56/100*249945/R56/V56/U56
*W56,N56="C",Q56/M56/100*249945/R56/V56/U56
)</f>
        <v>810.6519446</v>
      </c>
      <c r="T56" s="84" t="s">
        <v>757</v>
      </c>
      <c r="U56" s="86">
        <v>1.0</v>
      </c>
      <c r="V56" s="73">
        <v>1.15</v>
      </c>
      <c r="W56" s="79">
        <v>1.0</v>
      </c>
      <c r="X56" s="83">
        <f t="shared" ref="X56:X77" si="42">S56/K56</f>
        <v>1.003535553</v>
      </c>
      <c r="Y56" s="83">
        <f t="shared" ref="Y56:Y77" si="43">(S56-K56)*M56*U56*V56*J56/(249945/845)</f>
        <v>0.7283438633</v>
      </c>
    </row>
    <row r="57" ht="26.25" customHeight="1">
      <c r="A57" s="73"/>
      <c r="B57" s="73" t="s">
        <v>755</v>
      </c>
      <c r="C57" s="87" t="s">
        <v>692</v>
      </c>
      <c r="D57" s="75">
        <v>1188.0</v>
      </c>
      <c r="E57" s="75"/>
      <c r="F57" s="76" t="s">
        <v>756</v>
      </c>
      <c r="G57" s="77" t="s">
        <v>658</v>
      </c>
      <c r="H57" s="77">
        <f>1188*9</f>
        <v>10692</v>
      </c>
      <c r="I57" s="77">
        <v>1.0</v>
      </c>
      <c r="J57" s="78">
        <f t="shared" si="29"/>
        <v>13.11889648</v>
      </c>
      <c r="K57" s="79">
        <f t="shared" si="2"/>
        <v>708.7022384</v>
      </c>
      <c r="L57" s="80" t="s">
        <v>658</v>
      </c>
      <c r="M57" s="81">
        <v>5.0</v>
      </c>
      <c r="N57" s="81" t="s">
        <v>659</v>
      </c>
      <c r="O57" s="82">
        <v>90.023753</v>
      </c>
      <c r="P57" s="82">
        <v>68.646081</v>
      </c>
      <c r="Q57" s="82">
        <f t="shared" si="39"/>
        <v>21.377672</v>
      </c>
      <c r="R57" s="78">
        <f t="shared" si="40"/>
        <v>13.11889648</v>
      </c>
      <c r="S57" s="83">
        <f t="shared" si="41"/>
        <v>708.3366494</v>
      </c>
      <c r="T57" s="84" t="s">
        <v>757</v>
      </c>
      <c r="U57" s="86">
        <v>1.0</v>
      </c>
      <c r="V57" s="73">
        <v>1.15</v>
      </c>
      <c r="W57" s="79">
        <v>1.0</v>
      </c>
      <c r="X57" s="83">
        <f t="shared" si="42"/>
        <v>0.9994841429</v>
      </c>
      <c r="Y57" s="83">
        <f t="shared" si="43"/>
        <v>-0.09323320355</v>
      </c>
    </row>
    <row r="58" ht="26.25" customHeight="1">
      <c r="A58" s="73"/>
      <c r="B58" s="73" t="s">
        <v>755</v>
      </c>
      <c r="C58" s="74" t="s">
        <v>773</v>
      </c>
      <c r="D58" s="75">
        <v>2172.0</v>
      </c>
      <c r="E58" s="75" t="s">
        <v>774</v>
      </c>
      <c r="F58" s="76"/>
      <c r="G58" s="77" t="s">
        <v>658</v>
      </c>
      <c r="H58" s="77">
        <f>2172*7+58*7</f>
        <v>15610</v>
      </c>
      <c r="I58" s="77">
        <v>1.0</v>
      </c>
      <c r="J58" s="78">
        <f t="shared" si="29"/>
        <v>13.11889648</v>
      </c>
      <c r="K58" s="79">
        <f t="shared" si="2"/>
        <v>1034.684057</v>
      </c>
      <c r="L58" s="80" t="s">
        <v>658</v>
      </c>
      <c r="M58" s="81">
        <v>4.0</v>
      </c>
      <c r="N58" s="81" t="s">
        <v>659</v>
      </c>
      <c r="O58" s="82">
        <v>90.023753</v>
      </c>
      <c r="P58" s="82">
        <v>64.964371</v>
      </c>
      <c r="Q58" s="82">
        <f t="shared" si="39"/>
        <v>25.059382</v>
      </c>
      <c r="R58" s="78">
        <f t="shared" si="40"/>
        <v>13.11889648</v>
      </c>
      <c r="S58" s="83">
        <f t="shared" si="41"/>
        <v>1037.909944</v>
      </c>
      <c r="T58" s="84" t="s">
        <v>739</v>
      </c>
      <c r="U58" s="86">
        <v>1.0</v>
      </c>
      <c r="V58" s="73">
        <v>1.15</v>
      </c>
      <c r="W58" s="79">
        <v>1.0</v>
      </c>
      <c r="X58" s="83">
        <f t="shared" si="42"/>
        <v>1.00311775</v>
      </c>
      <c r="Y58" s="83">
        <f t="shared" si="43"/>
        <v>0.6581372991</v>
      </c>
    </row>
    <row r="59" ht="26.25" customHeight="1">
      <c r="A59" s="72"/>
      <c r="B59" s="73" t="s">
        <v>755</v>
      </c>
      <c r="C59" s="87" t="s">
        <v>775</v>
      </c>
      <c r="D59" s="75">
        <v>32718.0</v>
      </c>
      <c r="E59" s="75" t="s">
        <v>776</v>
      </c>
      <c r="F59" s="76" t="s">
        <v>777</v>
      </c>
      <c r="G59" s="77" t="s">
        <v>658</v>
      </c>
      <c r="H59" s="77">
        <f>32718+2026+1732</f>
        <v>36476</v>
      </c>
      <c r="I59" s="77">
        <v>1.0</v>
      </c>
      <c r="J59" s="78">
        <f t="shared" si="29"/>
        <v>13.11889648</v>
      </c>
      <c r="K59" s="79">
        <f t="shared" si="2"/>
        <v>2417.753727</v>
      </c>
      <c r="L59" s="80" t="s">
        <v>658</v>
      </c>
      <c r="M59" s="81">
        <v>1.0</v>
      </c>
      <c r="N59" s="81" t="s">
        <v>659</v>
      </c>
      <c r="O59" s="82">
        <v>90.023753</v>
      </c>
      <c r="P59" s="82">
        <v>75.415677</v>
      </c>
      <c r="Q59" s="82">
        <f t="shared" si="39"/>
        <v>14.608076</v>
      </c>
      <c r="R59" s="78">
        <f t="shared" si="40"/>
        <v>13.11889648</v>
      </c>
      <c r="S59" s="83">
        <f t="shared" si="41"/>
        <v>2420.150241</v>
      </c>
      <c r="T59" s="84" t="s">
        <v>739</v>
      </c>
      <c r="U59" s="86">
        <v>1.0</v>
      </c>
      <c r="V59" s="73">
        <v>1.15</v>
      </c>
      <c r="W59" s="79">
        <v>1.0</v>
      </c>
      <c r="X59" s="83">
        <f t="shared" si="42"/>
        <v>1.000991215</v>
      </c>
      <c r="Y59" s="83">
        <f t="shared" si="43"/>
        <v>0.1222326779</v>
      </c>
    </row>
    <row r="60" ht="26.25" customHeight="1">
      <c r="A60" s="72"/>
      <c r="B60" s="73" t="s">
        <v>755</v>
      </c>
      <c r="C60" s="87" t="s">
        <v>775</v>
      </c>
      <c r="D60" s="90">
        <v>34365.0</v>
      </c>
      <c r="E60" s="90" t="s">
        <v>778</v>
      </c>
      <c r="F60" s="76" t="s">
        <v>779</v>
      </c>
      <c r="G60" s="77" t="s">
        <v>658</v>
      </c>
      <c r="H60" s="77">
        <f>34365+1855+1528</f>
        <v>37748</v>
      </c>
      <c r="I60" s="77">
        <v>1.0</v>
      </c>
      <c r="J60" s="78">
        <f>21494/2048</f>
        <v>10.49511719</v>
      </c>
      <c r="K60" s="79">
        <f t="shared" si="2"/>
        <v>3127.582783</v>
      </c>
      <c r="L60" s="80" t="s">
        <v>658</v>
      </c>
      <c r="M60" s="81">
        <v>1.0</v>
      </c>
      <c r="N60" s="81" t="s">
        <v>659</v>
      </c>
      <c r="O60" s="82">
        <v>90.023753</v>
      </c>
      <c r="P60" s="82">
        <v>74.940618</v>
      </c>
      <c r="Q60" s="82">
        <f t="shared" si="39"/>
        <v>15.083135</v>
      </c>
      <c r="R60" s="78">
        <f>21494/2048</f>
        <v>10.49511719</v>
      </c>
      <c r="S60" s="83">
        <f t="shared" si="41"/>
        <v>3123.567813</v>
      </c>
      <c r="T60" s="84" t="s">
        <v>739</v>
      </c>
      <c r="U60" s="86">
        <v>1.0</v>
      </c>
      <c r="V60" s="73">
        <v>1.15</v>
      </c>
      <c r="W60" s="79">
        <v>1.0</v>
      </c>
      <c r="X60" s="83">
        <f t="shared" si="42"/>
        <v>0.9987162704</v>
      </c>
      <c r="Y60" s="83">
        <f t="shared" si="43"/>
        <v>-0.1638248394</v>
      </c>
    </row>
    <row r="61" ht="26.25" customHeight="1">
      <c r="A61" s="72"/>
      <c r="B61" s="73" t="s">
        <v>755</v>
      </c>
      <c r="C61" s="87" t="s">
        <v>775</v>
      </c>
      <c r="D61" s="75">
        <v>1650.0</v>
      </c>
      <c r="E61" s="75"/>
      <c r="F61" s="76"/>
      <c r="G61" s="77" t="s">
        <v>658</v>
      </c>
      <c r="H61" s="77">
        <f>7*1650</f>
        <v>11550</v>
      </c>
      <c r="I61" s="77">
        <v>1.0</v>
      </c>
      <c r="J61" s="78">
        <f t="shared" ref="J61:J112" si="44">IFS(G61="S",21494/2048*1.25,G61="C",1.25*2*1.22,OR(G61="R",G61="T"),1.25*1.22)</f>
        <v>13.11889648</v>
      </c>
      <c r="K61" s="79">
        <f t="shared" si="2"/>
        <v>765.5734057</v>
      </c>
      <c r="L61" s="80" t="s">
        <v>658</v>
      </c>
      <c r="M61" s="81">
        <v>4.0</v>
      </c>
      <c r="N61" s="81" t="s">
        <v>659</v>
      </c>
      <c r="O61" s="82">
        <v>90.023753</v>
      </c>
      <c r="P61" s="82">
        <v>71.496437</v>
      </c>
      <c r="Q61" s="82">
        <f t="shared" si="39"/>
        <v>18.527316</v>
      </c>
      <c r="R61" s="78">
        <f t="shared" ref="R61:R77" si="45">IFS(L61="S",21494/2048*1.25)</f>
        <v>13.11889648</v>
      </c>
      <c r="S61" s="83">
        <f t="shared" si="41"/>
        <v>767.3647145</v>
      </c>
      <c r="T61" s="84" t="s">
        <v>739</v>
      </c>
      <c r="U61" s="86">
        <v>1.0</v>
      </c>
      <c r="V61" s="73">
        <v>1.15</v>
      </c>
      <c r="W61" s="79">
        <v>1.0</v>
      </c>
      <c r="X61" s="83">
        <f t="shared" si="42"/>
        <v>1.002339826</v>
      </c>
      <c r="Y61" s="83">
        <f t="shared" si="43"/>
        <v>0.3654583204</v>
      </c>
    </row>
    <row r="62" ht="26.25" customHeight="1">
      <c r="A62" s="72"/>
      <c r="B62" s="73" t="s">
        <v>755</v>
      </c>
      <c r="C62" s="87" t="s">
        <v>780</v>
      </c>
      <c r="D62" s="75">
        <v>18296.0</v>
      </c>
      <c r="E62" s="75" t="s">
        <v>781</v>
      </c>
      <c r="F62" s="76" t="s">
        <v>782</v>
      </c>
      <c r="G62" s="77" t="s">
        <v>658</v>
      </c>
      <c r="H62" s="77">
        <v>18296.0</v>
      </c>
      <c r="I62" s="77">
        <v>1.0</v>
      </c>
      <c r="J62" s="78">
        <f t="shared" si="44"/>
        <v>13.11889648</v>
      </c>
      <c r="K62" s="79">
        <f t="shared" si="2"/>
        <v>1212.721301</v>
      </c>
      <c r="L62" s="80" t="s">
        <v>658</v>
      </c>
      <c r="M62" s="81">
        <v>2.0</v>
      </c>
      <c r="N62" s="81" t="s">
        <v>689</v>
      </c>
      <c r="O62" s="82">
        <v>87.767221</v>
      </c>
      <c r="P62" s="82">
        <v>73.04038</v>
      </c>
      <c r="Q62" s="82">
        <f t="shared" si="39"/>
        <v>14.726841</v>
      </c>
      <c r="R62" s="78">
        <f t="shared" si="45"/>
        <v>13.11889648</v>
      </c>
      <c r="S62" s="83">
        <f t="shared" si="41"/>
        <v>1219.913142</v>
      </c>
      <c r="T62" s="84" t="s">
        <v>739</v>
      </c>
      <c r="U62" s="86">
        <v>1.0</v>
      </c>
      <c r="V62" s="85">
        <v>1.15</v>
      </c>
      <c r="W62" s="79">
        <f>18296/5707</f>
        <v>3.205887507</v>
      </c>
      <c r="X62" s="83">
        <f t="shared" si="42"/>
        <v>1.005930333</v>
      </c>
      <c r="Y62" s="83">
        <f t="shared" si="43"/>
        <v>0.7336306513</v>
      </c>
    </row>
    <row r="63" ht="26.25" customHeight="1">
      <c r="A63" s="72"/>
      <c r="B63" s="73" t="s">
        <v>755</v>
      </c>
      <c r="C63" s="87" t="s">
        <v>780</v>
      </c>
      <c r="D63" s="75">
        <v>1463.0</v>
      </c>
      <c r="E63" s="75" t="s">
        <v>783</v>
      </c>
      <c r="F63" s="76"/>
      <c r="G63" s="77" t="s">
        <v>658</v>
      </c>
      <c r="H63" s="77">
        <v>1463.0</v>
      </c>
      <c r="I63" s="77">
        <v>1.0</v>
      </c>
      <c r="J63" s="78">
        <f t="shared" si="44"/>
        <v>13.11889648</v>
      </c>
      <c r="K63" s="79">
        <f t="shared" si="2"/>
        <v>96.97263139</v>
      </c>
      <c r="L63" s="80" t="s">
        <v>658</v>
      </c>
      <c r="M63" s="81">
        <v>33.0</v>
      </c>
      <c r="N63" s="81" t="s">
        <v>659</v>
      </c>
      <c r="O63" s="82">
        <v>90.023753</v>
      </c>
      <c r="P63" s="82">
        <v>79.216152</v>
      </c>
      <c r="Q63" s="82">
        <f t="shared" si="39"/>
        <v>10.807601</v>
      </c>
      <c r="R63" s="78">
        <f t="shared" si="45"/>
        <v>13.11889648</v>
      </c>
      <c r="S63" s="83">
        <f t="shared" si="41"/>
        <v>97.27894189</v>
      </c>
      <c r="T63" s="84" t="s">
        <v>739</v>
      </c>
      <c r="U63" s="86">
        <v>1.0</v>
      </c>
      <c r="V63" s="85">
        <v>1.15</v>
      </c>
      <c r="W63" s="79">
        <f>1463/816</f>
        <v>1.792892157</v>
      </c>
      <c r="X63" s="83">
        <f t="shared" si="42"/>
        <v>1.003158731</v>
      </c>
      <c r="Y63" s="83">
        <f t="shared" si="43"/>
        <v>0.5155647554</v>
      </c>
    </row>
    <row r="64" ht="26.25" customHeight="1">
      <c r="A64" s="72"/>
      <c r="B64" s="73" t="s">
        <v>784</v>
      </c>
      <c r="C64" s="87" t="s">
        <v>656</v>
      </c>
      <c r="D64" s="75">
        <v>6932.0</v>
      </c>
      <c r="E64" s="76"/>
      <c r="F64" s="76" t="s">
        <v>785</v>
      </c>
      <c r="G64" s="77" t="s">
        <v>658</v>
      </c>
      <c r="H64" s="77">
        <v>6932.0</v>
      </c>
      <c r="I64" s="77">
        <v>1.0</v>
      </c>
      <c r="J64" s="78">
        <f t="shared" si="44"/>
        <v>13.11889648</v>
      </c>
      <c r="K64" s="79">
        <f t="shared" si="2"/>
        <v>459.4766103</v>
      </c>
      <c r="L64" s="80" t="s">
        <v>658</v>
      </c>
      <c r="M64" s="81">
        <v>6.0</v>
      </c>
      <c r="N64" s="81" t="s">
        <v>659</v>
      </c>
      <c r="O64" s="82">
        <v>90.023753</v>
      </c>
      <c r="P64" s="82">
        <v>73.27791</v>
      </c>
      <c r="Q64" s="82">
        <f t="shared" si="39"/>
        <v>16.745843</v>
      </c>
      <c r="R64" s="78">
        <f t="shared" si="45"/>
        <v>13.11889648</v>
      </c>
      <c r="S64" s="83">
        <f t="shared" si="41"/>
        <v>462.3864221</v>
      </c>
      <c r="T64" s="84" t="s">
        <v>660</v>
      </c>
      <c r="U64" s="86">
        <v>1.0</v>
      </c>
      <c r="V64" s="73">
        <v>1.15</v>
      </c>
      <c r="W64" s="79">
        <v>1.0</v>
      </c>
      <c r="X64" s="83">
        <f t="shared" si="42"/>
        <v>1.006332883</v>
      </c>
      <c r="Y64" s="83">
        <f t="shared" si="43"/>
        <v>0.8904787332</v>
      </c>
    </row>
    <row r="65" ht="26.25" customHeight="1">
      <c r="A65" s="72"/>
      <c r="B65" s="73" t="s">
        <v>784</v>
      </c>
      <c r="C65" s="87" t="s">
        <v>758</v>
      </c>
      <c r="D65" s="75">
        <v>7956.0</v>
      </c>
      <c r="E65" s="76"/>
      <c r="F65" s="76" t="s">
        <v>785</v>
      </c>
      <c r="G65" s="77" t="s">
        <v>658</v>
      </c>
      <c r="H65" s="77">
        <v>7956.0</v>
      </c>
      <c r="I65" s="77">
        <v>1.0</v>
      </c>
      <c r="J65" s="78">
        <f t="shared" si="44"/>
        <v>13.11889648</v>
      </c>
      <c r="K65" s="79">
        <f t="shared" si="2"/>
        <v>527.3508239</v>
      </c>
      <c r="L65" s="80" t="s">
        <v>658</v>
      </c>
      <c r="M65" s="81">
        <v>7.0</v>
      </c>
      <c r="N65" s="81" t="s">
        <v>659</v>
      </c>
      <c r="O65" s="82">
        <v>90.023753</v>
      </c>
      <c r="P65" s="82">
        <v>67.814727</v>
      </c>
      <c r="Q65" s="82">
        <f t="shared" si="39"/>
        <v>22.209026</v>
      </c>
      <c r="R65" s="78">
        <f t="shared" si="45"/>
        <v>13.11889648</v>
      </c>
      <c r="S65" s="83">
        <f t="shared" si="41"/>
        <v>525.6307697</v>
      </c>
      <c r="T65" s="84" t="s">
        <v>660</v>
      </c>
      <c r="U65" s="86">
        <v>1.0</v>
      </c>
      <c r="V65" s="73">
        <v>1.15</v>
      </c>
      <c r="W65" s="79">
        <v>1.0</v>
      </c>
      <c r="X65" s="83">
        <f t="shared" si="42"/>
        <v>0.9967383113</v>
      </c>
      <c r="Y65" s="83">
        <f t="shared" si="43"/>
        <v>-0.614111984</v>
      </c>
    </row>
    <row r="66" ht="26.25" customHeight="1">
      <c r="A66" s="72"/>
      <c r="B66" s="73" t="s">
        <v>784</v>
      </c>
      <c r="C66" s="87" t="s">
        <v>347</v>
      </c>
      <c r="D66" s="76"/>
      <c r="E66" s="76"/>
      <c r="F66" s="76" t="s">
        <v>785</v>
      </c>
      <c r="G66" s="77" t="s">
        <v>658</v>
      </c>
      <c r="H66" s="77">
        <v>6932.0</v>
      </c>
      <c r="I66" s="91">
        <v>1.0</v>
      </c>
      <c r="J66" s="78">
        <f t="shared" si="44"/>
        <v>13.11889648</v>
      </c>
      <c r="K66" s="79">
        <f t="shared" si="2"/>
        <v>459.4766103</v>
      </c>
      <c r="L66" s="80" t="s">
        <v>658</v>
      </c>
      <c r="M66" s="92">
        <v>6.0</v>
      </c>
      <c r="N66" s="92" t="s">
        <v>659</v>
      </c>
      <c r="O66" s="82">
        <v>90.023753</v>
      </c>
      <c r="P66" s="82">
        <v>73.27791</v>
      </c>
      <c r="Q66" s="82">
        <f t="shared" si="39"/>
        <v>16.745843</v>
      </c>
      <c r="R66" s="78">
        <f t="shared" si="45"/>
        <v>13.11889648</v>
      </c>
      <c r="S66" s="83">
        <f t="shared" si="41"/>
        <v>462.3864221</v>
      </c>
      <c r="T66" s="84" t="s">
        <v>739</v>
      </c>
      <c r="U66" s="86">
        <v>1.0</v>
      </c>
      <c r="V66" s="73">
        <v>1.15</v>
      </c>
      <c r="W66" s="79">
        <v>1.0</v>
      </c>
      <c r="X66" s="83">
        <f t="shared" si="42"/>
        <v>1.006332883</v>
      </c>
      <c r="Y66" s="83">
        <f t="shared" si="43"/>
        <v>0.8904787332</v>
      </c>
    </row>
    <row r="67" ht="26.25" customHeight="1">
      <c r="A67" s="72"/>
      <c r="B67" s="73" t="s">
        <v>784</v>
      </c>
      <c r="C67" s="87" t="s">
        <v>786</v>
      </c>
      <c r="D67" s="75">
        <v>5459.0</v>
      </c>
      <c r="E67" s="75" t="s">
        <v>787</v>
      </c>
      <c r="F67" s="75" t="s">
        <v>788</v>
      </c>
      <c r="G67" s="77" t="s">
        <v>658</v>
      </c>
      <c r="H67" s="77">
        <f>(5459*13+1040*5)/13</f>
        <v>5859</v>
      </c>
      <c r="I67" s="91">
        <v>1.0</v>
      </c>
      <c r="J67" s="78">
        <f t="shared" si="44"/>
        <v>13.11889648</v>
      </c>
      <c r="K67" s="79">
        <f t="shared" si="2"/>
        <v>388.3545094</v>
      </c>
      <c r="L67" s="80" t="s">
        <v>658</v>
      </c>
      <c r="M67" s="92">
        <v>13.0</v>
      </c>
      <c r="N67" s="92" t="s">
        <v>659</v>
      </c>
      <c r="O67" s="82">
        <v>90.023753</v>
      </c>
      <c r="P67" s="82">
        <v>59.501188</v>
      </c>
      <c r="Q67" s="82">
        <f t="shared" si="39"/>
        <v>30.522565</v>
      </c>
      <c r="R67" s="78">
        <f t="shared" si="45"/>
        <v>13.11889648</v>
      </c>
      <c r="S67" s="83">
        <f t="shared" si="41"/>
        <v>388.9797409</v>
      </c>
      <c r="T67" s="84" t="s">
        <v>739</v>
      </c>
      <c r="U67" s="86">
        <v>1.0</v>
      </c>
      <c r="V67" s="73">
        <v>1.15</v>
      </c>
      <c r="W67" s="79">
        <v>1.0</v>
      </c>
      <c r="X67" s="83">
        <f t="shared" si="42"/>
        <v>1.00160995</v>
      </c>
      <c r="Y67" s="83">
        <f t="shared" si="43"/>
        <v>0.4145640057</v>
      </c>
    </row>
    <row r="68" ht="26.25" customHeight="1">
      <c r="A68" s="72"/>
      <c r="B68" s="73" t="s">
        <v>784</v>
      </c>
      <c r="C68" s="87" t="s">
        <v>786</v>
      </c>
      <c r="D68" s="76">
        <v>19567.0</v>
      </c>
      <c r="E68" s="76" t="s">
        <v>789</v>
      </c>
      <c r="F68" s="76" t="s">
        <v>790</v>
      </c>
      <c r="G68" s="77" t="s">
        <v>658</v>
      </c>
      <c r="H68" s="77">
        <f>19567+55</f>
        <v>19622</v>
      </c>
      <c r="I68" s="91">
        <v>1.0</v>
      </c>
      <c r="J68" s="78">
        <f t="shared" si="44"/>
        <v>13.11889648</v>
      </c>
      <c r="K68" s="79">
        <f t="shared" si="2"/>
        <v>1300.613105</v>
      </c>
      <c r="L68" s="80" t="s">
        <v>658</v>
      </c>
      <c r="M68" s="92">
        <v>2.0</v>
      </c>
      <c r="N68" s="92" t="s">
        <v>659</v>
      </c>
      <c r="O68" s="82">
        <v>87.054632</v>
      </c>
      <c r="P68" s="82">
        <v>71.377672</v>
      </c>
      <c r="Q68" s="82">
        <f t="shared" si="39"/>
        <v>15.67696</v>
      </c>
      <c r="R68" s="78">
        <f t="shared" si="45"/>
        <v>13.11889648</v>
      </c>
      <c r="S68" s="83">
        <f t="shared" si="41"/>
        <v>1298.617235</v>
      </c>
      <c r="T68" s="84" t="s">
        <v>739</v>
      </c>
      <c r="U68" s="86">
        <v>1.0</v>
      </c>
      <c r="V68" s="73">
        <v>1.15</v>
      </c>
      <c r="W68" s="79">
        <v>1.0</v>
      </c>
      <c r="X68" s="83">
        <f t="shared" si="42"/>
        <v>0.9984654386</v>
      </c>
      <c r="Y68" s="83">
        <f t="shared" si="43"/>
        <v>-0.2035962598</v>
      </c>
    </row>
    <row r="69" ht="26.25" customHeight="1">
      <c r="A69" s="72"/>
      <c r="B69" s="73" t="s">
        <v>784</v>
      </c>
      <c r="C69" s="87" t="s">
        <v>791</v>
      </c>
      <c r="D69" s="76">
        <v>7956.0</v>
      </c>
      <c r="E69" s="76"/>
      <c r="F69" s="76" t="s">
        <v>785</v>
      </c>
      <c r="G69" s="77" t="s">
        <v>658</v>
      </c>
      <c r="H69" s="77">
        <v>7956.0</v>
      </c>
      <c r="I69" s="91">
        <v>1.0</v>
      </c>
      <c r="J69" s="78">
        <f t="shared" si="44"/>
        <v>13.11889648</v>
      </c>
      <c r="K69" s="79">
        <f t="shared" si="2"/>
        <v>527.3508239</v>
      </c>
      <c r="L69" s="80" t="s">
        <v>658</v>
      </c>
      <c r="M69" s="92">
        <v>10.0</v>
      </c>
      <c r="N69" s="92" t="s">
        <v>659</v>
      </c>
      <c r="O69" s="82">
        <v>90.023753</v>
      </c>
      <c r="P69" s="82">
        <v>58.194774</v>
      </c>
      <c r="Q69" s="82">
        <f t="shared" si="39"/>
        <v>31.828979</v>
      </c>
      <c r="R69" s="78">
        <f t="shared" si="45"/>
        <v>13.11889648</v>
      </c>
      <c r="S69" s="83">
        <f t="shared" si="41"/>
        <v>527.3172948</v>
      </c>
      <c r="T69" s="84" t="s">
        <v>739</v>
      </c>
      <c r="U69" s="86">
        <v>1.0</v>
      </c>
      <c r="V69" s="73">
        <v>1.15</v>
      </c>
      <c r="W69" s="79">
        <v>1.0</v>
      </c>
      <c r="X69" s="83">
        <f t="shared" si="42"/>
        <v>0.9999364198</v>
      </c>
      <c r="Y69" s="83">
        <f t="shared" si="43"/>
        <v>-0.01710128424</v>
      </c>
    </row>
    <row r="70" ht="26.25" customHeight="1">
      <c r="A70" s="72"/>
      <c r="B70" s="73" t="s">
        <v>784</v>
      </c>
      <c r="C70" s="87" t="s">
        <v>692</v>
      </c>
      <c r="D70" s="75">
        <v>5459.0</v>
      </c>
      <c r="E70" s="76"/>
      <c r="F70" s="76" t="s">
        <v>785</v>
      </c>
      <c r="G70" s="77" t="s">
        <v>658</v>
      </c>
      <c r="H70" s="77">
        <v>5459.0</v>
      </c>
      <c r="I70" s="77">
        <v>1.0</v>
      </c>
      <c r="J70" s="78">
        <f t="shared" si="44"/>
        <v>13.11889648</v>
      </c>
      <c r="K70" s="79">
        <f t="shared" si="2"/>
        <v>361.8411447</v>
      </c>
      <c r="L70" s="80" t="s">
        <v>658</v>
      </c>
      <c r="M70" s="81">
        <v>7.0</v>
      </c>
      <c r="N70" s="81" t="s">
        <v>659</v>
      </c>
      <c r="O70" s="82">
        <v>90.023753</v>
      </c>
      <c r="P70" s="82">
        <v>74.703088</v>
      </c>
      <c r="Q70" s="82">
        <f t="shared" si="39"/>
        <v>15.320665</v>
      </c>
      <c r="R70" s="78">
        <f t="shared" si="45"/>
        <v>13.11889648</v>
      </c>
      <c r="S70" s="83">
        <f t="shared" si="41"/>
        <v>362.6009054</v>
      </c>
      <c r="T70" s="84" t="s">
        <v>660</v>
      </c>
      <c r="U70" s="86">
        <v>1.0</v>
      </c>
      <c r="V70" s="73">
        <v>1.15</v>
      </c>
      <c r="W70" s="79">
        <v>1.0</v>
      </c>
      <c r="X70" s="83">
        <f t="shared" si="42"/>
        <v>1.002099708</v>
      </c>
      <c r="Y70" s="83">
        <f t="shared" si="43"/>
        <v>0.2712578105</v>
      </c>
    </row>
    <row r="71" ht="26.25" customHeight="1">
      <c r="A71" s="72"/>
      <c r="B71" s="73" t="s">
        <v>784</v>
      </c>
      <c r="C71" s="87" t="s">
        <v>792</v>
      </c>
      <c r="D71" s="76">
        <v>1489.0</v>
      </c>
      <c r="E71" s="76"/>
      <c r="F71" s="76" t="s">
        <v>785</v>
      </c>
      <c r="G71" s="77" t="s">
        <v>658</v>
      </c>
      <c r="H71" s="77">
        <f>1489*5</f>
        <v>7445</v>
      </c>
      <c r="I71" s="91">
        <v>1.0</v>
      </c>
      <c r="J71" s="78">
        <f t="shared" si="44"/>
        <v>13.11889648</v>
      </c>
      <c r="K71" s="79">
        <f t="shared" si="2"/>
        <v>493.4800005</v>
      </c>
      <c r="L71" s="80" t="s">
        <v>658</v>
      </c>
      <c r="M71" s="92">
        <v>7.0</v>
      </c>
      <c r="N71" s="92" t="s">
        <v>659</v>
      </c>
      <c r="O71" s="82">
        <v>90.023753</v>
      </c>
      <c r="P71" s="82">
        <v>69.12114</v>
      </c>
      <c r="Q71" s="82">
        <f t="shared" si="39"/>
        <v>20.902613</v>
      </c>
      <c r="R71" s="78">
        <f t="shared" si="45"/>
        <v>13.11889648</v>
      </c>
      <c r="S71" s="83">
        <f t="shared" si="41"/>
        <v>494.7113196</v>
      </c>
      <c r="T71" s="84" t="s">
        <v>739</v>
      </c>
      <c r="U71" s="86">
        <v>1.0</v>
      </c>
      <c r="V71" s="73">
        <v>1.15</v>
      </c>
      <c r="W71" s="79">
        <v>1.0</v>
      </c>
      <c r="X71" s="83">
        <f t="shared" si="42"/>
        <v>1.002495175</v>
      </c>
      <c r="Y71" s="83">
        <f t="shared" si="43"/>
        <v>0.4396186085</v>
      </c>
    </row>
    <row r="72" ht="26.25" customHeight="1">
      <c r="A72" s="72"/>
      <c r="B72" s="73" t="s">
        <v>784</v>
      </c>
      <c r="C72" s="87" t="s">
        <v>525</v>
      </c>
      <c r="D72" s="76">
        <v>20358.0</v>
      </c>
      <c r="E72" s="76" t="s">
        <v>793</v>
      </c>
      <c r="F72" s="76" t="s">
        <v>794</v>
      </c>
      <c r="G72" s="77" t="s">
        <v>658</v>
      </c>
      <c r="H72" s="77">
        <f>20358+3781+858</f>
        <v>24997</v>
      </c>
      <c r="I72" s="91">
        <v>1.0</v>
      </c>
      <c r="J72" s="78">
        <f t="shared" si="44"/>
        <v>13.11889648</v>
      </c>
      <c r="K72" s="79">
        <f t="shared" si="2"/>
        <v>1574.726785</v>
      </c>
      <c r="L72" s="80" t="s">
        <v>658</v>
      </c>
      <c r="M72" s="92">
        <v>2.0</v>
      </c>
      <c r="N72" s="92" t="s">
        <v>659</v>
      </c>
      <c r="O72" s="82">
        <v>71.852732</v>
      </c>
      <c r="P72" s="82">
        <v>51.781473</v>
      </c>
      <c r="Q72" s="82">
        <f t="shared" si="39"/>
        <v>20.071259</v>
      </c>
      <c r="R72" s="78">
        <f t="shared" si="45"/>
        <v>13.11889648</v>
      </c>
      <c r="S72" s="83">
        <f t="shared" si="41"/>
        <v>1580.179405</v>
      </c>
      <c r="T72" s="84" t="s">
        <v>739</v>
      </c>
      <c r="U72" s="86">
        <v>1.1</v>
      </c>
      <c r="V72" s="73">
        <v>1.1</v>
      </c>
      <c r="W72" s="79">
        <v>1.0</v>
      </c>
      <c r="X72" s="83">
        <f t="shared" si="42"/>
        <v>1.003462582</v>
      </c>
      <c r="Y72" s="83">
        <f t="shared" si="43"/>
        <v>0.5852348312</v>
      </c>
    </row>
    <row r="73" ht="26.25" customHeight="1">
      <c r="A73" s="72"/>
      <c r="B73" s="73" t="s">
        <v>795</v>
      </c>
      <c r="C73" s="87" t="s">
        <v>656</v>
      </c>
      <c r="D73" s="75">
        <v>7668.0</v>
      </c>
      <c r="E73" s="75" t="s">
        <v>796</v>
      </c>
      <c r="F73" s="76" t="s">
        <v>371</v>
      </c>
      <c r="G73" s="77" t="s">
        <v>658</v>
      </c>
      <c r="H73" s="77">
        <f>7668+3086</f>
        <v>10754</v>
      </c>
      <c r="I73" s="77">
        <v>1.0</v>
      </c>
      <c r="J73" s="78">
        <f t="shared" si="44"/>
        <v>13.11889648</v>
      </c>
      <c r="K73" s="79">
        <f t="shared" si="2"/>
        <v>745.2123468</v>
      </c>
      <c r="L73" s="80" t="s">
        <v>658</v>
      </c>
      <c r="M73" s="81">
        <v>7.0</v>
      </c>
      <c r="N73" s="92" t="s">
        <v>659</v>
      </c>
      <c r="O73" s="82">
        <v>90.023753</v>
      </c>
      <c r="P73" s="82">
        <v>59.857482</v>
      </c>
      <c r="Q73" s="82">
        <f t="shared" si="39"/>
        <v>30.166271</v>
      </c>
      <c r="R73" s="78">
        <f t="shared" si="45"/>
        <v>13.11889648</v>
      </c>
      <c r="S73" s="83">
        <f t="shared" si="41"/>
        <v>746.4110346</v>
      </c>
      <c r="T73" s="84" t="s">
        <v>660</v>
      </c>
      <c r="U73" s="78">
        <v>1.0</v>
      </c>
      <c r="V73" s="73">
        <v>1.1</v>
      </c>
      <c r="W73" s="79">
        <v>1.0</v>
      </c>
      <c r="X73" s="83">
        <f t="shared" si="42"/>
        <v>1.001608518</v>
      </c>
      <c r="Y73" s="83">
        <f t="shared" si="43"/>
        <v>0.4093609116</v>
      </c>
    </row>
    <row r="74" ht="26.25" customHeight="1">
      <c r="A74" s="72"/>
      <c r="B74" s="73" t="s">
        <v>795</v>
      </c>
      <c r="C74" s="87" t="s">
        <v>656</v>
      </c>
      <c r="D74" s="75">
        <v>13756.0</v>
      </c>
      <c r="E74" s="75" t="s">
        <v>797</v>
      </c>
      <c r="F74" s="76" t="s">
        <v>798</v>
      </c>
      <c r="G74" s="77" t="s">
        <v>658</v>
      </c>
      <c r="H74" s="77">
        <f>13756+1927</f>
        <v>15683</v>
      </c>
      <c r="I74" s="77">
        <v>1.0</v>
      </c>
      <c r="J74" s="78">
        <f t="shared" si="44"/>
        <v>13.11889648</v>
      </c>
      <c r="K74" s="79">
        <f t="shared" si="2"/>
        <v>1086.77378</v>
      </c>
      <c r="L74" s="80" t="s">
        <v>658</v>
      </c>
      <c r="M74" s="81">
        <v>7.0</v>
      </c>
      <c r="N74" s="92" t="s">
        <v>659</v>
      </c>
      <c r="O74" s="82">
        <v>73.752969</v>
      </c>
      <c r="P74" s="82">
        <v>29.691211</v>
      </c>
      <c r="Q74" s="82">
        <f t="shared" si="39"/>
        <v>44.061758</v>
      </c>
      <c r="R74" s="78">
        <f t="shared" si="45"/>
        <v>13.11889648</v>
      </c>
      <c r="S74" s="83">
        <f t="shared" si="41"/>
        <v>1090.23029</v>
      </c>
      <c r="T74" s="84" t="s">
        <v>660</v>
      </c>
      <c r="U74" s="78">
        <v>1.0</v>
      </c>
      <c r="V74" s="73">
        <v>1.1</v>
      </c>
      <c r="W74" s="79">
        <v>1.0</v>
      </c>
      <c r="X74" s="83">
        <f t="shared" si="42"/>
        <v>1.003180523</v>
      </c>
      <c r="Y74" s="83">
        <f t="shared" si="43"/>
        <v>1.180423985</v>
      </c>
    </row>
    <row r="75" ht="26.25" customHeight="1">
      <c r="A75" s="72"/>
      <c r="B75" s="73" t="s">
        <v>795</v>
      </c>
      <c r="C75" s="87" t="s">
        <v>656</v>
      </c>
      <c r="D75" s="75">
        <v>9968.0</v>
      </c>
      <c r="E75" s="75" t="s">
        <v>799</v>
      </c>
      <c r="F75" s="75" t="s">
        <v>586</v>
      </c>
      <c r="G75" s="77" t="s">
        <v>658</v>
      </c>
      <c r="H75" s="77">
        <f>9968+412</f>
        <v>10380</v>
      </c>
      <c r="I75" s="77">
        <v>1.0</v>
      </c>
      <c r="J75" s="78">
        <f t="shared" si="44"/>
        <v>13.11889648</v>
      </c>
      <c r="K75" s="79">
        <f t="shared" si="2"/>
        <v>719.2955328</v>
      </c>
      <c r="L75" s="80" t="s">
        <v>658</v>
      </c>
      <c r="M75" s="81">
        <v>6.0</v>
      </c>
      <c r="N75" s="92" t="s">
        <v>659</v>
      </c>
      <c r="O75" s="82">
        <v>90.023753</v>
      </c>
      <c r="P75" s="82">
        <v>64.964371</v>
      </c>
      <c r="Q75" s="82">
        <f t="shared" si="39"/>
        <v>25.059382</v>
      </c>
      <c r="R75" s="78">
        <f t="shared" si="45"/>
        <v>13.11889648</v>
      </c>
      <c r="S75" s="83">
        <f t="shared" si="41"/>
        <v>723.3917793</v>
      </c>
      <c r="T75" s="84" t="s">
        <v>660</v>
      </c>
      <c r="U75" s="78">
        <v>1.0</v>
      </c>
      <c r="V75" s="73">
        <v>1.1</v>
      </c>
      <c r="W75" s="79">
        <v>1.0</v>
      </c>
      <c r="X75" s="83">
        <f t="shared" si="42"/>
        <v>1.005694803</v>
      </c>
      <c r="Y75" s="83">
        <f t="shared" si="43"/>
        <v>1.199056301</v>
      </c>
    </row>
    <row r="76" ht="26.25" customHeight="1">
      <c r="A76" s="72"/>
      <c r="B76" s="73" t="s">
        <v>795</v>
      </c>
      <c r="C76" s="87" t="s">
        <v>656</v>
      </c>
      <c r="D76" s="75">
        <v>17883.0</v>
      </c>
      <c r="E76" s="75" t="s">
        <v>800</v>
      </c>
      <c r="F76" s="75" t="s">
        <v>801</v>
      </c>
      <c r="G76" s="77" t="s">
        <v>658</v>
      </c>
      <c r="H76" s="77">
        <f>17883+257</f>
        <v>18140</v>
      </c>
      <c r="I76" s="77">
        <v>1.0</v>
      </c>
      <c r="J76" s="78">
        <f t="shared" si="44"/>
        <v>13.11889648</v>
      </c>
      <c r="K76" s="79">
        <f t="shared" si="2"/>
        <v>1257.034775</v>
      </c>
      <c r="L76" s="80" t="s">
        <v>658</v>
      </c>
      <c r="M76" s="81">
        <v>7.0</v>
      </c>
      <c r="N76" s="92" t="s">
        <v>659</v>
      </c>
      <c r="O76" s="82">
        <v>75.059382</v>
      </c>
      <c r="P76" s="82">
        <v>24.228029</v>
      </c>
      <c r="Q76" s="82">
        <f t="shared" si="39"/>
        <v>50.831353</v>
      </c>
      <c r="R76" s="78">
        <f t="shared" si="45"/>
        <v>13.11889648</v>
      </c>
      <c r="S76" s="83">
        <f t="shared" si="41"/>
        <v>1257.731948</v>
      </c>
      <c r="T76" s="84" t="s">
        <v>660</v>
      </c>
      <c r="U76" s="78">
        <v>1.0</v>
      </c>
      <c r="V76" s="73">
        <v>1.1</v>
      </c>
      <c r="W76" s="79">
        <v>1.0</v>
      </c>
      <c r="X76" s="83">
        <f t="shared" si="42"/>
        <v>1.000554617</v>
      </c>
      <c r="Y76" s="83">
        <f t="shared" si="43"/>
        <v>0.2380897445</v>
      </c>
    </row>
    <row r="77" ht="26.25" customHeight="1">
      <c r="A77" s="72"/>
      <c r="B77" s="73" t="s">
        <v>795</v>
      </c>
      <c r="C77" s="87" t="s">
        <v>656</v>
      </c>
      <c r="D77" s="75">
        <v>7633.0</v>
      </c>
      <c r="E77" s="75" t="s">
        <v>802</v>
      </c>
      <c r="F77" s="75"/>
      <c r="G77" s="77" t="s">
        <v>658</v>
      </c>
      <c r="H77" s="77">
        <f>7633+2786</f>
        <v>10419</v>
      </c>
      <c r="I77" s="77">
        <v>1.0</v>
      </c>
      <c r="J77" s="78">
        <f t="shared" si="44"/>
        <v>13.11889648</v>
      </c>
      <c r="K77" s="79">
        <f t="shared" si="2"/>
        <v>721.9980883</v>
      </c>
      <c r="L77" s="80" t="s">
        <v>658</v>
      </c>
      <c r="M77" s="81">
        <v>7.0</v>
      </c>
      <c r="N77" s="92" t="s">
        <v>659</v>
      </c>
      <c r="O77" s="82">
        <v>90.023753</v>
      </c>
      <c r="P77" s="82">
        <v>60.688836</v>
      </c>
      <c r="Q77" s="82">
        <f t="shared" si="39"/>
        <v>29.334917</v>
      </c>
      <c r="R77" s="78">
        <f t="shared" si="45"/>
        <v>13.11889648</v>
      </c>
      <c r="S77" s="83">
        <f t="shared" si="41"/>
        <v>725.8406499</v>
      </c>
      <c r="T77" s="84" t="s">
        <v>660</v>
      </c>
      <c r="U77" s="78">
        <v>1.0</v>
      </c>
      <c r="V77" s="73">
        <v>1.1</v>
      </c>
      <c r="W77" s="79">
        <v>1.0</v>
      </c>
      <c r="X77" s="83">
        <f t="shared" si="42"/>
        <v>1.005322122</v>
      </c>
      <c r="Y77" s="83">
        <f t="shared" si="43"/>
        <v>1.312263737</v>
      </c>
    </row>
    <row r="78" ht="26.25" customHeight="1">
      <c r="A78" s="73"/>
      <c r="B78" s="73" t="s">
        <v>795</v>
      </c>
      <c r="C78" s="74" t="s">
        <v>533</v>
      </c>
      <c r="D78" s="75">
        <v>6903.0</v>
      </c>
      <c r="E78" s="75" t="s">
        <v>803</v>
      </c>
      <c r="F78" s="75" t="s">
        <v>770</v>
      </c>
      <c r="G78" s="77" t="s">
        <v>689</v>
      </c>
      <c r="H78" s="77">
        <v>30411.0</v>
      </c>
      <c r="I78" s="91">
        <v>10.0</v>
      </c>
      <c r="J78" s="78">
        <f t="shared" si="44"/>
        <v>3.05</v>
      </c>
      <c r="K78" s="79">
        <f t="shared" si="2"/>
        <v>867.0277976</v>
      </c>
      <c r="L78" s="89" t="s">
        <v>303</v>
      </c>
      <c r="M78" s="85" t="s">
        <v>303</v>
      </c>
      <c r="N78" s="85" t="s">
        <v>303</v>
      </c>
      <c r="O78" s="82" t="s">
        <v>303</v>
      </c>
      <c r="P78" s="82" t="s">
        <v>303</v>
      </c>
      <c r="Q78" s="82" t="s">
        <v>303</v>
      </c>
      <c r="R78" s="78" t="s">
        <v>303</v>
      </c>
      <c r="S78" s="79" t="s">
        <v>303</v>
      </c>
      <c r="T78" s="84" t="s">
        <v>705</v>
      </c>
      <c r="U78" s="86">
        <v>1.0</v>
      </c>
      <c r="V78" s="85">
        <v>1.15</v>
      </c>
      <c r="W78" s="79">
        <v>1.0</v>
      </c>
      <c r="X78" s="83">
        <f>101183/102075</f>
        <v>0.9912613275</v>
      </c>
      <c r="Y78" s="83">
        <f>(101183-102075)/(1500000/845)</f>
        <v>-0.5024933333</v>
      </c>
    </row>
    <row r="79" ht="26.25" customHeight="1">
      <c r="A79" s="72"/>
      <c r="B79" s="73" t="s">
        <v>795</v>
      </c>
      <c r="C79" s="87" t="s">
        <v>429</v>
      </c>
      <c r="D79" s="75">
        <v>2764.0</v>
      </c>
      <c r="E79" s="75" t="s">
        <v>804</v>
      </c>
      <c r="F79" s="76" t="s">
        <v>805</v>
      </c>
      <c r="G79" s="77" t="s">
        <v>658</v>
      </c>
      <c r="H79" s="77">
        <f>1382*2+274*2+2764*19+983+1382+1329+851</f>
        <v>60373</v>
      </c>
      <c r="I79" s="77">
        <v>2.0</v>
      </c>
      <c r="J79" s="78">
        <f t="shared" si="44"/>
        <v>13.11889648</v>
      </c>
      <c r="K79" s="79">
        <f t="shared" si="2"/>
        <v>2091.812582</v>
      </c>
      <c r="L79" s="80" t="s">
        <v>658</v>
      </c>
      <c r="M79" s="81">
        <v>2.0</v>
      </c>
      <c r="N79" s="92" t="s">
        <v>659</v>
      </c>
      <c r="O79" s="82">
        <v>90.023753</v>
      </c>
      <c r="P79" s="82">
        <v>65.795724</v>
      </c>
      <c r="Q79" s="82">
        <f t="shared" ref="Q79:Q81" si="46">O79-P79</f>
        <v>24.228029</v>
      </c>
      <c r="R79" s="78">
        <f t="shared" ref="R79:R81" si="47">IFS(L79="S",21494/2048*1.25)</f>
        <v>13.11889648</v>
      </c>
      <c r="S79" s="83">
        <f t="shared" ref="S79:S81" si="48">IFS(N79="B",Q79/M79/100*249945/R79/V79/U79
*W79,N79="C",Q79/M79/100*249945/R79/V79/U79
)</f>
        <v>2098.179078</v>
      </c>
      <c r="T79" s="84" t="s">
        <v>739</v>
      </c>
      <c r="U79" s="78">
        <v>1.0</v>
      </c>
      <c r="V79" s="73">
        <v>1.1</v>
      </c>
      <c r="W79" s="79">
        <v>1.0</v>
      </c>
      <c r="X79" s="83">
        <f t="shared" ref="X79:X81" si="49">S79/K79</f>
        <v>1.003043531</v>
      </c>
      <c r="Y79" s="83">
        <f t="shared" ref="Y79:Y81" si="50">(S79-K79)*M79*U79*V79*J79/(249945/845)</f>
        <v>0.6212018085</v>
      </c>
    </row>
    <row r="80" ht="26.25" customHeight="1">
      <c r="A80" s="73"/>
      <c r="B80" s="73" t="s">
        <v>795</v>
      </c>
      <c r="C80" s="87" t="s">
        <v>806</v>
      </c>
      <c r="D80" s="75">
        <v>680.0</v>
      </c>
      <c r="E80" s="75" t="s">
        <v>807</v>
      </c>
      <c r="F80" s="76"/>
      <c r="G80" s="77" t="s">
        <v>658</v>
      </c>
      <c r="H80" s="77">
        <f>265*5+680*22</f>
        <v>16285</v>
      </c>
      <c r="I80" s="77">
        <v>1.0</v>
      </c>
      <c r="J80" s="78">
        <f t="shared" si="44"/>
        <v>13.11889648</v>
      </c>
      <c r="K80" s="79">
        <f t="shared" si="2"/>
        <v>1079.42536</v>
      </c>
      <c r="L80" s="80" t="s">
        <v>658</v>
      </c>
      <c r="M80" s="81">
        <v>1.0</v>
      </c>
      <c r="N80" s="92" t="s">
        <v>659</v>
      </c>
      <c r="O80" s="82">
        <v>90.023753</v>
      </c>
      <c r="P80" s="82">
        <v>83.372922</v>
      </c>
      <c r="Q80" s="82">
        <f t="shared" si="46"/>
        <v>6.650831</v>
      </c>
      <c r="R80" s="78">
        <f t="shared" si="47"/>
        <v>13.11889648</v>
      </c>
      <c r="S80" s="83">
        <f t="shared" si="48"/>
        <v>1101.856962</v>
      </c>
      <c r="T80" s="84" t="s">
        <v>660</v>
      </c>
      <c r="U80" s="86">
        <v>1.0</v>
      </c>
      <c r="V80" s="73">
        <v>1.15</v>
      </c>
      <c r="W80" s="79">
        <v>1.0</v>
      </c>
      <c r="X80" s="83">
        <f t="shared" si="49"/>
        <v>1.020781059</v>
      </c>
      <c r="Y80" s="83">
        <f t="shared" si="50"/>
        <v>1.144109759</v>
      </c>
    </row>
    <row r="81" ht="26.25" customHeight="1">
      <c r="A81" s="72"/>
      <c r="B81" s="73" t="s">
        <v>795</v>
      </c>
      <c r="C81" s="87" t="s">
        <v>808</v>
      </c>
      <c r="D81" s="75">
        <v>10528.0</v>
      </c>
      <c r="E81" s="76"/>
      <c r="F81" s="76"/>
      <c r="G81" s="77" t="s">
        <v>658</v>
      </c>
      <c r="H81" s="77">
        <v>10528.0</v>
      </c>
      <c r="I81" s="77">
        <v>1.0</v>
      </c>
      <c r="J81" s="78">
        <f t="shared" si="44"/>
        <v>13.11889648</v>
      </c>
      <c r="K81" s="79">
        <f t="shared" si="2"/>
        <v>729.5513843</v>
      </c>
      <c r="L81" s="80" t="s">
        <v>658</v>
      </c>
      <c r="M81" s="81">
        <v>6.0</v>
      </c>
      <c r="N81" s="92" t="s">
        <v>659</v>
      </c>
      <c r="O81" s="82">
        <v>90.023753</v>
      </c>
      <c r="P81" s="82">
        <v>64.726841</v>
      </c>
      <c r="Q81" s="82">
        <f t="shared" si="46"/>
        <v>25.296912</v>
      </c>
      <c r="R81" s="78">
        <f t="shared" si="47"/>
        <v>13.11889648</v>
      </c>
      <c r="S81" s="83">
        <f t="shared" si="48"/>
        <v>730.2485824</v>
      </c>
      <c r="T81" s="84" t="s">
        <v>660</v>
      </c>
      <c r="U81" s="78">
        <v>1.0</v>
      </c>
      <c r="V81" s="73">
        <v>1.1</v>
      </c>
      <c r="W81" s="79">
        <v>1.0</v>
      </c>
      <c r="X81" s="83">
        <f t="shared" si="49"/>
        <v>1.000955653</v>
      </c>
      <c r="Y81" s="83">
        <f t="shared" si="50"/>
        <v>0.2040843391</v>
      </c>
    </row>
    <row r="82" ht="26.25" customHeight="1">
      <c r="A82" s="73"/>
      <c r="B82" s="73" t="s">
        <v>795</v>
      </c>
      <c r="C82" s="87" t="s">
        <v>809</v>
      </c>
      <c r="D82" s="93">
        <v>1540.0</v>
      </c>
      <c r="E82" s="76"/>
      <c r="F82" s="76"/>
      <c r="G82" s="77" t="s">
        <v>689</v>
      </c>
      <c r="H82" s="77">
        <v>23100.0</v>
      </c>
      <c r="I82" s="77">
        <v>5.0</v>
      </c>
      <c r="J82" s="78">
        <f t="shared" si="44"/>
        <v>3.05</v>
      </c>
      <c r="K82" s="79">
        <f t="shared" si="2"/>
        <v>1317.177477</v>
      </c>
      <c r="L82" s="89" t="s">
        <v>303</v>
      </c>
      <c r="M82" s="85" t="s">
        <v>303</v>
      </c>
      <c r="N82" s="85" t="s">
        <v>303</v>
      </c>
      <c r="O82" s="82" t="s">
        <v>303</v>
      </c>
      <c r="P82" s="82" t="s">
        <v>303</v>
      </c>
      <c r="Q82" s="82" t="s">
        <v>303</v>
      </c>
      <c r="R82" s="78" t="s">
        <v>303</v>
      </c>
      <c r="S82" s="79" t="s">
        <v>303</v>
      </c>
      <c r="T82" s="84" t="s">
        <v>705</v>
      </c>
      <c r="U82" s="86">
        <v>1.0</v>
      </c>
      <c r="V82" s="73">
        <v>1.15</v>
      </c>
      <c r="W82" s="79">
        <v>1.0</v>
      </c>
      <c r="X82" s="83">
        <f>81657/78120</f>
        <v>1.045276498</v>
      </c>
      <c r="Y82" s="83">
        <f>(81657-78120)/(1500000/845)</f>
        <v>1.99251</v>
      </c>
    </row>
    <row r="83" ht="26.25" customHeight="1">
      <c r="A83" s="73"/>
      <c r="B83" s="73" t="s">
        <v>795</v>
      </c>
      <c r="C83" s="87" t="s">
        <v>810</v>
      </c>
      <c r="D83" s="76">
        <v>2931.0</v>
      </c>
      <c r="E83" s="76" t="s">
        <v>811</v>
      </c>
      <c r="F83" s="76" t="s">
        <v>812</v>
      </c>
      <c r="G83" s="77" t="s">
        <v>658</v>
      </c>
      <c r="H83" s="77">
        <f>2918*2+2931*2</f>
        <v>11698</v>
      </c>
      <c r="I83" s="77">
        <v>1.0</v>
      </c>
      <c r="J83" s="78">
        <f t="shared" si="44"/>
        <v>13.11889648</v>
      </c>
      <c r="K83" s="79">
        <f t="shared" si="2"/>
        <v>775.3833507</v>
      </c>
      <c r="L83" s="80" t="s">
        <v>658</v>
      </c>
      <c r="M83" s="92">
        <v>2.0</v>
      </c>
      <c r="N83" s="92" t="s">
        <v>659</v>
      </c>
      <c r="O83" s="82">
        <v>85.273159</v>
      </c>
      <c r="P83" s="94">
        <v>75.890736</v>
      </c>
      <c r="Q83" s="82">
        <f t="shared" ref="Q83:Q105" si="51">O83-P83</f>
        <v>9.382423</v>
      </c>
      <c r="R83" s="78">
        <f t="shared" ref="R83:R94" si="52">IFS(L83="S",21494/2048*1.25)</f>
        <v>13.11889648</v>
      </c>
      <c r="S83" s="83">
        <f t="shared" ref="S83:S94" si="53">IFS(N83="B",Q83/M83/100*249945/R83/V83/U83
*W83,N83="C",Q83/M83/100*249945/R83/V83/U83
)</f>
        <v>777.2027364</v>
      </c>
      <c r="T83" s="84" t="s">
        <v>660</v>
      </c>
      <c r="U83" s="78">
        <v>1.0</v>
      </c>
      <c r="V83" s="73">
        <v>1.15</v>
      </c>
      <c r="W83" s="79">
        <v>1.0</v>
      </c>
      <c r="X83" s="83">
        <f t="shared" ref="X83:X105" si="54">S83/K83</f>
        <v>1.002346434</v>
      </c>
      <c r="Y83" s="83">
        <f t="shared" ref="Y83:Y104" si="55">(S83-K83)*M83*U83*V83*J83/(249945/845)</f>
        <v>0.1855932562</v>
      </c>
    </row>
    <row r="84" ht="26.25" customHeight="1">
      <c r="A84" s="73"/>
      <c r="B84" s="73" t="s">
        <v>795</v>
      </c>
      <c r="C84" s="87" t="s">
        <v>810</v>
      </c>
      <c r="D84" s="76">
        <v>3285.0</v>
      </c>
      <c r="E84" s="76" t="s">
        <v>813</v>
      </c>
      <c r="F84" s="76" t="s">
        <v>371</v>
      </c>
      <c r="G84" s="77" t="s">
        <v>658</v>
      </c>
      <c r="H84" s="77">
        <f>3285*2+2628*2</f>
        <v>11826</v>
      </c>
      <c r="I84" s="77">
        <v>1.0</v>
      </c>
      <c r="J84" s="78">
        <f t="shared" si="44"/>
        <v>13.11889648</v>
      </c>
      <c r="K84" s="79">
        <f t="shared" si="2"/>
        <v>783.8676274</v>
      </c>
      <c r="L84" s="80" t="s">
        <v>658</v>
      </c>
      <c r="M84" s="92">
        <v>5.0</v>
      </c>
      <c r="N84" s="92" t="s">
        <v>659</v>
      </c>
      <c r="O84" s="82">
        <v>90.023753</v>
      </c>
      <c r="P84" s="94">
        <v>66.270784</v>
      </c>
      <c r="Q84" s="82">
        <f t="shared" si="51"/>
        <v>23.752969</v>
      </c>
      <c r="R84" s="78">
        <f t="shared" si="52"/>
        <v>13.11889648</v>
      </c>
      <c r="S84" s="83">
        <f t="shared" si="53"/>
        <v>787.0407252</v>
      </c>
      <c r="T84" s="84" t="s">
        <v>660</v>
      </c>
      <c r="U84" s="78">
        <v>1.0</v>
      </c>
      <c r="V84" s="73">
        <v>1.15</v>
      </c>
      <c r="W84" s="79">
        <v>1.0</v>
      </c>
      <c r="X84" s="83">
        <f t="shared" si="54"/>
        <v>1.004048002</v>
      </c>
      <c r="Y84" s="83">
        <f t="shared" si="55"/>
        <v>0.8092093067</v>
      </c>
    </row>
    <row r="85" ht="26.25" customHeight="1">
      <c r="A85" s="72"/>
      <c r="B85" s="73" t="s">
        <v>795</v>
      </c>
      <c r="C85" s="87" t="s">
        <v>814</v>
      </c>
      <c r="D85" s="75">
        <v>4812.0</v>
      </c>
      <c r="E85" s="75" t="s">
        <v>815</v>
      </c>
      <c r="F85" s="75" t="s">
        <v>816</v>
      </c>
      <c r="G85" s="77" t="s">
        <v>658</v>
      </c>
      <c r="H85" s="77">
        <f>(2*6794+10*(4038+4812))/10</f>
        <v>10208.8</v>
      </c>
      <c r="I85" s="91">
        <v>1.0</v>
      </c>
      <c r="J85" s="78">
        <f t="shared" si="44"/>
        <v>13.11889648</v>
      </c>
      <c r="K85" s="79">
        <f t="shared" si="2"/>
        <v>676.6740939</v>
      </c>
      <c r="L85" s="80" t="s">
        <v>658</v>
      </c>
      <c r="M85" s="92">
        <v>10.0</v>
      </c>
      <c r="N85" s="92" t="s">
        <v>659</v>
      </c>
      <c r="O85" s="82">
        <v>90.023753</v>
      </c>
      <c r="P85" s="82">
        <v>49.049881</v>
      </c>
      <c r="Q85" s="82">
        <f t="shared" si="51"/>
        <v>40.973872</v>
      </c>
      <c r="R85" s="78">
        <f t="shared" si="52"/>
        <v>13.11889648</v>
      </c>
      <c r="S85" s="83">
        <f t="shared" si="53"/>
        <v>678.8226334</v>
      </c>
      <c r="T85" s="84" t="s">
        <v>739</v>
      </c>
      <c r="U85" s="78">
        <v>1.0</v>
      </c>
      <c r="V85" s="73">
        <v>1.15</v>
      </c>
      <c r="W85" s="79">
        <v>1.0</v>
      </c>
      <c r="X85" s="83">
        <f t="shared" si="54"/>
        <v>1.003175147</v>
      </c>
      <c r="Y85" s="83">
        <f t="shared" si="55"/>
        <v>1.095849059</v>
      </c>
    </row>
    <row r="86" ht="26.25" customHeight="1">
      <c r="A86" s="73"/>
      <c r="B86" s="73" t="s">
        <v>795</v>
      </c>
      <c r="C86" s="87" t="s">
        <v>817</v>
      </c>
      <c r="D86" s="75">
        <v>6645.0</v>
      </c>
      <c r="E86" s="75" t="s">
        <v>818</v>
      </c>
      <c r="F86" s="75" t="s">
        <v>819</v>
      </c>
      <c r="G86" s="77" t="s">
        <v>658</v>
      </c>
      <c r="H86" s="77">
        <f>((6645+1683)*4+984*2)/4</f>
        <v>8820</v>
      </c>
      <c r="I86" s="77">
        <v>1.0</v>
      </c>
      <c r="J86" s="78">
        <f t="shared" si="44"/>
        <v>13.11889648</v>
      </c>
      <c r="K86" s="79">
        <f t="shared" si="2"/>
        <v>584.6196916</v>
      </c>
      <c r="L86" s="80" t="s">
        <v>658</v>
      </c>
      <c r="M86" s="81">
        <v>4.0</v>
      </c>
      <c r="N86" s="92" t="s">
        <v>659</v>
      </c>
      <c r="O86" s="82">
        <v>86.698337</v>
      </c>
      <c r="P86" s="82">
        <v>72.565321</v>
      </c>
      <c r="Q86" s="82">
        <f t="shared" si="51"/>
        <v>14.133016</v>
      </c>
      <c r="R86" s="78">
        <f t="shared" si="52"/>
        <v>13.11889648</v>
      </c>
      <c r="S86" s="83">
        <f t="shared" si="53"/>
        <v>585.3615164</v>
      </c>
      <c r="T86" s="84" t="s">
        <v>739</v>
      </c>
      <c r="U86" s="78">
        <v>1.0</v>
      </c>
      <c r="V86" s="73">
        <v>1.15</v>
      </c>
      <c r="W86" s="79">
        <v>1.0</v>
      </c>
      <c r="X86" s="83">
        <f t="shared" si="54"/>
        <v>1.001268901</v>
      </c>
      <c r="Y86" s="83">
        <f t="shared" si="55"/>
        <v>0.1513452192</v>
      </c>
    </row>
    <row r="87" ht="26.25" customHeight="1">
      <c r="A87" s="72"/>
      <c r="B87" s="73" t="s">
        <v>795</v>
      </c>
      <c r="C87" s="87" t="s">
        <v>740</v>
      </c>
      <c r="D87" s="76">
        <v>2646.0</v>
      </c>
      <c r="E87" s="76" t="s">
        <v>820</v>
      </c>
      <c r="F87" s="76" t="s">
        <v>812</v>
      </c>
      <c r="G87" s="77" t="s">
        <v>658</v>
      </c>
      <c r="H87" s="77">
        <f>6200+2646</f>
        <v>8846</v>
      </c>
      <c r="I87" s="77">
        <v>1.0</v>
      </c>
      <c r="J87" s="78">
        <f t="shared" si="44"/>
        <v>13.11889648</v>
      </c>
      <c r="K87" s="79">
        <f t="shared" si="2"/>
        <v>586.3430603</v>
      </c>
      <c r="L87" s="80" t="s">
        <v>658</v>
      </c>
      <c r="M87" s="92">
        <v>6.0</v>
      </c>
      <c r="N87" s="92" t="s">
        <v>659</v>
      </c>
      <c r="O87" s="82">
        <v>90.023753</v>
      </c>
      <c r="P87" s="94">
        <v>68.764846</v>
      </c>
      <c r="Q87" s="82">
        <f t="shared" si="51"/>
        <v>21.258907</v>
      </c>
      <c r="R87" s="78">
        <f t="shared" si="52"/>
        <v>13.11889648</v>
      </c>
      <c r="S87" s="83">
        <f t="shared" si="53"/>
        <v>587.0012005</v>
      </c>
      <c r="T87" s="84" t="s">
        <v>660</v>
      </c>
      <c r="U87" s="78">
        <v>1.0</v>
      </c>
      <c r="V87" s="73">
        <v>1.15</v>
      </c>
      <c r="W87" s="79">
        <v>1.0</v>
      </c>
      <c r="X87" s="83">
        <f t="shared" si="54"/>
        <v>1.001122449</v>
      </c>
      <c r="Y87" s="83">
        <f t="shared" si="55"/>
        <v>0.2014081517</v>
      </c>
    </row>
    <row r="88" ht="26.25" customHeight="1">
      <c r="A88" s="72"/>
      <c r="B88" s="73" t="s">
        <v>795</v>
      </c>
      <c r="C88" s="87" t="s">
        <v>740</v>
      </c>
      <c r="D88" s="76">
        <v>2646.0</v>
      </c>
      <c r="E88" s="76" t="s">
        <v>821</v>
      </c>
      <c r="F88" s="76" t="s">
        <v>371</v>
      </c>
      <c r="G88" s="77" t="s">
        <v>658</v>
      </c>
      <c r="H88" s="77">
        <f>6392+2646</f>
        <v>9038</v>
      </c>
      <c r="I88" s="77">
        <v>1.0</v>
      </c>
      <c r="J88" s="78">
        <f t="shared" si="44"/>
        <v>13.11889648</v>
      </c>
      <c r="K88" s="79">
        <f t="shared" si="2"/>
        <v>599.0694754</v>
      </c>
      <c r="L88" s="80" t="s">
        <v>658</v>
      </c>
      <c r="M88" s="92">
        <v>6.0</v>
      </c>
      <c r="N88" s="92" t="s">
        <v>659</v>
      </c>
      <c r="O88" s="82">
        <v>90.023753</v>
      </c>
      <c r="P88" s="94">
        <v>68.289786</v>
      </c>
      <c r="Q88" s="82">
        <f t="shared" si="51"/>
        <v>21.733967</v>
      </c>
      <c r="R88" s="78">
        <f t="shared" si="52"/>
        <v>13.11889648</v>
      </c>
      <c r="S88" s="83">
        <f t="shared" si="53"/>
        <v>600.118563</v>
      </c>
      <c r="T88" s="84" t="s">
        <v>660</v>
      </c>
      <c r="U88" s="78">
        <v>1.0</v>
      </c>
      <c r="V88" s="73">
        <v>1.15</v>
      </c>
      <c r="W88" s="79">
        <v>1.0</v>
      </c>
      <c r="X88" s="83">
        <f t="shared" si="54"/>
        <v>1.001751195</v>
      </c>
      <c r="Y88" s="83">
        <f t="shared" si="55"/>
        <v>0.321048336</v>
      </c>
    </row>
    <row r="89" ht="26.25" customHeight="1">
      <c r="A89" s="72"/>
      <c r="B89" s="73" t="s">
        <v>795</v>
      </c>
      <c r="C89" s="87" t="s">
        <v>822</v>
      </c>
      <c r="D89" s="76">
        <v>8439.0</v>
      </c>
      <c r="E89" s="76" t="s">
        <v>823</v>
      </c>
      <c r="F89" s="76" t="s">
        <v>812</v>
      </c>
      <c r="G89" s="77" t="s">
        <v>658</v>
      </c>
      <c r="H89" s="77">
        <f>8439+3638</f>
        <v>12077</v>
      </c>
      <c r="I89" s="77">
        <v>1.0</v>
      </c>
      <c r="J89" s="78">
        <f t="shared" si="44"/>
        <v>13.11889648</v>
      </c>
      <c r="K89" s="79">
        <f t="shared" si="2"/>
        <v>800.5047637</v>
      </c>
      <c r="L89" s="80" t="s">
        <v>658</v>
      </c>
      <c r="M89" s="92">
        <v>5.0</v>
      </c>
      <c r="N89" s="92" t="s">
        <v>659</v>
      </c>
      <c r="O89" s="82">
        <v>90.023753</v>
      </c>
      <c r="P89" s="94">
        <v>65.795724</v>
      </c>
      <c r="Q89" s="82">
        <f t="shared" si="51"/>
        <v>24.228029</v>
      </c>
      <c r="R89" s="78">
        <f t="shared" si="52"/>
        <v>13.11889648</v>
      </c>
      <c r="S89" s="83">
        <f t="shared" si="53"/>
        <v>802.7815603</v>
      </c>
      <c r="T89" s="84" t="s">
        <v>660</v>
      </c>
      <c r="U89" s="78">
        <v>1.0</v>
      </c>
      <c r="V89" s="73">
        <v>1.15</v>
      </c>
      <c r="W89" s="79">
        <v>1.0</v>
      </c>
      <c r="X89" s="83">
        <f t="shared" si="54"/>
        <v>1.002844201</v>
      </c>
      <c r="Y89" s="83">
        <f t="shared" si="55"/>
        <v>0.5806328833</v>
      </c>
    </row>
    <row r="90" ht="26.25" customHeight="1">
      <c r="A90" s="72"/>
      <c r="B90" s="73" t="s">
        <v>795</v>
      </c>
      <c r="C90" s="87" t="s">
        <v>822</v>
      </c>
      <c r="D90" s="76">
        <v>8266.0</v>
      </c>
      <c r="E90" s="76" t="s">
        <v>824</v>
      </c>
      <c r="F90" s="76" t="s">
        <v>371</v>
      </c>
      <c r="G90" s="77" t="s">
        <v>658</v>
      </c>
      <c r="H90" s="77">
        <f>8266+3781</f>
        <v>12047</v>
      </c>
      <c r="I90" s="77">
        <v>1.0</v>
      </c>
      <c r="J90" s="78">
        <f t="shared" si="44"/>
        <v>13.11889648</v>
      </c>
      <c r="K90" s="79">
        <f t="shared" si="2"/>
        <v>798.5162614</v>
      </c>
      <c r="L90" s="80" t="s">
        <v>658</v>
      </c>
      <c r="M90" s="92">
        <v>4.0</v>
      </c>
      <c r="N90" s="92" t="s">
        <v>659</v>
      </c>
      <c r="O90" s="82">
        <v>90.023753</v>
      </c>
      <c r="P90" s="94">
        <v>70.665083</v>
      </c>
      <c r="Q90" s="82">
        <f t="shared" si="51"/>
        <v>19.35867</v>
      </c>
      <c r="R90" s="78">
        <f t="shared" si="52"/>
        <v>13.11889648</v>
      </c>
      <c r="S90" s="83">
        <f t="shared" si="53"/>
        <v>801.7977498</v>
      </c>
      <c r="T90" s="84" t="s">
        <v>660</v>
      </c>
      <c r="U90" s="78">
        <v>1.0</v>
      </c>
      <c r="V90" s="73">
        <v>1.15</v>
      </c>
      <c r="W90" s="79">
        <v>1.0</v>
      </c>
      <c r="X90" s="83">
        <f t="shared" si="54"/>
        <v>1.004109482</v>
      </c>
      <c r="Y90" s="83">
        <f t="shared" si="55"/>
        <v>0.6694810183</v>
      </c>
    </row>
    <row r="91" ht="26.25" customHeight="1">
      <c r="A91" s="72"/>
      <c r="B91" s="73" t="s">
        <v>795</v>
      </c>
      <c r="C91" s="87" t="s">
        <v>489</v>
      </c>
      <c r="D91" s="75">
        <v>21494.0</v>
      </c>
      <c r="E91" s="75" t="s">
        <v>825</v>
      </c>
      <c r="F91" s="76"/>
      <c r="G91" s="77" t="s">
        <v>658</v>
      </c>
      <c r="H91" s="77">
        <f>21494+7827</f>
        <v>29321</v>
      </c>
      <c r="I91" s="77">
        <v>1.0</v>
      </c>
      <c r="J91" s="78">
        <f t="shared" si="44"/>
        <v>13.11889648</v>
      </c>
      <c r="K91" s="79">
        <f t="shared" si="2"/>
        <v>2031.836639</v>
      </c>
      <c r="L91" s="80" t="s">
        <v>658</v>
      </c>
      <c r="M91" s="81">
        <v>3.0</v>
      </c>
      <c r="N91" s="92" t="s">
        <v>659</v>
      </c>
      <c r="O91" s="82">
        <v>90.023753</v>
      </c>
      <c r="P91" s="82">
        <v>54.750954</v>
      </c>
      <c r="Q91" s="82">
        <f t="shared" si="51"/>
        <v>35.272799</v>
      </c>
      <c r="R91" s="78">
        <f t="shared" si="52"/>
        <v>13.11889648</v>
      </c>
      <c r="S91" s="83">
        <f t="shared" si="53"/>
        <v>2036.447094</v>
      </c>
      <c r="T91" s="84" t="s">
        <v>826</v>
      </c>
      <c r="U91" s="78">
        <v>1.0</v>
      </c>
      <c r="V91" s="73">
        <v>1.1</v>
      </c>
      <c r="W91" s="79">
        <v>1.0</v>
      </c>
      <c r="X91" s="83">
        <f t="shared" si="54"/>
        <v>1.002269107</v>
      </c>
      <c r="Y91" s="83">
        <f t="shared" si="55"/>
        <v>0.67478787</v>
      </c>
    </row>
    <row r="92" ht="26.25" customHeight="1">
      <c r="A92" s="73"/>
      <c r="B92" s="73" t="s">
        <v>795</v>
      </c>
      <c r="C92" s="87" t="s">
        <v>692</v>
      </c>
      <c r="D92" s="75">
        <v>6115.0</v>
      </c>
      <c r="E92" s="75" t="s">
        <v>827</v>
      </c>
      <c r="F92" s="75" t="s">
        <v>828</v>
      </c>
      <c r="G92" s="77" t="s">
        <v>658</v>
      </c>
      <c r="H92" s="77">
        <f>6115+2781</f>
        <v>8896</v>
      </c>
      <c r="I92" s="77">
        <v>1.0</v>
      </c>
      <c r="J92" s="78">
        <f t="shared" si="44"/>
        <v>13.11889648</v>
      </c>
      <c r="K92" s="79">
        <f t="shared" si="2"/>
        <v>616.4598323</v>
      </c>
      <c r="L92" s="80" t="s">
        <v>658</v>
      </c>
      <c r="M92" s="92">
        <v>8.0</v>
      </c>
      <c r="N92" s="92" t="s">
        <v>659</v>
      </c>
      <c r="O92" s="82">
        <v>90.023753</v>
      </c>
      <c r="P92" s="94">
        <v>61.52019</v>
      </c>
      <c r="Q92" s="82">
        <f t="shared" si="51"/>
        <v>28.503563</v>
      </c>
      <c r="R92" s="78">
        <f t="shared" si="52"/>
        <v>13.11889648</v>
      </c>
      <c r="S92" s="83">
        <f t="shared" si="53"/>
        <v>617.111482</v>
      </c>
      <c r="T92" s="84" t="s">
        <v>660</v>
      </c>
      <c r="U92" s="78">
        <v>1.0</v>
      </c>
      <c r="V92" s="73">
        <v>1.1</v>
      </c>
      <c r="W92" s="79">
        <v>1.0</v>
      </c>
      <c r="X92" s="83">
        <f t="shared" si="54"/>
        <v>1.001057084</v>
      </c>
      <c r="Y92" s="83">
        <f t="shared" si="55"/>
        <v>0.2543351801</v>
      </c>
    </row>
    <row r="93" ht="26.25" customHeight="1">
      <c r="A93" s="73"/>
      <c r="B93" s="73" t="s">
        <v>795</v>
      </c>
      <c r="C93" s="87" t="s">
        <v>692</v>
      </c>
      <c r="D93" s="75">
        <v>6115.0</v>
      </c>
      <c r="E93" s="75" t="s">
        <v>829</v>
      </c>
      <c r="F93" s="76" t="s">
        <v>371</v>
      </c>
      <c r="G93" s="77" t="s">
        <v>658</v>
      </c>
      <c r="H93" s="77">
        <f>6115+3128</f>
        <v>9243</v>
      </c>
      <c r="I93" s="77">
        <v>1.0</v>
      </c>
      <c r="J93" s="78">
        <f t="shared" si="44"/>
        <v>13.11889648</v>
      </c>
      <c r="K93" s="79">
        <f t="shared" si="2"/>
        <v>640.5056464</v>
      </c>
      <c r="L93" s="80" t="s">
        <v>658</v>
      </c>
      <c r="M93" s="81">
        <v>8.0</v>
      </c>
      <c r="N93" s="92" t="s">
        <v>659</v>
      </c>
      <c r="O93" s="82">
        <v>90.023753</v>
      </c>
      <c r="P93" s="82">
        <v>60.332542</v>
      </c>
      <c r="Q93" s="82">
        <f t="shared" si="51"/>
        <v>29.691211</v>
      </c>
      <c r="R93" s="78">
        <f t="shared" si="52"/>
        <v>13.11889648</v>
      </c>
      <c r="S93" s="83">
        <f t="shared" si="53"/>
        <v>642.8244505</v>
      </c>
      <c r="T93" s="84" t="s">
        <v>660</v>
      </c>
      <c r="U93" s="78">
        <v>1.0</v>
      </c>
      <c r="V93" s="73">
        <v>1.1</v>
      </c>
      <c r="W93" s="79">
        <v>1.0</v>
      </c>
      <c r="X93" s="83">
        <f t="shared" si="54"/>
        <v>1.003620271</v>
      </c>
      <c r="Y93" s="83">
        <f t="shared" si="55"/>
        <v>0.9050160923</v>
      </c>
    </row>
    <row r="94" ht="26.25" customHeight="1">
      <c r="A94" s="72"/>
      <c r="B94" s="73" t="s">
        <v>795</v>
      </c>
      <c r="C94" s="87" t="s">
        <v>830</v>
      </c>
      <c r="D94" s="75">
        <v>7808.0</v>
      </c>
      <c r="E94" s="75" t="s">
        <v>831</v>
      </c>
      <c r="F94" s="75" t="s">
        <v>832</v>
      </c>
      <c r="G94" s="77" t="s">
        <v>658</v>
      </c>
      <c r="H94" s="77">
        <f>7808+2592</f>
        <v>10400</v>
      </c>
      <c r="I94" s="77">
        <v>1.0</v>
      </c>
      <c r="J94" s="78">
        <f t="shared" si="44"/>
        <v>13.11889648</v>
      </c>
      <c r="K94" s="79">
        <f t="shared" si="2"/>
        <v>720.6814587</v>
      </c>
      <c r="L94" s="80" t="s">
        <v>658</v>
      </c>
      <c r="M94" s="81">
        <v>5.0</v>
      </c>
      <c r="N94" s="92" t="s">
        <v>659</v>
      </c>
      <c r="O94" s="82">
        <v>90.023753</v>
      </c>
      <c r="P94" s="82">
        <v>69.12114</v>
      </c>
      <c r="Q94" s="82">
        <f t="shared" si="51"/>
        <v>20.902613</v>
      </c>
      <c r="R94" s="78">
        <f t="shared" si="52"/>
        <v>13.11889648</v>
      </c>
      <c r="S94" s="83">
        <f t="shared" si="53"/>
        <v>724.0774769</v>
      </c>
      <c r="T94" s="84" t="s">
        <v>739</v>
      </c>
      <c r="U94" s="78">
        <v>1.0</v>
      </c>
      <c r="V94" s="73">
        <v>1.1</v>
      </c>
      <c r="W94" s="79">
        <v>1.0</v>
      </c>
      <c r="X94" s="83">
        <f t="shared" si="54"/>
        <v>1.004712232</v>
      </c>
      <c r="Y94" s="83">
        <f t="shared" si="55"/>
        <v>0.8284041413</v>
      </c>
    </row>
    <row r="95" ht="26.25" customHeight="1">
      <c r="A95" s="72"/>
      <c r="B95" s="73" t="s">
        <v>795</v>
      </c>
      <c r="C95" s="87" t="s">
        <v>830</v>
      </c>
      <c r="D95" s="93">
        <v>265.0</v>
      </c>
      <c r="E95" s="75"/>
      <c r="F95" s="76" t="s">
        <v>833</v>
      </c>
      <c r="G95" s="77" t="s">
        <v>834</v>
      </c>
      <c r="H95" s="77">
        <v>7975.0</v>
      </c>
      <c r="I95" s="77">
        <v>5.0</v>
      </c>
      <c r="J95" s="78">
        <f t="shared" si="44"/>
        <v>1.525</v>
      </c>
      <c r="K95" s="79">
        <f t="shared" si="2"/>
        <v>950.8196721</v>
      </c>
      <c r="L95" s="80" t="s">
        <v>834</v>
      </c>
      <c r="M95" s="81">
        <v>5.0</v>
      </c>
      <c r="N95" s="83" t="s">
        <v>659</v>
      </c>
      <c r="O95" s="82">
        <v>100.0</v>
      </c>
      <c r="P95" s="82">
        <v>95.249406</v>
      </c>
      <c r="Q95" s="82">
        <f t="shared" si="51"/>
        <v>4.750594</v>
      </c>
      <c r="R95" s="78">
        <f>1.25*1.22</f>
        <v>1.525</v>
      </c>
      <c r="S95" s="83">
        <f>IFS(N95="B",Q95/M95/100*170255/R95/V95/U95
*W95,N95="C",Q95/M95/100*170255/R95/V95/U95
)</f>
        <v>964.3068632</v>
      </c>
      <c r="T95" s="84" t="s">
        <v>705</v>
      </c>
      <c r="U95" s="78">
        <v>1.0</v>
      </c>
      <c r="V95" s="73">
        <v>1.1</v>
      </c>
      <c r="W95" s="79">
        <v>1.0</v>
      </c>
      <c r="X95" s="83">
        <f t="shared" si="54"/>
        <v>1.014184804</v>
      </c>
      <c r="Y95" s="83">
        <f t="shared" si="55"/>
        <v>0.3824426311</v>
      </c>
    </row>
    <row r="96" ht="26.25" customHeight="1">
      <c r="A96" s="72"/>
      <c r="B96" s="73" t="s">
        <v>795</v>
      </c>
      <c r="C96" s="74" t="s">
        <v>835</v>
      </c>
      <c r="D96" s="75">
        <v>10317.0</v>
      </c>
      <c r="E96" s="75" t="s">
        <v>836</v>
      </c>
      <c r="F96" s="76" t="s">
        <v>837</v>
      </c>
      <c r="G96" s="77" t="s">
        <v>658</v>
      </c>
      <c r="H96" s="77">
        <f>10317+596</f>
        <v>10913</v>
      </c>
      <c r="I96" s="77">
        <v>1.0</v>
      </c>
      <c r="J96" s="78">
        <f t="shared" si="44"/>
        <v>13.11889648</v>
      </c>
      <c r="K96" s="79">
        <f t="shared" si="2"/>
        <v>756.2304575</v>
      </c>
      <c r="L96" s="80" t="s">
        <v>658</v>
      </c>
      <c r="M96" s="81">
        <v>4.0</v>
      </c>
      <c r="N96" s="92" t="s">
        <v>659</v>
      </c>
      <c r="O96" s="82">
        <v>90.023753</v>
      </c>
      <c r="P96" s="82">
        <v>72.446556</v>
      </c>
      <c r="Q96" s="82">
        <f t="shared" si="51"/>
        <v>17.577197</v>
      </c>
      <c r="R96" s="78">
        <f t="shared" ref="R96:R99" si="56">IFS(L96="S",21494/2048*1.25)</f>
        <v>13.11889648</v>
      </c>
      <c r="S96" s="83">
        <f t="shared" ref="S96:S99" si="57">IFS(N96="B",Q96/M96/100*249945/R96/V96/U96
*W96,N96="C",Q96/M96/100*249945/R96/V96/U96
)</f>
        <v>761.1041533</v>
      </c>
      <c r="T96" s="84" t="s">
        <v>739</v>
      </c>
      <c r="U96" s="78">
        <v>1.0</v>
      </c>
      <c r="V96" s="73">
        <v>1.1</v>
      </c>
      <c r="W96" s="79">
        <v>1.0</v>
      </c>
      <c r="X96" s="83">
        <f t="shared" si="54"/>
        <v>1.006444723</v>
      </c>
      <c r="Y96" s="83">
        <f t="shared" si="55"/>
        <v>0.9510878801</v>
      </c>
    </row>
    <row r="97" ht="26.25" customHeight="1">
      <c r="A97" s="72"/>
      <c r="B97" s="73" t="s">
        <v>795</v>
      </c>
      <c r="C97" s="87" t="s">
        <v>838</v>
      </c>
      <c r="D97" s="75">
        <v>6786.0</v>
      </c>
      <c r="E97" s="75" t="s">
        <v>839</v>
      </c>
      <c r="F97" s="76" t="s">
        <v>840</v>
      </c>
      <c r="G97" s="77" t="s">
        <v>658</v>
      </c>
      <c r="H97" s="77">
        <f>6786*6+2036*6+1755*6+71*8</f>
        <v>64030</v>
      </c>
      <c r="I97" s="77">
        <v>6.0</v>
      </c>
      <c r="J97" s="78">
        <f t="shared" si="44"/>
        <v>13.11889648</v>
      </c>
      <c r="K97" s="79">
        <f t="shared" si="2"/>
        <v>739.5069519</v>
      </c>
      <c r="L97" s="80" t="s">
        <v>658</v>
      </c>
      <c r="M97" s="81">
        <v>6.0</v>
      </c>
      <c r="N97" s="92" t="s">
        <v>659</v>
      </c>
      <c r="O97" s="82">
        <v>90.023753</v>
      </c>
      <c r="P97" s="82">
        <v>64.370546</v>
      </c>
      <c r="Q97" s="82">
        <f t="shared" si="51"/>
        <v>25.653207</v>
      </c>
      <c r="R97" s="78">
        <f t="shared" si="56"/>
        <v>13.11889648</v>
      </c>
      <c r="S97" s="83">
        <f t="shared" si="57"/>
        <v>740.5337871</v>
      </c>
      <c r="T97" s="84" t="s">
        <v>739</v>
      </c>
      <c r="U97" s="78">
        <v>1.0</v>
      </c>
      <c r="V97" s="73">
        <v>1.1</v>
      </c>
      <c r="W97" s="79">
        <v>1.0</v>
      </c>
      <c r="X97" s="83">
        <f t="shared" si="54"/>
        <v>1.00138854</v>
      </c>
      <c r="Y97" s="83">
        <f t="shared" si="55"/>
        <v>0.3005759649</v>
      </c>
    </row>
    <row r="98" ht="26.25" customHeight="1">
      <c r="A98" s="72"/>
      <c r="B98" s="73" t="s">
        <v>795</v>
      </c>
      <c r="C98" s="87" t="s">
        <v>841</v>
      </c>
      <c r="D98" s="76">
        <v>6624.0</v>
      </c>
      <c r="E98" s="88"/>
      <c r="F98" s="88"/>
      <c r="G98" s="77" t="s">
        <v>658</v>
      </c>
      <c r="H98" s="77">
        <v>6624.0</v>
      </c>
      <c r="I98" s="77">
        <v>1.0</v>
      </c>
      <c r="J98" s="78">
        <f t="shared" si="44"/>
        <v>13.11889648</v>
      </c>
      <c r="K98" s="79">
        <f t="shared" si="2"/>
        <v>439.0613194</v>
      </c>
      <c r="L98" s="80" t="s">
        <v>658</v>
      </c>
      <c r="M98" s="92">
        <v>8.0</v>
      </c>
      <c r="N98" s="92" t="s">
        <v>659</v>
      </c>
      <c r="O98" s="82">
        <v>90.023753</v>
      </c>
      <c r="P98" s="94">
        <v>68.764846</v>
      </c>
      <c r="Q98" s="82">
        <f t="shared" si="51"/>
        <v>21.258907</v>
      </c>
      <c r="R98" s="78">
        <f t="shared" si="56"/>
        <v>13.11889648</v>
      </c>
      <c r="S98" s="83">
        <f t="shared" si="57"/>
        <v>440.2509004</v>
      </c>
      <c r="T98" s="84" t="s">
        <v>660</v>
      </c>
      <c r="U98" s="86">
        <v>1.0</v>
      </c>
      <c r="V98" s="73">
        <v>1.15</v>
      </c>
      <c r="W98" s="79">
        <v>1.0</v>
      </c>
      <c r="X98" s="83">
        <f t="shared" si="54"/>
        <v>1.002709373</v>
      </c>
      <c r="Y98" s="83">
        <f t="shared" si="55"/>
        <v>0.4853906278</v>
      </c>
    </row>
    <row r="99" ht="26.25" customHeight="1">
      <c r="A99" s="72"/>
      <c r="B99" s="73" t="s">
        <v>795</v>
      </c>
      <c r="C99" s="87" t="s">
        <v>527</v>
      </c>
      <c r="D99" s="75">
        <v>1699.0</v>
      </c>
      <c r="E99" s="75" t="s">
        <v>842</v>
      </c>
      <c r="F99" s="76" t="s">
        <v>837</v>
      </c>
      <c r="G99" s="77" t="s">
        <v>658</v>
      </c>
      <c r="H99" s="77">
        <f>511+1699*17</f>
        <v>29394</v>
      </c>
      <c r="I99" s="77">
        <v>1.0</v>
      </c>
      <c r="J99" s="78">
        <f t="shared" si="44"/>
        <v>13.11889648</v>
      </c>
      <c r="K99" s="79">
        <f t="shared" si="2"/>
        <v>1948.334605</v>
      </c>
      <c r="L99" s="80" t="s">
        <v>658</v>
      </c>
      <c r="M99" s="81">
        <v>1.0</v>
      </c>
      <c r="N99" s="92" t="s">
        <v>659</v>
      </c>
      <c r="O99" s="82">
        <v>90.023753</v>
      </c>
      <c r="P99" s="82">
        <v>78.147268</v>
      </c>
      <c r="Q99" s="82">
        <f t="shared" si="51"/>
        <v>11.876485</v>
      </c>
      <c r="R99" s="78">
        <f t="shared" si="56"/>
        <v>13.11889648</v>
      </c>
      <c r="S99" s="83">
        <f t="shared" si="57"/>
        <v>1967.601896</v>
      </c>
      <c r="T99" s="84" t="s">
        <v>739</v>
      </c>
      <c r="U99" s="86">
        <v>1.0</v>
      </c>
      <c r="V99" s="73">
        <v>1.15</v>
      </c>
      <c r="W99" s="79">
        <v>1.0</v>
      </c>
      <c r="X99" s="83">
        <f t="shared" si="54"/>
        <v>1.009889108</v>
      </c>
      <c r="Y99" s="83">
        <f t="shared" si="55"/>
        <v>0.9827160619</v>
      </c>
    </row>
    <row r="100" ht="26.25" customHeight="1">
      <c r="A100" s="72"/>
      <c r="B100" s="73" t="s">
        <v>795</v>
      </c>
      <c r="C100" s="87" t="s">
        <v>527</v>
      </c>
      <c r="D100" s="93">
        <v>395.0</v>
      </c>
      <c r="E100" s="93" t="s">
        <v>843</v>
      </c>
      <c r="F100" s="76" t="s">
        <v>844</v>
      </c>
      <c r="G100" s="77" t="s">
        <v>689</v>
      </c>
      <c r="H100" s="77">
        <v>10012.0</v>
      </c>
      <c r="I100" s="91">
        <v>3.0</v>
      </c>
      <c r="J100" s="78">
        <f t="shared" si="44"/>
        <v>3.05</v>
      </c>
      <c r="K100" s="79">
        <f t="shared" si="2"/>
        <v>951.4849133</v>
      </c>
      <c r="L100" s="80" t="s">
        <v>704</v>
      </c>
      <c r="M100" s="81">
        <v>3.0</v>
      </c>
      <c r="N100" s="92" t="s">
        <v>659</v>
      </c>
      <c r="O100" s="82">
        <v>99.64497</v>
      </c>
      <c r="P100" s="82">
        <v>96.923077</v>
      </c>
      <c r="Q100" s="82">
        <f t="shared" si="51"/>
        <v>2.721893</v>
      </c>
      <c r="R100" s="78">
        <f>1.25*1.22</f>
        <v>1.525</v>
      </c>
      <c r="S100" s="83">
        <f>IFS(N100="B",Q100/M100/100*182596/R100/V100/U100
*W100,N100="C",Q100/M100/100*182596/R100/V100/U100
)</f>
        <v>944.6553086</v>
      </c>
      <c r="T100" s="84" t="s">
        <v>705</v>
      </c>
      <c r="U100" s="86">
        <v>1.0</v>
      </c>
      <c r="V100" s="73">
        <v>1.15</v>
      </c>
      <c r="W100" s="79">
        <v>1.0</v>
      </c>
      <c r="X100" s="83">
        <f t="shared" si="54"/>
        <v>0.9928221619</v>
      </c>
      <c r="Y100" s="83">
        <f t="shared" si="55"/>
        <v>-0.2429555124</v>
      </c>
    </row>
    <row r="101" ht="26.25" customHeight="1">
      <c r="A101" s="72"/>
      <c r="B101" s="73" t="s">
        <v>845</v>
      </c>
      <c r="C101" s="87" t="s">
        <v>846</v>
      </c>
      <c r="D101" s="75">
        <v>1383.0</v>
      </c>
      <c r="E101" s="75" t="s">
        <v>847</v>
      </c>
      <c r="F101" s="76"/>
      <c r="G101" s="77" t="s">
        <v>658</v>
      </c>
      <c r="H101" s="77">
        <v>1383.0</v>
      </c>
      <c r="I101" s="77">
        <v>1.0</v>
      </c>
      <c r="J101" s="78">
        <f t="shared" si="44"/>
        <v>13.11889648</v>
      </c>
      <c r="K101" s="79">
        <f t="shared" si="2"/>
        <v>91.66995845</v>
      </c>
      <c r="L101" s="80" t="s">
        <v>658</v>
      </c>
      <c r="M101" s="81">
        <v>12.0</v>
      </c>
      <c r="N101" s="92" t="s">
        <v>659</v>
      </c>
      <c r="O101" s="82">
        <v>90.023753</v>
      </c>
      <c r="P101" s="82">
        <v>86.342043</v>
      </c>
      <c r="Q101" s="82">
        <f t="shared" si="51"/>
        <v>3.68171</v>
      </c>
      <c r="R101" s="78">
        <f t="shared" ref="R101:R104" si="58">IFS(L101="S",21494/2048*1.25)</f>
        <v>13.11889648</v>
      </c>
      <c r="S101" s="83">
        <f t="shared" ref="S101:S104" si="59">IFS(N101="B",Q101/M101/100*249945/R101/V101/U101
*W101,N101="C",Q101/M101/100*249945/R101/V101/U101
)</f>
        <v>91.1770299</v>
      </c>
      <c r="T101" s="84" t="s">
        <v>739</v>
      </c>
      <c r="U101" s="86">
        <v>1.0</v>
      </c>
      <c r="V101" s="73">
        <v>1.15</v>
      </c>
      <c r="W101" s="83">
        <f t="shared" ref="W101:W102" si="60">1383/771</f>
        <v>1.793774319</v>
      </c>
      <c r="X101" s="83">
        <f t="shared" si="54"/>
        <v>0.9946227907</v>
      </c>
      <c r="Y101" s="83">
        <f t="shared" si="55"/>
        <v>-0.3016981335</v>
      </c>
    </row>
    <row r="102" ht="26.25" customHeight="1">
      <c r="A102" s="72"/>
      <c r="B102" s="73" t="s">
        <v>845</v>
      </c>
      <c r="C102" s="87" t="s">
        <v>656</v>
      </c>
      <c r="D102" s="76">
        <v>1383.0</v>
      </c>
      <c r="E102" s="76" t="s">
        <v>848</v>
      </c>
      <c r="F102" s="76"/>
      <c r="G102" s="77" t="s">
        <v>658</v>
      </c>
      <c r="H102" s="77">
        <v>1383.0</v>
      </c>
      <c r="I102" s="77">
        <v>1.0</v>
      </c>
      <c r="J102" s="78">
        <f t="shared" si="44"/>
        <v>13.11889648</v>
      </c>
      <c r="K102" s="79">
        <f t="shared" si="2"/>
        <v>91.66995845</v>
      </c>
      <c r="L102" s="80" t="s">
        <v>658</v>
      </c>
      <c r="M102" s="92">
        <v>13.0</v>
      </c>
      <c r="N102" s="92" t="s">
        <v>659</v>
      </c>
      <c r="O102" s="82">
        <v>90.023753</v>
      </c>
      <c r="P102" s="94">
        <v>85.985748</v>
      </c>
      <c r="Q102" s="82">
        <f t="shared" si="51"/>
        <v>4.038005</v>
      </c>
      <c r="R102" s="78">
        <f t="shared" si="58"/>
        <v>13.11889648</v>
      </c>
      <c r="S102" s="83">
        <f t="shared" si="59"/>
        <v>92.30826962</v>
      </c>
      <c r="T102" s="84" t="s">
        <v>660</v>
      </c>
      <c r="U102" s="86">
        <v>1.0</v>
      </c>
      <c r="V102" s="73">
        <v>1.15</v>
      </c>
      <c r="W102" s="83">
        <f t="shared" si="60"/>
        <v>1.793774319</v>
      </c>
      <c r="X102" s="83">
        <f t="shared" si="54"/>
        <v>1.006963144</v>
      </c>
      <c r="Y102" s="83">
        <f t="shared" si="55"/>
        <v>0.423236579</v>
      </c>
    </row>
    <row r="103" ht="26.25" customHeight="1">
      <c r="A103" s="72"/>
      <c r="B103" s="73" t="s">
        <v>845</v>
      </c>
      <c r="C103" s="87" t="s">
        <v>758</v>
      </c>
      <c r="D103" s="76">
        <v>1572.0</v>
      </c>
      <c r="E103" s="76" t="s">
        <v>849</v>
      </c>
      <c r="F103" s="76"/>
      <c r="G103" s="77" t="s">
        <v>658</v>
      </c>
      <c r="H103" s="77">
        <v>1572.0</v>
      </c>
      <c r="I103" s="77">
        <v>1.0</v>
      </c>
      <c r="J103" s="78">
        <f t="shared" si="44"/>
        <v>13.11889648</v>
      </c>
      <c r="K103" s="79">
        <f t="shared" si="2"/>
        <v>104.1975233</v>
      </c>
      <c r="L103" s="80" t="s">
        <v>658</v>
      </c>
      <c r="M103" s="92">
        <v>10.0</v>
      </c>
      <c r="N103" s="92" t="s">
        <v>659</v>
      </c>
      <c r="O103" s="82">
        <v>90.023753</v>
      </c>
      <c r="P103" s="94">
        <v>86.698337</v>
      </c>
      <c r="Q103" s="82">
        <f t="shared" si="51"/>
        <v>3.325416</v>
      </c>
      <c r="R103" s="78">
        <f t="shared" si="58"/>
        <v>13.11889648</v>
      </c>
      <c r="S103" s="83">
        <f t="shared" si="59"/>
        <v>102.0093878</v>
      </c>
      <c r="T103" s="84" t="s">
        <v>660</v>
      </c>
      <c r="U103" s="86">
        <v>1.0</v>
      </c>
      <c r="V103" s="73">
        <v>1.15</v>
      </c>
      <c r="W103" s="83">
        <f>1572/849</f>
        <v>1.851590106</v>
      </c>
      <c r="X103" s="83">
        <f t="shared" si="54"/>
        <v>0.9790001203</v>
      </c>
      <c r="Y103" s="83">
        <f t="shared" si="55"/>
        <v>-1.116044739</v>
      </c>
    </row>
    <row r="104" ht="26.25" customHeight="1">
      <c r="A104" s="72"/>
      <c r="B104" s="73" t="s">
        <v>845</v>
      </c>
      <c r="C104" s="87" t="s">
        <v>850</v>
      </c>
      <c r="D104" s="75">
        <v>578.0</v>
      </c>
      <c r="E104" s="75" t="s">
        <v>851</v>
      </c>
      <c r="F104" s="76" t="s">
        <v>852</v>
      </c>
      <c r="G104" s="77" t="s">
        <v>658</v>
      </c>
      <c r="H104" s="77">
        <f>578*3</f>
        <v>1734</v>
      </c>
      <c r="I104" s="77">
        <v>1.0</v>
      </c>
      <c r="J104" s="78">
        <f t="shared" si="44"/>
        <v>13.11889648</v>
      </c>
      <c r="K104" s="79">
        <f t="shared" si="2"/>
        <v>114.935436</v>
      </c>
      <c r="L104" s="80" t="s">
        <v>658</v>
      </c>
      <c r="M104" s="81">
        <v>8.0</v>
      </c>
      <c r="N104" s="92" t="s">
        <v>659</v>
      </c>
      <c r="O104" s="82">
        <v>90.023753</v>
      </c>
      <c r="P104" s="82">
        <v>87.054632</v>
      </c>
      <c r="Q104" s="82">
        <f t="shared" si="51"/>
        <v>2.969121</v>
      </c>
      <c r="R104" s="78">
        <f t="shared" si="58"/>
        <v>13.11889648</v>
      </c>
      <c r="S104" s="83">
        <f t="shared" si="59"/>
        <v>113.9096354</v>
      </c>
      <c r="T104" s="84" t="s">
        <v>739</v>
      </c>
      <c r="U104" s="86">
        <v>1.0</v>
      </c>
      <c r="V104" s="73">
        <v>1.15</v>
      </c>
      <c r="W104" s="83">
        <f t="shared" ref="W104:W106" si="61">578/312</f>
        <v>1.852564103</v>
      </c>
      <c r="X104" s="83">
        <f t="shared" si="54"/>
        <v>0.9910749844</v>
      </c>
      <c r="Y104" s="83">
        <f t="shared" si="55"/>
        <v>-0.4185625015</v>
      </c>
    </row>
    <row r="105" ht="26.25" customHeight="1">
      <c r="A105" s="72"/>
      <c r="B105" s="73" t="s">
        <v>845</v>
      </c>
      <c r="C105" s="87" t="s">
        <v>850</v>
      </c>
      <c r="D105" s="76"/>
      <c r="E105" s="76"/>
      <c r="F105" s="76" t="s">
        <v>853</v>
      </c>
      <c r="G105" s="77" t="s">
        <v>704</v>
      </c>
      <c r="H105" s="77">
        <f>4801*1.5</f>
        <v>7201.5</v>
      </c>
      <c r="I105" s="77">
        <v>1.0</v>
      </c>
      <c r="J105" s="78">
        <f t="shared" si="44"/>
        <v>1.525</v>
      </c>
      <c r="K105" s="79">
        <f t="shared" si="2"/>
        <v>4106.34355</v>
      </c>
      <c r="L105" s="80" t="s">
        <v>704</v>
      </c>
      <c r="M105" s="81">
        <v>1.0</v>
      </c>
      <c r="N105" s="81" t="s">
        <v>689</v>
      </c>
      <c r="O105" s="82">
        <v>99.526627</v>
      </c>
      <c r="P105" s="82">
        <v>95.621302</v>
      </c>
      <c r="Q105" s="82">
        <f t="shared" si="51"/>
        <v>3.905325</v>
      </c>
      <c r="R105" s="78">
        <f>1.25*1.22</f>
        <v>1.525</v>
      </c>
      <c r="S105" s="83">
        <f>IFS(N105="B",Q105/M105/100*182596/R105/V105/U105
*W105,N105="C",Q105/M105/100*182596/R105/V105/U105
)</f>
        <v>4066.125296</v>
      </c>
      <c r="T105" s="84" t="s">
        <v>705</v>
      </c>
      <c r="U105" s="86">
        <v>1.0</v>
      </c>
      <c r="V105" s="73">
        <v>1.15</v>
      </c>
      <c r="W105" s="83">
        <f t="shared" si="61"/>
        <v>1.852564103</v>
      </c>
      <c r="X105" s="83">
        <f t="shared" si="54"/>
        <v>0.9902058234</v>
      </c>
      <c r="Y105" s="83">
        <f>(S105-K105)*M105*U105*V105*J105/(182596/845)</f>
        <v>-0.3264046569</v>
      </c>
    </row>
    <row r="106" ht="26.25" customHeight="1">
      <c r="A106" s="72"/>
      <c r="B106" s="73" t="s">
        <v>845</v>
      </c>
      <c r="C106" s="87" t="s">
        <v>850</v>
      </c>
      <c r="D106" s="76"/>
      <c r="E106" s="76"/>
      <c r="F106" s="76" t="s">
        <v>854</v>
      </c>
      <c r="G106" s="77" t="s">
        <v>704</v>
      </c>
      <c r="H106" s="77">
        <f>7552*1.5</f>
        <v>11328</v>
      </c>
      <c r="I106" s="77">
        <v>1.0</v>
      </c>
      <c r="J106" s="78">
        <f t="shared" si="44"/>
        <v>1.525</v>
      </c>
      <c r="K106" s="79">
        <f t="shared" si="2"/>
        <v>6459.301497</v>
      </c>
      <c r="L106" s="89" t="s">
        <v>303</v>
      </c>
      <c r="M106" s="85" t="s">
        <v>303</v>
      </c>
      <c r="N106" s="85" t="s">
        <v>303</v>
      </c>
      <c r="O106" s="82" t="s">
        <v>303</v>
      </c>
      <c r="P106" s="82" t="s">
        <v>303</v>
      </c>
      <c r="Q106" s="82" t="s">
        <v>303</v>
      </c>
      <c r="R106" s="78" t="s">
        <v>303</v>
      </c>
      <c r="S106" s="79" t="s">
        <v>303</v>
      </c>
      <c r="T106" s="84" t="s">
        <v>705</v>
      </c>
      <c r="U106" s="86">
        <v>1.0</v>
      </c>
      <c r="V106" s="73">
        <v>1.15</v>
      </c>
      <c r="W106" s="83">
        <f t="shared" si="61"/>
        <v>1.852564103</v>
      </c>
      <c r="X106" s="83">
        <f>40828/42418</f>
        <v>0.9625159131</v>
      </c>
      <c r="Y106" s="83">
        <f>(40828-42418)/(1500000/845)</f>
        <v>-0.8957</v>
      </c>
    </row>
    <row r="107" ht="26.25" customHeight="1">
      <c r="A107" s="85"/>
      <c r="B107" s="85" t="s">
        <v>845</v>
      </c>
      <c r="C107" s="74" t="s">
        <v>855</v>
      </c>
      <c r="D107" s="75">
        <v>1698.0</v>
      </c>
      <c r="E107" s="75" t="s">
        <v>856</v>
      </c>
      <c r="F107" s="76"/>
      <c r="G107" s="77" t="s">
        <v>658</v>
      </c>
      <c r="H107" s="77">
        <v>1698.0</v>
      </c>
      <c r="I107" s="77">
        <v>1.0</v>
      </c>
      <c r="J107" s="78">
        <f t="shared" si="44"/>
        <v>13.11889648</v>
      </c>
      <c r="K107" s="79">
        <f t="shared" si="2"/>
        <v>107.1897459</v>
      </c>
      <c r="L107" s="80" t="s">
        <v>658</v>
      </c>
      <c r="M107" s="81">
        <v>8.0</v>
      </c>
      <c r="N107" s="81" t="s">
        <v>689</v>
      </c>
      <c r="O107" s="82">
        <v>90.023753</v>
      </c>
      <c r="P107" s="82">
        <v>84.56057</v>
      </c>
      <c r="Q107" s="82">
        <f t="shared" ref="Q107:Q109" si="62">O107-P107</f>
        <v>5.463183</v>
      </c>
      <c r="R107" s="78">
        <f t="shared" ref="R107:R109" si="63">IFS(L107="S",21494/2048*1.25)</f>
        <v>13.11889648</v>
      </c>
      <c r="S107" s="83">
        <f t="shared" ref="S107:S109" si="64">IFS(N107="B",Q107/M107/100*249945/R107/V107/U107
*W107,N107="C",Q107/M107/100*249945/R107/V107/U107
)</f>
        <v>107.7496257</v>
      </c>
      <c r="T107" s="84" t="s">
        <v>757</v>
      </c>
      <c r="U107" s="78">
        <v>1.05</v>
      </c>
      <c r="V107" s="85">
        <v>1.15</v>
      </c>
      <c r="W107" s="83">
        <f>1698/1090</f>
        <v>1.557798165</v>
      </c>
      <c r="X107" s="83">
        <f t="shared" ref="X107:X109" si="65">S107/K107</f>
        <v>1.005223259</v>
      </c>
      <c r="Y107" s="83">
        <f t="shared" ref="Y107:Y109" si="66">(S107-K107)*M107*U107*V107*J107/(249945/845)</f>
        <v>0.2398730649</v>
      </c>
    </row>
    <row r="108" ht="26.25" customHeight="1">
      <c r="A108" s="85"/>
      <c r="B108" s="85" t="s">
        <v>845</v>
      </c>
      <c r="C108" s="74" t="s">
        <v>857</v>
      </c>
      <c r="D108" s="75">
        <v>4366.0</v>
      </c>
      <c r="E108" s="75" t="s">
        <v>858</v>
      </c>
      <c r="F108" s="76"/>
      <c r="G108" s="77" t="s">
        <v>658</v>
      </c>
      <c r="H108" s="77">
        <v>4366.0</v>
      </c>
      <c r="I108" s="77">
        <v>1.0</v>
      </c>
      <c r="J108" s="78">
        <f t="shared" si="44"/>
        <v>13.11889648</v>
      </c>
      <c r="K108" s="79">
        <f t="shared" si="2"/>
        <v>275.6127388</v>
      </c>
      <c r="L108" s="80" t="s">
        <v>658</v>
      </c>
      <c r="M108" s="81">
        <v>10.0</v>
      </c>
      <c r="N108" s="81" t="s">
        <v>689</v>
      </c>
      <c r="O108" s="82">
        <v>90.023753</v>
      </c>
      <c r="P108" s="82">
        <v>72.565321</v>
      </c>
      <c r="Q108" s="82">
        <f t="shared" si="62"/>
        <v>17.458432</v>
      </c>
      <c r="R108" s="78">
        <f t="shared" si="63"/>
        <v>13.11889648</v>
      </c>
      <c r="S108" s="83">
        <f t="shared" si="64"/>
        <v>275.4642504</v>
      </c>
      <c r="T108" s="84" t="s">
        <v>757</v>
      </c>
      <c r="U108" s="78">
        <v>1.05</v>
      </c>
      <c r="V108" s="85">
        <v>1.15</v>
      </c>
      <c r="W108" s="83">
        <f>4366/1092</f>
        <v>3.998168498</v>
      </c>
      <c r="X108" s="83">
        <f t="shared" si="65"/>
        <v>0.9994612428</v>
      </c>
      <c r="Y108" s="83">
        <f t="shared" si="66"/>
        <v>-0.07952232</v>
      </c>
    </row>
    <row r="109" ht="26.25" customHeight="1">
      <c r="A109" s="72"/>
      <c r="B109" s="73" t="s">
        <v>845</v>
      </c>
      <c r="C109" s="87" t="s">
        <v>457</v>
      </c>
      <c r="D109" s="75">
        <v>7754.0</v>
      </c>
      <c r="E109" s="75" t="s">
        <v>859</v>
      </c>
      <c r="F109" s="76" t="s">
        <v>860</v>
      </c>
      <c r="G109" s="77" t="s">
        <v>658</v>
      </c>
      <c r="H109" s="77">
        <v>7754.0</v>
      </c>
      <c r="I109" s="77">
        <v>1.0</v>
      </c>
      <c r="J109" s="78">
        <f t="shared" si="44"/>
        <v>13.11889648</v>
      </c>
      <c r="K109" s="79">
        <f t="shared" si="2"/>
        <v>467.2377952</v>
      </c>
      <c r="L109" s="80" t="s">
        <v>658</v>
      </c>
      <c r="M109" s="81">
        <v>7.0</v>
      </c>
      <c r="N109" s="92" t="s">
        <v>689</v>
      </c>
      <c r="O109" s="82">
        <v>90.023753</v>
      </c>
      <c r="P109" s="82">
        <v>68.289786</v>
      </c>
      <c r="Q109" s="82">
        <f t="shared" si="62"/>
        <v>21.733967</v>
      </c>
      <c r="R109" s="78">
        <f t="shared" si="63"/>
        <v>13.11889648</v>
      </c>
      <c r="S109" s="83">
        <f t="shared" si="64"/>
        <v>467.6248543</v>
      </c>
      <c r="T109" s="84" t="s">
        <v>739</v>
      </c>
      <c r="U109" s="86">
        <v>1.1</v>
      </c>
      <c r="V109" s="73">
        <v>1.15</v>
      </c>
      <c r="W109" s="83">
        <f t="shared" ref="W109:W111" si="67">7754/4852</f>
        <v>1.598103875</v>
      </c>
      <c r="X109" s="83">
        <f t="shared" si="65"/>
        <v>1.000828399</v>
      </c>
      <c r="Y109" s="83">
        <f t="shared" si="66"/>
        <v>0.1520111478</v>
      </c>
    </row>
    <row r="110" ht="26.25" customHeight="1">
      <c r="A110" s="72"/>
      <c r="B110" s="85" t="s">
        <v>845</v>
      </c>
      <c r="C110" s="74" t="s">
        <v>457</v>
      </c>
      <c r="D110" s="75"/>
      <c r="E110" s="75"/>
      <c r="F110" s="75" t="s">
        <v>861</v>
      </c>
      <c r="G110" s="77" t="s">
        <v>704</v>
      </c>
      <c r="H110" s="77">
        <f>(15269-(152+199+105+246+293+340)/1.5)*1.5</f>
        <v>21568.5</v>
      </c>
      <c r="I110" s="77">
        <v>1.0</v>
      </c>
      <c r="J110" s="78">
        <f t="shared" si="44"/>
        <v>1.525</v>
      </c>
      <c r="K110" s="79">
        <f t="shared" si="2"/>
        <v>11180.45746</v>
      </c>
      <c r="L110" s="89" t="s">
        <v>303</v>
      </c>
      <c r="M110" s="85" t="s">
        <v>303</v>
      </c>
      <c r="N110" s="85" t="s">
        <v>303</v>
      </c>
      <c r="O110" s="82" t="s">
        <v>303</v>
      </c>
      <c r="P110" s="82" t="s">
        <v>303</v>
      </c>
      <c r="Q110" s="82" t="s">
        <v>303</v>
      </c>
      <c r="R110" s="78" t="s">
        <v>303</v>
      </c>
      <c r="S110" s="79" t="s">
        <v>303</v>
      </c>
      <c r="T110" s="84" t="s">
        <v>705</v>
      </c>
      <c r="U110" s="78">
        <v>1.1</v>
      </c>
      <c r="V110" s="85">
        <v>1.15</v>
      </c>
      <c r="W110" s="83">
        <f t="shared" si="67"/>
        <v>1.598103875</v>
      </c>
      <c r="X110" s="83">
        <f>113609/117985</f>
        <v>0.9629105395</v>
      </c>
      <c r="Y110" s="83">
        <f>(113609-117985)/(1500000/845)</f>
        <v>-2.465146667</v>
      </c>
    </row>
    <row r="111" ht="26.25" customHeight="1">
      <c r="A111" s="72"/>
      <c r="B111" s="73" t="s">
        <v>845</v>
      </c>
      <c r="C111" s="87" t="s">
        <v>457</v>
      </c>
      <c r="D111" s="76"/>
      <c r="E111" s="76"/>
      <c r="F111" s="76" t="s">
        <v>862</v>
      </c>
      <c r="G111" s="77" t="s">
        <v>704</v>
      </c>
      <c r="H111" s="77">
        <f>11749*1.5</f>
        <v>17623.5</v>
      </c>
      <c r="I111" s="77">
        <v>1.0</v>
      </c>
      <c r="J111" s="78">
        <f t="shared" si="44"/>
        <v>1.525</v>
      </c>
      <c r="K111" s="79">
        <f t="shared" si="2"/>
        <v>9135.488887</v>
      </c>
      <c r="L111" s="89" t="s">
        <v>303</v>
      </c>
      <c r="M111" s="85" t="s">
        <v>303</v>
      </c>
      <c r="N111" s="85" t="s">
        <v>303</v>
      </c>
      <c r="O111" s="82" t="s">
        <v>303</v>
      </c>
      <c r="P111" s="82" t="s">
        <v>303</v>
      </c>
      <c r="Q111" s="82" t="s">
        <v>303</v>
      </c>
      <c r="R111" s="78" t="s">
        <v>303</v>
      </c>
      <c r="S111" s="79" t="s">
        <v>303</v>
      </c>
      <c r="T111" s="84" t="s">
        <v>705</v>
      </c>
      <c r="U111" s="86">
        <v>1.1</v>
      </c>
      <c r="V111" s="73">
        <v>1.15</v>
      </c>
      <c r="W111" s="83">
        <f t="shared" si="67"/>
        <v>1.598103875</v>
      </c>
      <c r="X111" s="83">
        <f>113609/105052</f>
        <v>1.081454899</v>
      </c>
      <c r="Y111" s="83">
        <f>(113609-105052)/(1500000/845)</f>
        <v>4.820443333</v>
      </c>
    </row>
    <row r="112" ht="26.25" customHeight="1">
      <c r="A112" s="72"/>
      <c r="B112" s="73" t="s">
        <v>845</v>
      </c>
      <c r="C112" s="87" t="s">
        <v>863</v>
      </c>
      <c r="D112" s="75">
        <v>1481.0</v>
      </c>
      <c r="E112" s="75" t="s">
        <v>864</v>
      </c>
      <c r="F112" s="75" t="s">
        <v>865</v>
      </c>
      <c r="G112" s="77" t="s">
        <v>658</v>
      </c>
      <c r="H112" s="77">
        <v>1481.0</v>
      </c>
      <c r="I112" s="77">
        <v>1.0</v>
      </c>
      <c r="J112" s="78">
        <f t="shared" si="44"/>
        <v>13.11889648</v>
      </c>
      <c r="K112" s="79">
        <f t="shared" si="2"/>
        <v>89.24157528</v>
      </c>
      <c r="L112" s="80" t="s">
        <v>658</v>
      </c>
      <c r="M112" s="81">
        <v>9.0</v>
      </c>
      <c r="N112" s="92" t="s">
        <v>689</v>
      </c>
      <c r="O112" s="82">
        <v>90.023753</v>
      </c>
      <c r="P112" s="82">
        <v>84.679335</v>
      </c>
      <c r="Q112" s="82">
        <f>O112-P112</f>
        <v>5.344418</v>
      </c>
      <c r="R112" s="78">
        <f>IFS(L112="S",21494/2048*1.25)</f>
        <v>13.11889648</v>
      </c>
      <c r="S112" s="83">
        <f>IFS(N112="B",Q112/M112/100*249945/R112/V112/U112
*W112,N112="C",Q112/M112/100*249945/R112/V112/U112
)</f>
        <v>89.43644563</v>
      </c>
      <c r="T112" s="84" t="s">
        <v>739</v>
      </c>
      <c r="U112" s="86">
        <v>1.1</v>
      </c>
      <c r="V112" s="73">
        <v>1.15</v>
      </c>
      <c r="W112" s="83">
        <f>1481/800</f>
        <v>1.85125</v>
      </c>
      <c r="X112" s="83">
        <f>S112/K112</f>
        <v>1.002183627</v>
      </c>
      <c r="Y112" s="83">
        <f>(S112-K112)*M112*U112*V112*J112/(249945/845)</f>
        <v>0.0983984746</v>
      </c>
    </row>
    <row r="113" ht="26.25" customHeight="1">
      <c r="A113" s="72"/>
      <c r="B113" s="73" t="s">
        <v>845</v>
      </c>
      <c r="C113" s="87" t="s">
        <v>863</v>
      </c>
      <c r="D113" s="76"/>
      <c r="E113" s="76"/>
      <c r="F113" s="76" t="s">
        <v>866</v>
      </c>
      <c r="G113" s="77" t="s">
        <v>689</v>
      </c>
      <c r="H113" s="77">
        <v>44377.0</v>
      </c>
      <c r="I113" s="77">
        <v>30.0</v>
      </c>
      <c r="J113" s="95">
        <f>1.25*2*1.15</f>
        <v>2.875</v>
      </c>
      <c r="K113" s="79">
        <f t="shared" si="2"/>
        <v>426.100159</v>
      </c>
      <c r="L113" s="89" t="s">
        <v>303</v>
      </c>
      <c r="M113" s="85" t="s">
        <v>303</v>
      </c>
      <c r="N113" s="85" t="s">
        <v>303</v>
      </c>
      <c r="O113" s="82" t="s">
        <v>303</v>
      </c>
      <c r="P113" s="82" t="s">
        <v>303</v>
      </c>
      <c r="Q113" s="82" t="s">
        <v>303</v>
      </c>
      <c r="R113" s="78" t="s">
        <v>303</v>
      </c>
      <c r="S113" s="79" t="s">
        <v>303</v>
      </c>
      <c r="T113" s="84" t="s">
        <v>867</v>
      </c>
      <c r="U113" s="78">
        <v>1.05</v>
      </c>
      <c r="V113" s="73">
        <v>1.15</v>
      </c>
      <c r="W113" s="83">
        <f>AVERAGE(1.851,1.472)</f>
        <v>1.6615</v>
      </c>
      <c r="X113" s="83">
        <f>(55030-8876)/44377</f>
        <v>1.040043266</v>
      </c>
      <c r="Y113" s="83">
        <f>((55030-8876)-44377)/(1500000/845)</f>
        <v>1.001043333</v>
      </c>
    </row>
    <row r="114" ht="26.25" customHeight="1">
      <c r="A114" s="72"/>
      <c r="B114" s="73" t="s">
        <v>845</v>
      </c>
      <c r="C114" s="87" t="s">
        <v>863</v>
      </c>
      <c r="D114" s="75">
        <v>1944.0</v>
      </c>
      <c r="E114" s="75" t="s">
        <v>868</v>
      </c>
      <c r="F114" s="75" t="s">
        <v>869</v>
      </c>
      <c r="G114" s="77" t="s">
        <v>658</v>
      </c>
      <c r="H114" s="77">
        <f>1944+845</f>
        <v>2789</v>
      </c>
      <c r="I114" s="77">
        <v>1.0</v>
      </c>
      <c r="J114" s="78">
        <f>IFS(G114="S",21494/2048*1.25,G114="C",1.25*2*1.22,OR(G114="R",G114="T"),1.25*1.22)</f>
        <v>13.11889648</v>
      </c>
      <c r="K114" s="79">
        <f t="shared" si="2"/>
        <v>168.0585776</v>
      </c>
      <c r="L114" s="80" t="s">
        <v>658</v>
      </c>
      <c r="M114" s="81">
        <v>5.0</v>
      </c>
      <c r="N114" s="92" t="s">
        <v>689</v>
      </c>
      <c r="O114" s="82">
        <v>90.023753</v>
      </c>
      <c r="P114" s="82">
        <v>84.441805</v>
      </c>
      <c r="Q114" s="82">
        <f>O114-P114</f>
        <v>5.581948</v>
      </c>
      <c r="R114" s="78">
        <f>IFS(L114="S",21494/2048*1.25)</f>
        <v>13.11889648</v>
      </c>
      <c r="S114" s="83">
        <f>IFS(N114="B",Q114/M114/100*249945/R114/V114/U114
*W114,N114="C",Q114/M114/100*249945/R114/V114/U114
)</f>
        <v>168.1405272</v>
      </c>
      <c r="T114" s="84" t="s">
        <v>739</v>
      </c>
      <c r="U114" s="86">
        <v>1.1</v>
      </c>
      <c r="V114" s="73">
        <v>1.15</v>
      </c>
      <c r="W114" s="83">
        <f>(1944+845)/(1050+845)</f>
        <v>1.47176781</v>
      </c>
      <c r="X114" s="83">
        <f>S114/K114</f>
        <v>1.000487625</v>
      </c>
      <c r="Y114" s="83">
        <f>(S114-K114)*M114*U114*V114*J114/(249945/845)</f>
        <v>0.02298881621</v>
      </c>
    </row>
    <row r="115" ht="26.25" customHeight="1">
      <c r="A115" s="72"/>
      <c r="B115" s="73" t="s">
        <v>845</v>
      </c>
      <c r="C115" s="87" t="s">
        <v>870</v>
      </c>
      <c r="D115" s="75">
        <v>1162.0</v>
      </c>
      <c r="E115" s="75" t="s">
        <v>871</v>
      </c>
      <c r="F115" s="75" t="s">
        <v>872</v>
      </c>
      <c r="G115" s="77" t="s">
        <v>658</v>
      </c>
      <c r="H115" s="77">
        <f>1162+2037+3012+4027+5043+6044+7033+8031+29861</f>
        <v>66250</v>
      </c>
      <c r="I115" s="77">
        <v>1.0</v>
      </c>
      <c r="J115" s="78">
        <f t="shared" ref="J115:J116" si="68">21494/2048</f>
        <v>10.49511719</v>
      </c>
      <c r="K115" s="79">
        <f t="shared" si="2"/>
        <v>5227.709558</v>
      </c>
      <c r="L115" s="89" t="s">
        <v>303</v>
      </c>
      <c r="M115" s="85" t="s">
        <v>303</v>
      </c>
      <c r="N115" s="85" t="s">
        <v>303</v>
      </c>
      <c r="O115" s="82" t="s">
        <v>303</v>
      </c>
      <c r="P115" s="82" t="s">
        <v>303</v>
      </c>
      <c r="Q115" s="82" t="s">
        <v>303</v>
      </c>
      <c r="R115" s="78" t="s">
        <v>303</v>
      </c>
      <c r="S115" s="79" t="s">
        <v>303</v>
      </c>
      <c r="T115" s="84" t="s">
        <v>757</v>
      </c>
      <c r="U115" s="78">
        <v>1.05</v>
      </c>
      <c r="V115" s="73">
        <v>1.15</v>
      </c>
      <c r="W115" s="83">
        <f t="shared" ref="W115:W117" si="69">1383/771</f>
        <v>1.793774319</v>
      </c>
      <c r="X115" s="83">
        <f>83432/84866</f>
        <v>0.9831027738</v>
      </c>
      <c r="Y115" s="83">
        <f>(83432-84866)/(1500000/845)</f>
        <v>-0.80782</v>
      </c>
    </row>
    <row r="116" ht="26.25" customHeight="1">
      <c r="A116" s="72"/>
      <c r="B116" s="73" t="s">
        <v>845</v>
      </c>
      <c r="C116" s="87" t="s">
        <v>870</v>
      </c>
      <c r="D116" s="75">
        <v>4298.0</v>
      </c>
      <c r="E116" s="75" t="s">
        <v>873</v>
      </c>
      <c r="F116" s="75" t="s">
        <v>874</v>
      </c>
      <c r="G116" s="77" t="s">
        <v>658</v>
      </c>
      <c r="H116" s="77">
        <f>4298+5830+7291+8652+9906+10229+10454+10643+31994</f>
        <v>99297</v>
      </c>
      <c r="I116" s="77">
        <v>1.0</v>
      </c>
      <c r="J116" s="78">
        <f t="shared" si="68"/>
        <v>10.49511719</v>
      </c>
      <c r="K116" s="79">
        <f t="shared" si="2"/>
        <v>7835.409448</v>
      </c>
      <c r="L116" s="89" t="s">
        <v>303</v>
      </c>
      <c r="M116" s="85" t="s">
        <v>303</v>
      </c>
      <c r="N116" s="85" t="s">
        <v>303</v>
      </c>
      <c r="O116" s="82" t="s">
        <v>303</v>
      </c>
      <c r="P116" s="82" t="s">
        <v>303</v>
      </c>
      <c r="Q116" s="82" t="s">
        <v>303</v>
      </c>
      <c r="R116" s="78" t="s">
        <v>303</v>
      </c>
      <c r="S116" s="79" t="s">
        <v>303</v>
      </c>
      <c r="T116" s="84" t="s">
        <v>757</v>
      </c>
      <c r="U116" s="78">
        <v>1.05</v>
      </c>
      <c r="V116" s="73">
        <v>1.15</v>
      </c>
      <c r="W116" s="83">
        <f t="shared" si="69"/>
        <v>1.793774319</v>
      </c>
      <c r="X116" s="83">
        <f>76331/73286</f>
        <v>1.041549546</v>
      </c>
      <c r="Y116" s="83">
        <f>(76331-73286)/(1500000/845)</f>
        <v>1.71535</v>
      </c>
    </row>
    <row r="117" ht="26.25" customHeight="1">
      <c r="A117" s="72"/>
      <c r="B117" s="73" t="s">
        <v>845</v>
      </c>
      <c r="C117" s="87" t="s">
        <v>870</v>
      </c>
      <c r="D117" s="75">
        <v>1383.0</v>
      </c>
      <c r="E117" s="75" t="s">
        <v>875</v>
      </c>
      <c r="F117" s="76"/>
      <c r="G117" s="77" t="s">
        <v>658</v>
      </c>
      <c r="H117" s="77">
        <v>1383.0</v>
      </c>
      <c r="I117" s="77">
        <v>1.0</v>
      </c>
      <c r="J117" s="78">
        <f t="shared" ref="J117:J149" si="70">IFS(G117="S",21494/2048*1.25,G117="C",1.25*2*1.22,OR(G117="R",G117="T"),1.25*1.22)</f>
        <v>13.11889648</v>
      </c>
      <c r="K117" s="79">
        <f t="shared" si="2"/>
        <v>91.66995845</v>
      </c>
      <c r="L117" s="80" t="s">
        <v>658</v>
      </c>
      <c r="M117" s="81">
        <v>8.0</v>
      </c>
      <c r="N117" s="92" t="s">
        <v>689</v>
      </c>
      <c r="O117" s="82">
        <v>90.023753</v>
      </c>
      <c r="P117" s="82">
        <v>85.510689</v>
      </c>
      <c r="Q117" s="82">
        <f t="shared" ref="Q117:Q119" si="71">O117-P117</f>
        <v>4.513064</v>
      </c>
      <c r="R117" s="78">
        <f t="shared" ref="R117:R118" si="72">IFS(L117="S",21494/2048*1.25)</f>
        <v>13.11889648</v>
      </c>
      <c r="S117" s="83">
        <f t="shared" ref="S117:S118" si="73">IFS(N117="B",Q117/M117/100*249945/R117/V117/U117
*W117,N117="C",Q117/M117/100*249945/R117/V117/U117
)</f>
        <v>93.46108384</v>
      </c>
      <c r="T117" s="84" t="s">
        <v>739</v>
      </c>
      <c r="U117" s="86">
        <v>1.0</v>
      </c>
      <c r="V117" s="73">
        <v>1.15</v>
      </c>
      <c r="W117" s="83">
        <f t="shared" si="69"/>
        <v>1.793774319</v>
      </c>
      <c r="X117" s="83">
        <f t="shared" ref="X117:X119" si="74">S117/K117</f>
        <v>1.019538848</v>
      </c>
      <c r="Y117" s="83">
        <f t="shared" ref="Y117:Y118" si="75">(S117-K117)*M117*U117*V117*J117/(249945/845)</f>
        <v>0.7308417992</v>
      </c>
    </row>
    <row r="118" ht="26.25" customHeight="1">
      <c r="A118" s="72"/>
      <c r="B118" s="73" t="s">
        <v>845</v>
      </c>
      <c r="C118" s="87" t="s">
        <v>876</v>
      </c>
      <c r="D118" s="76">
        <v>915.0</v>
      </c>
      <c r="E118" s="75" t="s">
        <v>877</v>
      </c>
      <c r="F118" s="76" t="s">
        <v>852</v>
      </c>
      <c r="G118" s="77" t="s">
        <v>658</v>
      </c>
      <c r="H118" s="77">
        <f>915*2</f>
        <v>1830</v>
      </c>
      <c r="I118" s="77">
        <v>1.0</v>
      </c>
      <c r="J118" s="78">
        <f t="shared" si="70"/>
        <v>13.11889648</v>
      </c>
      <c r="K118" s="79">
        <f t="shared" si="2"/>
        <v>121.2986435</v>
      </c>
      <c r="L118" s="80" t="s">
        <v>658</v>
      </c>
      <c r="M118" s="92">
        <v>11.0</v>
      </c>
      <c r="N118" s="92" t="s">
        <v>659</v>
      </c>
      <c r="O118" s="82">
        <v>90.023753</v>
      </c>
      <c r="P118" s="94">
        <v>86.342043</v>
      </c>
      <c r="Q118" s="82">
        <f t="shared" si="71"/>
        <v>3.68171</v>
      </c>
      <c r="R118" s="78">
        <f t="shared" si="72"/>
        <v>13.11889648</v>
      </c>
      <c r="S118" s="83">
        <f t="shared" si="73"/>
        <v>121.964647</v>
      </c>
      <c r="T118" s="84" t="s">
        <v>660</v>
      </c>
      <c r="U118" s="86">
        <v>1.0</v>
      </c>
      <c r="V118" s="73">
        <v>1.15</v>
      </c>
      <c r="W118" s="83">
        <f t="shared" ref="W118:W120" si="76">915/416</f>
        <v>2.199519231</v>
      </c>
      <c r="X118" s="83">
        <f t="shared" si="74"/>
        <v>1.00549061</v>
      </c>
      <c r="Y118" s="83">
        <f t="shared" si="75"/>
        <v>0.3736599913</v>
      </c>
    </row>
    <row r="119" ht="26.25" customHeight="1">
      <c r="A119" s="72"/>
      <c r="B119" s="73" t="s">
        <v>845</v>
      </c>
      <c r="C119" s="87" t="s">
        <v>876</v>
      </c>
      <c r="D119" s="76"/>
      <c r="E119" s="76"/>
      <c r="F119" s="76" t="s">
        <v>878</v>
      </c>
      <c r="G119" s="77" t="s">
        <v>704</v>
      </c>
      <c r="H119" s="77">
        <f>8374*1.5</f>
        <v>12561</v>
      </c>
      <c r="I119" s="77">
        <v>1.0</v>
      </c>
      <c r="J119" s="78">
        <f t="shared" si="70"/>
        <v>1.525</v>
      </c>
      <c r="K119" s="79">
        <f t="shared" si="2"/>
        <v>7162.366358</v>
      </c>
      <c r="L119" s="80" t="s">
        <v>704</v>
      </c>
      <c r="M119" s="81">
        <v>1.0</v>
      </c>
      <c r="N119" s="81" t="s">
        <v>689</v>
      </c>
      <c r="O119" s="82">
        <v>99.526627</v>
      </c>
      <c r="P119" s="82">
        <v>92.662722</v>
      </c>
      <c r="Q119" s="82">
        <f t="shared" si="71"/>
        <v>6.863905</v>
      </c>
      <c r="R119" s="78">
        <f>1.25*1.22</f>
        <v>1.525</v>
      </c>
      <c r="S119" s="83">
        <f>IFS(N119="B",Q119/M119/100*182596/R119/V119/U119
*W119,N119="C",Q119/M119/100*182596/R119/V119/U119
)</f>
        <v>7146.52372</v>
      </c>
      <c r="T119" s="84" t="s">
        <v>705</v>
      </c>
      <c r="U119" s="86">
        <v>1.0</v>
      </c>
      <c r="V119" s="73">
        <v>1.15</v>
      </c>
      <c r="W119" s="83">
        <f t="shared" si="76"/>
        <v>2.199519231</v>
      </c>
      <c r="X119" s="83">
        <f t="shared" si="74"/>
        <v>0.9977880721</v>
      </c>
      <c r="Y119" s="83">
        <f>(S119-K119)*M119*U119*V119*J119/(182596/845)</f>
        <v>-0.1285762127</v>
      </c>
    </row>
    <row r="120" ht="26.25" customHeight="1">
      <c r="A120" s="72"/>
      <c r="B120" s="73" t="s">
        <v>845</v>
      </c>
      <c r="C120" s="87" t="s">
        <v>876</v>
      </c>
      <c r="D120" s="76"/>
      <c r="E120" s="76"/>
      <c r="F120" s="76" t="s">
        <v>879</v>
      </c>
      <c r="G120" s="77" t="s">
        <v>704</v>
      </c>
      <c r="H120" s="77">
        <f>11521*1.5</f>
        <v>17281.5</v>
      </c>
      <c r="I120" s="77">
        <v>1.0</v>
      </c>
      <c r="J120" s="78">
        <f t="shared" si="70"/>
        <v>1.525</v>
      </c>
      <c r="K120" s="79">
        <f t="shared" si="2"/>
        <v>8958.206441</v>
      </c>
      <c r="L120" s="89" t="s">
        <v>303</v>
      </c>
      <c r="M120" s="85" t="s">
        <v>303</v>
      </c>
      <c r="N120" s="85" t="s">
        <v>303</v>
      </c>
      <c r="O120" s="82" t="s">
        <v>303</v>
      </c>
      <c r="P120" s="82" t="s">
        <v>303</v>
      </c>
      <c r="Q120" s="82" t="s">
        <v>303</v>
      </c>
      <c r="R120" s="78" t="s">
        <v>303</v>
      </c>
      <c r="S120" s="79" t="s">
        <v>303</v>
      </c>
      <c r="T120" s="84" t="s">
        <v>705</v>
      </c>
      <c r="U120" s="78">
        <v>1.1</v>
      </c>
      <c r="V120" s="73">
        <v>1.15</v>
      </c>
      <c r="W120" s="83">
        <f t="shared" si="76"/>
        <v>2.199519231</v>
      </c>
      <c r="X120" s="83">
        <f>108284/107668</f>
        <v>1.005721291</v>
      </c>
      <c r="Y120" s="83">
        <f>(108284-107668)/(1500000/845)</f>
        <v>0.3470133333</v>
      </c>
    </row>
    <row r="121" ht="26.25" customHeight="1">
      <c r="A121" s="72"/>
      <c r="B121" s="73" t="s">
        <v>845</v>
      </c>
      <c r="C121" s="87" t="s">
        <v>382</v>
      </c>
      <c r="D121" s="75">
        <v>1520.0</v>
      </c>
      <c r="E121" s="75" t="s">
        <v>880</v>
      </c>
      <c r="F121" s="76"/>
      <c r="G121" s="77" t="s">
        <v>658</v>
      </c>
      <c r="H121" s="77">
        <v>1520.0</v>
      </c>
      <c r="I121" s="77">
        <v>1.0</v>
      </c>
      <c r="J121" s="78">
        <f t="shared" si="70"/>
        <v>13.11889648</v>
      </c>
      <c r="K121" s="79">
        <f t="shared" si="2"/>
        <v>91.59162351</v>
      </c>
      <c r="L121" s="80" t="s">
        <v>658</v>
      </c>
      <c r="M121" s="81">
        <v>11.0</v>
      </c>
      <c r="N121" s="92" t="s">
        <v>689</v>
      </c>
      <c r="O121" s="82">
        <v>90.023753</v>
      </c>
      <c r="P121" s="82">
        <v>83.372922</v>
      </c>
      <c r="Q121" s="82">
        <f>O121-P121</f>
        <v>6.650831</v>
      </c>
      <c r="R121" s="78">
        <f>IFS(L121="S",21494/2048*1.25)</f>
        <v>13.11889648</v>
      </c>
      <c r="S121" s="83">
        <f>IFS(N121="B",Q121/M121/100*249945/R121/V121/U121
*W121,N121="C",Q121/M121/100*249945/R121/V121/U121
)</f>
        <v>91.06255887</v>
      </c>
      <c r="T121" s="84" t="s">
        <v>739</v>
      </c>
      <c r="U121" s="86">
        <v>1.1</v>
      </c>
      <c r="V121" s="73">
        <v>1.15</v>
      </c>
      <c r="W121" s="83">
        <f>1520/847</f>
        <v>1.794569067</v>
      </c>
      <c r="X121" s="83">
        <f>S121/K121</f>
        <v>0.9942236569</v>
      </c>
      <c r="Y121" s="83">
        <f>(S121-K121)*M121*U121*V121*J121/(249945/845)</f>
        <v>-0.3265137779</v>
      </c>
    </row>
    <row r="122" ht="26.25" customHeight="1">
      <c r="A122" s="72"/>
      <c r="B122" s="73" t="s">
        <v>845</v>
      </c>
      <c r="C122" s="87" t="s">
        <v>569</v>
      </c>
      <c r="D122" s="75">
        <v>1467.0</v>
      </c>
      <c r="E122" s="75" t="s">
        <v>881</v>
      </c>
      <c r="F122" s="76" t="s">
        <v>882</v>
      </c>
      <c r="G122" s="77" t="s">
        <v>658</v>
      </c>
      <c r="H122" s="77">
        <f>1467*5+1216*5</f>
        <v>13415</v>
      </c>
      <c r="I122" s="77">
        <v>5.0</v>
      </c>
      <c r="J122" s="78">
        <f t="shared" si="70"/>
        <v>13.11889648</v>
      </c>
      <c r="K122" s="79">
        <f t="shared" si="2"/>
        <v>177.8383937</v>
      </c>
      <c r="L122" s="89" t="s">
        <v>303</v>
      </c>
      <c r="M122" s="85" t="s">
        <v>303</v>
      </c>
      <c r="N122" s="85" t="s">
        <v>303</v>
      </c>
      <c r="O122" s="82" t="s">
        <v>303</v>
      </c>
      <c r="P122" s="82" t="s">
        <v>303</v>
      </c>
      <c r="Q122" s="82" t="s">
        <v>303</v>
      </c>
      <c r="R122" s="78" t="s">
        <v>303</v>
      </c>
      <c r="S122" s="79" t="s">
        <v>303</v>
      </c>
      <c r="T122" s="84" t="s">
        <v>739</v>
      </c>
      <c r="U122" s="86">
        <v>1.0</v>
      </c>
      <c r="V122" s="73">
        <v>1.15</v>
      </c>
      <c r="W122" s="83">
        <f t="shared" ref="W122:W124" si="77">(1467*5+1216*5)/(941*5+1216*5)</f>
        <v>1.243857209</v>
      </c>
      <c r="X122" s="83">
        <f>33728/33930</f>
        <v>0.9940465665</v>
      </c>
      <c r="Y122" s="83">
        <f>(33728-33930)/(1500000/845)</f>
        <v>-0.1137933333</v>
      </c>
    </row>
    <row r="123" ht="26.25" customHeight="1">
      <c r="A123" s="72"/>
      <c r="B123" s="73" t="s">
        <v>845</v>
      </c>
      <c r="C123" s="87" t="s">
        <v>569</v>
      </c>
      <c r="D123" s="76"/>
      <c r="E123" s="76"/>
      <c r="F123" s="76" t="s">
        <v>883</v>
      </c>
      <c r="G123" s="77" t="s">
        <v>704</v>
      </c>
      <c r="H123" s="77">
        <f>11386*1.5</f>
        <v>17079</v>
      </c>
      <c r="I123" s="77">
        <v>1.0</v>
      </c>
      <c r="J123" s="78">
        <f t="shared" si="70"/>
        <v>1.525</v>
      </c>
      <c r="K123" s="79">
        <f t="shared" si="2"/>
        <v>9738.560228</v>
      </c>
      <c r="L123" s="89" t="s">
        <v>303</v>
      </c>
      <c r="M123" s="85" t="s">
        <v>303</v>
      </c>
      <c r="N123" s="85" t="s">
        <v>303</v>
      </c>
      <c r="O123" s="82" t="s">
        <v>303</v>
      </c>
      <c r="P123" s="82" t="s">
        <v>303</v>
      </c>
      <c r="Q123" s="82" t="s">
        <v>303</v>
      </c>
      <c r="R123" s="78" t="s">
        <v>303</v>
      </c>
      <c r="S123" s="79" t="s">
        <v>303</v>
      </c>
      <c r="T123" s="84" t="s">
        <v>705</v>
      </c>
      <c r="U123" s="86">
        <v>1.0</v>
      </c>
      <c r="V123" s="73">
        <v>1.15</v>
      </c>
      <c r="W123" s="83">
        <f t="shared" si="77"/>
        <v>1.243857209</v>
      </c>
      <c r="X123" s="83">
        <f>140237/135109</f>
        <v>1.03795454</v>
      </c>
      <c r="Y123" s="83">
        <f>(140237-135109)/(1500000/845)</f>
        <v>2.888773333</v>
      </c>
    </row>
    <row r="124" ht="26.25" customHeight="1">
      <c r="A124" s="72"/>
      <c r="B124" s="73" t="s">
        <v>845</v>
      </c>
      <c r="C124" s="87" t="s">
        <v>569</v>
      </c>
      <c r="D124" s="76"/>
      <c r="E124" s="76"/>
      <c r="F124" s="76" t="s">
        <v>884</v>
      </c>
      <c r="G124" s="77" t="s">
        <v>704</v>
      </c>
      <c r="H124" s="77">
        <f>9068*1.5</f>
        <v>13602</v>
      </c>
      <c r="I124" s="77">
        <v>1.0</v>
      </c>
      <c r="J124" s="78">
        <f t="shared" si="70"/>
        <v>1.525</v>
      </c>
      <c r="K124" s="79">
        <f t="shared" si="2"/>
        <v>7755.951532</v>
      </c>
      <c r="L124" s="89" t="s">
        <v>303</v>
      </c>
      <c r="M124" s="85" t="s">
        <v>303</v>
      </c>
      <c r="N124" s="85" t="s">
        <v>303</v>
      </c>
      <c r="O124" s="82" t="s">
        <v>303</v>
      </c>
      <c r="P124" s="82" t="s">
        <v>303</v>
      </c>
      <c r="Q124" s="82" t="s">
        <v>303</v>
      </c>
      <c r="R124" s="78" t="s">
        <v>303</v>
      </c>
      <c r="S124" s="79" t="s">
        <v>303</v>
      </c>
      <c r="T124" s="84" t="s">
        <v>705</v>
      </c>
      <c r="U124" s="86">
        <v>1.0</v>
      </c>
      <c r="V124" s="73">
        <v>1.15</v>
      </c>
      <c r="W124" s="83">
        <f t="shared" si="77"/>
        <v>1.243857209</v>
      </c>
      <c r="X124" s="83">
        <f>133136/126842</f>
        <v>1.049620788</v>
      </c>
      <c r="Y124" s="83">
        <f>(133136-126842)/(1500000/845)</f>
        <v>3.54562</v>
      </c>
    </row>
    <row r="125" ht="26.25" customHeight="1">
      <c r="A125" s="72"/>
      <c r="B125" s="73" t="s">
        <v>845</v>
      </c>
      <c r="C125" s="87" t="s">
        <v>684</v>
      </c>
      <c r="D125" s="76"/>
      <c r="E125" s="76"/>
      <c r="F125" s="76" t="s">
        <v>885</v>
      </c>
      <c r="G125" s="77" t="s">
        <v>704</v>
      </c>
      <c r="H125" s="77">
        <f>6515*1.5</f>
        <v>9772.5</v>
      </c>
      <c r="I125" s="77">
        <v>1.0</v>
      </c>
      <c r="J125" s="78">
        <f t="shared" si="70"/>
        <v>1.525</v>
      </c>
      <c r="K125" s="79">
        <f t="shared" si="2"/>
        <v>5572.344975</v>
      </c>
      <c r="L125" s="89" t="s">
        <v>303</v>
      </c>
      <c r="M125" s="85" t="s">
        <v>303</v>
      </c>
      <c r="N125" s="85" t="s">
        <v>303</v>
      </c>
      <c r="O125" s="82" t="s">
        <v>303</v>
      </c>
      <c r="P125" s="82" t="s">
        <v>303</v>
      </c>
      <c r="Q125" s="82" t="s">
        <v>303</v>
      </c>
      <c r="R125" s="78" t="s">
        <v>303</v>
      </c>
      <c r="S125" s="79" t="s">
        <v>303</v>
      </c>
      <c r="T125" s="84" t="s">
        <v>705</v>
      </c>
      <c r="U125" s="86">
        <v>1.0</v>
      </c>
      <c r="V125" s="73">
        <v>1.15</v>
      </c>
      <c r="W125" s="83">
        <f t="shared" ref="W125:W127" si="78">1222/941</f>
        <v>1.298618491</v>
      </c>
      <c r="X125" s="83">
        <f>104734/109844</f>
        <v>0.95347948</v>
      </c>
      <c r="Y125" s="83">
        <f>(104734-109844)/(1500000/845)</f>
        <v>-2.878633333</v>
      </c>
    </row>
    <row r="126" ht="26.25" customHeight="1">
      <c r="A126" s="72"/>
      <c r="B126" s="73" t="s">
        <v>845</v>
      </c>
      <c r="C126" s="87" t="s">
        <v>684</v>
      </c>
      <c r="D126" s="76"/>
      <c r="E126" s="76"/>
      <c r="F126" s="76" t="s">
        <v>886</v>
      </c>
      <c r="G126" s="77" t="s">
        <v>704</v>
      </c>
      <c r="H126" s="77">
        <f>8276*1.5</f>
        <v>12414</v>
      </c>
      <c r="I126" s="77">
        <v>1.0</v>
      </c>
      <c r="J126" s="78">
        <f t="shared" si="70"/>
        <v>1.525</v>
      </c>
      <c r="K126" s="79">
        <f t="shared" si="2"/>
        <v>7078.545973</v>
      </c>
      <c r="L126" s="80" t="s">
        <v>704</v>
      </c>
      <c r="M126" s="81">
        <v>1.0</v>
      </c>
      <c r="N126" s="81" t="s">
        <v>689</v>
      </c>
      <c r="O126" s="82">
        <v>99.526627</v>
      </c>
      <c r="P126" s="82">
        <v>92.662722</v>
      </c>
      <c r="Q126" s="82">
        <f t="shared" ref="Q126:Q128" si="79">O126-P126</f>
        <v>6.863905</v>
      </c>
      <c r="R126" s="78">
        <f>1.25*1.22</f>
        <v>1.525</v>
      </c>
      <c r="S126" s="83">
        <f>IFS(N126="B",Q126/M126/100*182596/R126/V126/U126
*W126,N126="C",Q126/M126/100*182596/R126/V126/U126
)</f>
        <v>7146.52372</v>
      </c>
      <c r="T126" s="84" t="s">
        <v>705</v>
      </c>
      <c r="U126" s="86">
        <v>1.0</v>
      </c>
      <c r="V126" s="73">
        <v>1.15</v>
      </c>
      <c r="W126" s="83">
        <f t="shared" si="78"/>
        <v>1.298618491</v>
      </c>
      <c r="X126" s="83">
        <f t="shared" ref="X126:X128" si="80">S126/K126</f>
        <v>1.009603349</v>
      </c>
      <c r="Y126" s="83">
        <f>(S126-K126)*M126*U126*V126*J126/(182596/845)</f>
        <v>0.5516960824</v>
      </c>
    </row>
    <row r="127" ht="26.25" customHeight="1">
      <c r="A127" s="72"/>
      <c r="B127" s="73" t="s">
        <v>845</v>
      </c>
      <c r="C127" s="87" t="s">
        <v>684</v>
      </c>
      <c r="D127" s="76">
        <v>1222.0</v>
      </c>
      <c r="E127" s="76" t="s">
        <v>887</v>
      </c>
      <c r="F127" s="76"/>
      <c r="G127" s="77" t="s">
        <v>658</v>
      </c>
      <c r="H127" s="77">
        <v>1222.0</v>
      </c>
      <c r="I127" s="77">
        <v>1.0</v>
      </c>
      <c r="J127" s="78">
        <f t="shared" si="70"/>
        <v>13.11889648</v>
      </c>
      <c r="K127" s="79">
        <f t="shared" si="2"/>
        <v>80.99832916</v>
      </c>
      <c r="L127" s="80" t="s">
        <v>658</v>
      </c>
      <c r="M127" s="92">
        <v>16.0</v>
      </c>
      <c r="N127" s="92" t="s">
        <v>659</v>
      </c>
      <c r="O127" s="82">
        <v>90.023753</v>
      </c>
      <c r="P127" s="94">
        <v>83.966746</v>
      </c>
      <c r="Q127" s="82">
        <f t="shared" si="79"/>
        <v>6.057007</v>
      </c>
      <c r="R127" s="78">
        <f>IFS(L127="S",21494/2048*1.25)</f>
        <v>13.11889648</v>
      </c>
      <c r="S127" s="83">
        <f>IFS(N127="B",Q127/M127/100*249945/R127/V127/U127
*W127,N127="C",Q127/M127/100*249945/R127/V127/U127
)</f>
        <v>81.44585432</v>
      </c>
      <c r="T127" s="84" t="s">
        <v>660</v>
      </c>
      <c r="U127" s="86">
        <v>1.0</v>
      </c>
      <c r="V127" s="73">
        <v>1.15</v>
      </c>
      <c r="W127" s="83">
        <f t="shared" si="78"/>
        <v>1.298618491</v>
      </c>
      <c r="X127" s="83">
        <f t="shared" si="80"/>
        <v>1.005525116</v>
      </c>
      <c r="Y127" s="83">
        <f t="shared" ref="Y127:Y128" si="81">(S127-K127)*M127*U127*V127*J127/(249945/845)</f>
        <v>0.365211835</v>
      </c>
    </row>
    <row r="128" ht="26.25" customHeight="1">
      <c r="A128" s="72"/>
      <c r="B128" s="73" t="s">
        <v>845</v>
      </c>
      <c r="C128" s="74" t="s">
        <v>888</v>
      </c>
      <c r="D128" s="75"/>
      <c r="E128" s="75"/>
      <c r="F128" s="75" t="s">
        <v>889</v>
      </c>
      <c r="G128" s="77" t="s">
        <v>704</v>
      </c>
      <c r="H128" s="77">
        <f>7426*1.5</f>
        <v>11139</v>
      </c>
      <c r="I128" s="77">
        <v>1.0</v>
      </c>
      <c r="J128" s="78">
        <f t="shared" si="70"/>
        <v>1.525</v>
      </c>
      <c r="K128" s="79">
        <f t="shared" si="2"/>
        <v>5774.120391</v>
      </c>
      <c r="L128" s="80" t="s">
        <v>704</v>
      </c>
      <c r="M128" s="81">
        <v>1.0</v>
      </c>
      <c r="N128" s="81" t="s">
        <v>689</v>
      </c>
      <c r="O128" s="82">
        <v>99.526627</v>
      </c>
      <c r="P128" s="82">
        <v>93.254438</v>
      </c>
      <c r="Q128" s="82">
        <f t="shared" si="79"/>
        <v>6.272189</v>
      </c>
      <c r="R128" s="78">
        <f>1.25*1.22</f>
        <v>1.525</v>
      </c>
      <c r="S128" s="83">
        <f>IFS(N128="B",Q128/M128/100*182596/R128/V128/U128
*W128,N128="C",Q128/M128/100*182596/R128/V128/U128
)</f>
        <v>5936.767305</v>
      </c>
      <c r="T128" s="84" t="s">
        <v>705</v>
      </c>
      <c r="U128" s="78">
        <v>1.1</v>
      </c>
      <c r="V128" s="73">
        <v>1.15</v>
      </c>
      <c r="W128" s="83">
        <f t="shared" ref="W128:W130" si="82">3186/2627</f>
        <v>1.212790255</v>
      </c>
      <c r="X128" s="83">
        <f t="shared" si="80"/>
        <v>1.028168258</v>
      </c>
      <c r="Y128" s="83">
        <f t="shared" si="81"/>
        <v>1.060763213</v>
      </c>
    </row>
    <row r="129" ht="26.25" customHeight="1">
      <c r="A129" s="72"/>
      <c r="B129" s="73" t="s">
        <v>845</v>
      </c>
      <c r="C129" s="74" t="s">
        <v>888</v>
      </c>
      <c r="D129" s="75"/>
      <c r="E129" s="75"/>
      <c r="F129" s="75" t="s">
        <v>890</v>
      </c>
      <c r="G129" s="77" t="s">
        <v>704</v>
      </c>
      <c r="H129" s="77">
        <f>12782*1.5</f>
        <v>19173</v>
      </c>
      <c r="I129" s="91">
        <v>1.0</v>
      </c>
      <c r="J129" s="78">
        <f t="shared" si="70"/>
        <v>1.525</v>
      </c>
      <c r="K129" s="79">
        <f t="shared" si="2"/>
        <v>9938.70278</v>
      </c>
      <c r="L129" s="89" t="s">
        <v>303</v>
      </c>
      <c r="M129" s="85" t="s">
        <v>303</v>
      </c>
      <c r="N129" s="85" t="s">
        <v>303</v>
      </c>
      <c r="O129" s="82" t="s">
        <v>303</v>
      </c>
      <c r="P129" s="82" t="s">
        <v>303</v>
      </c>
      <c r="Q129" s="82" t="s">
        <v>303</v>
      </c>
      <c r="R129" s="78" t="s">
        <v>303</v>
      </c>
      <c r="S129" s="79" t="s">
        <v>303</v>
      </c>
      <c r="T129" s="84" t="s">
        <v>891</v>
      </c>
      <c r="U129" s="78">
        <v>1.1</v>
      </c>
      <c r="V129" s="73">
        <v>1.15</v>
      </c>
      <c r="W129" s="83">
        <f t="shared" si="82"/>
        <v>1.212790255</v>
      </c>
      <c r="X129" s="83">
        <f>101183/102552</f>
        <v>0.9866506748</v>
      </c>
      <c r="Y129" s="83">
        <f>(101183-102552)/(1500000/845)</f>
        <v>-0.7712033333</v>
      </c>
    </row>
    <row r="130" ht="26.25" customHeight="1">
      <c r="A130" s="72"/>
      <c r="B130" s="73" t="s">
        <v>845</v>
      </c>
      <c r="C130" s="74" t="s">
        <v>888</v>
      </c>
      <c r="D130" s="75">
        <v>3168.0</v>
      </c>
      <c r="E130" s="76" t="s">
        <v>892</v>
      </c>
      <c r="F130" s="76"/>
      <c r="G130" s="77" t="s">
        <v>658</v>
      </c>
      <c r="H130" s="77">
        <v>3168.0</v>
      </c>
      <c r="I130" s="77">
        <v>1.0</v>
      </c>
      <c r="J130" s="78">
        <f t="shared" si="70"/>
        <v>13.11889648</v>
      </c>
      <c r="K130" s="79">
        <f t="shared" si="2"/>
        <v>190.8962258</v>
      </c>
      <c r="L130" s="80" t="s">
        <v>658</v>
      </c>
      <c r="M130" s="92">
        <v>6.0</v>
      </c>
      <c r="N130" s="92" t="s">
        <v>659</v>
      </c>
      <c r="O130" s="82">
        <v>88.71734</v>
      </c>
      <c r="P130" s="94">
        <v>82.422803</v>
      </c>
      <c r="Q130" s="82">
        <f t="shared" ref="Q130:Q131" si="83">O130-P130</f>
        <v>6.294537</v>
      </c>
      <c r="R130" s="78">
        <f t="shared" ref="R130:R131" si="84">IFS(L130="S",21494/2048*1.25)</f>
        <v>13.11889648</v>
      </c>
      <c r="S130" s="83">
        <f t="shared" ref="S130:S131" si="85">IFS(N130="B",Q130/M130/100*249945/R130/V130/U130
*W130,N130="C",Q130/M130/100*249945/R130/V130/U130
)</f>
        <v>191.6261886</v>
      </c>
      <c r="T130" s="84" t="s">
        <v>893</v>
      </c>
      <c r="U130" s="78">
        <v>1.1</v>
      </c>
      <c r="V130" s="73">
        <v>1.15</v>
      </c>
      <c r="W130" s="83">
        <f t="shared" si="82"/>
        <v>1.212790255</v>
      </c>
      <c r="X130" s="83">
        <f t="shared" ref="X130:X131" si="86">S130/K130</f>
        <v>1.003823872</v>
      </c>
      <c r="Y130" s="83">
        <f t="shared" ref="Y130:Y131" si="87">(S130-K130)*M130*U130*V130*J130/(249945/845)</f>
        <v>0.24572652</v>
      </c>
    </row>
    <row r="131" ht="26.25" customHeight="1">
      <c r="A131" s="72"/>
      <c r="B131" s="73" t="s">
        <v>845</v>
      </c>
      <c r="C131" s="87" t="s">
        <v>894</v>
      </c>
      <c r="D131" s="75">
        <v>1728.0</v>
      </c>
      <c r="E131" s="75" t="s">
        <v>895</v>
      </c>
      <c r="F131" s="76"/>
      <c r="G131" s="77" t="s">
        <v>658</v>
      </c>
      <c r="H131" s="77">
        <v>1728.0</v>
      </c>
      <c r="I131" s="77">
        <v>1.0</v>
      </c>
      <c r="J131" s="78">
        <f t="shared" si="70"/>
        <v>13.11889648</v>
      </c>
      <c r="K131" s="79">
        <f t="shared" si="2"/>
        <v>104.1252141</v>
      </c>
      <c r="L131" s="80" t="s">
        <v>658</v>
      </c>
      <c r="M131" s="81">
        <v>7.0</v>
      </c>
      <c r="N131" s="92" t="s">
        <v>689</v>
      </c>
      <c r="O131" s="82">
        <v>90.023753</v>
      </c>
      <c r="P131" s="82">
        <v>85.154394</v>
      </c>
      <c r="Q131" s="82">
        <f t="shared" si="83"/>
        <v>4.869359</v>
      </c>
      <c r="R131" s="78">
        <f t="shared" si="84"/>
        <v>13.11889648</v>
      </c>
      <c r="S131" s="83">
        <f t="shared" si="85"/>
        <v>104.7684159</v>
      </c>
      <c r="T131" s="84" t="s">
        <v>896</v>
      </c>
      <c r="U131" s="86">
        <v>1.1</v>
      </c>
      <c r="V131" s="73">
        <v>1.15</v>
      </c>
      <c r="W131" s="83">
        <f>1728/933</f>
        <v>1.852090032</v>
      </c>
      <c r="X131" s="83">
        <f t="shared" si="86"/>
        <v>1.006177195</v>
      </c>
      <c r="Y131" s="83">
        <f t="shared" si="87"/>
        <v>0.2526069852</v>
      </c>
    </row>
    <row r="132" ht="26.25" customHeight="1">
      <c r="A132" s="72"/>
      <c r="B132" s="73" t="s">
        <v>845</v>
      </c>
      <c r="C132" s="87" t="s">
        <v>897</v>
      </c>
      <c r="D132" s="75">
        <v>981.0</v>
      </c>
      <c r="E132" s="75" t="s">
        <v>898</v>
      </c>
      <c r="F132" s="76"/>
      <c r="G132" s="77" t="s">
        <v>658</v>
      </c>
      <c r="H132" s="77">
        <f>981+325</f>
        <v>1306</v>
      </c>
      <c r="I132" s="77">
        <v>1.0</v>
      </c>
      <c r="J132" s="78">
        <f t="shared" si="70"/>
        <v>13.11889648</v>
      </c>
      <c r="K132" s="79">
        <f t="shared" si="2"/>
        <v>86.56613575</v>
      </c>
      <c r="L132" s="89" t="s">
        <v>303</v>
      </c>
      <c r="M132" s="85" t="s">
        <v>303</v>
      </c>
      <c r="N132" s="85" t="s">
        <v>303</v>
      </c>
      <c r="O132" s="82" t="s">
        <v>303</v>
      </c>
      <c r="P132" s="82" t="s">
        <v>303</v>
      </c>
      <c r="Q132" s="82" t="s">
        <v>303</v>
      </c>
      <c r="R132" s="78" t="s">
        <v>303</v>
      </c>
      <c r="S132" s="79" t="s">
        <v>303</v>
      </c>
      <c r="T132" s="84" t="s">
        <v>739</v>
      </c>
      <c r="U132" s="86">
        <v>1.0</v>
      </c>
      <c r="V132" s="73">
        <v>1.15</v>
      </c>
      <c r="W132" s="83">
        <f>(981+325)/(364+325)</f>
        <v>1.895500726</v>
      </c>
      <c r="X132" s="83">
        <f>40828/37864</f>
        <v>1.078280161</v>
      </c>
      <c r="Y132" s="83">
        <f>(40828-37864)/(1500000/845)</f>
        <v>1.66972</v>
      </c>
    </row>
    <row r="133" ht="26.25" customHeight="1">
      <c r="A133" s="72"/>
      <c r="B133" s="73" t="s">
        <v>845</v>
      </c>
      <c r="C133" s="87" t="s">
        <v>899</v>
      </c>
      <c r="D133" s="75">
        <v>2385.0</v>
      </c>
      <c r="E133" s="75" t="s">
        <v>900</v>
      </c>
      <c r="F133" s="76" t="s">
        <v>762</v>
      </c>
      <c r="G133" s="77" t="s">
        <v>658</v>
      </c>
      <c r="H133" s="77">
        <v>2385.0</v>
      </c>
      <c r="I133" s="77">
        <v>1.0</v>
      </c>
      <c r="J133" s="78">
        <f t="shared" si="70"/>
        <v>13.11889648</v>
      </c>
      <c r="K133" s="79">
        <f t="shared" si="2"/>
        <v>158.085937</v>
      </c>
      <c r="L133" s="80" t="s">
        <v>658</v>
      </c>
      <c r="M133" s="81">
        <v>15.0</v>
      </c>
      <c r="N133" s="92" t="s">
        <v>659</v>
      </c>
      <c r="O133" s="82">
        <v>89.073634</v>
      </c>
      <c r="P133" s="82">
        <v>84.56057</v>
      </c>
      <c r="Q133" s="82">
        <f t="shared" ref="Q133:Q134" si="88">O133-P133</f>
        <v>4.513064</v>
      </c>
      <c r="R133" s="78">
        <f>IFS(L133="S",21494/2048*1.25)</f>
        <v>13.11889648</v>
      </c>
      <c r="S133" s="83">
        <f>IFS(N133="B",Q133/M133/100*249945/R133/V133/U133
*W133,N133="C",Q133/M133/100*249945/R133/V133/U133
)</f>
        <v>159.3599178</v>
      </c>
      <c r="T133" s="84" t="s">
        <v>739</v>
      </c>
      <c r="U133" s="86">
        <v>1.0</v>
      </c>
      <c r="V133" s="73">
        <v>1.15</v>
      </c>
      <c r="W133" s="83">
        <f t="shared" ref="W133:W135" si="89">2385/746</f>
        <v>3.197050938</v>
      </c>
      <c r="X133" s="83">
        <f t="shared" ref="X133:X134" si="90">S133/K133</f>
        <v>1.008058786</v>
      </c>
      <c r="Y133" s="83">
        <f t="shared" ref="Y133:Y134" si="91">(S133-K133)*M133*U133*V133*J133/(249945/845)</f>
        <v>0.9746787972</v>
      </c>
    </row>
    <row r="134" ht="26.25" customHeight="1">
      <c r="A134" s="72"/>
      <c r="B134" s="73" t="s">
        <v>845</v>
      </c>
      <c r="C134" s="87" t="s">
        <v>899</v>
      </c>
      <c r="D134" s="76"/>
      <c r="E134" s="76"/>
      <c r="F134" s="76" t="s">
        <v>901</v>
      </c>
      <c r="G134" s="77" t="s">
        <v>704</v>
      </c>
      <c r="H134" s="77">
        <f>4026*1.5</f>
        <v>6039</v>
      </c>
      <c r="I134" s="77">
        <v>1.0</v>
      </c>
      <c r="J134" s="78">
        <f t="shared" si="70"/>
        <v>1.525</v>
      </c>
      <c r="K134" s="79">
        <f t="shared" si="2"/>
        <v>3443.478261</v>
      </c>
      <c r="L134" s="80" t="s">
        <v>704</v>
      </c>
      <c r="M134" s="81">
        <v>1.0</v>
      </c>
      <c r="N134" s="81" t="s">
        <v>689</v>
      </c>
      <c r="O134" s="82">
        <v>99.526627</v>
      </c>
      <c r="P134" s="82">
        <v>96.094675</v>
      </c>
      <c r="Q134" s="82">
        <f t="shared" si="88"/>
        <v>3.431952</v>
      </c>
      <c r="R134" s="78">
        <f>1.25*1.22</f>
        <v>1.525</v>
      </c>
      <c r="S134" s="83">
        <f>IFS(N134="B",Q134/M134/100*182596/R134/V134/U134
*W134,N134="C",Q134/M134/100*182596/R134/V134/U134
)</f>
        <v>3573.261339</v>
      </c>
      <c r="T134" s="84" t="s">
        <v>705</v>
      </c>
      <c r="U134" s="86">
        <v>1.0</v>
      </c>
      <c r="V134" s="73">
        <v>1.15</v>
      </c>
      <c r="W134" s="83">
        <f t="shared" si="89"/>
        <v>3.197050938</v>
      </c>
      <c r="X134" s="83">
        <f t="shared" si="90"/>
        <v>1.03768953</v>
      </c>
      <c r="Y134" s="83">
        <f t="shared" si="91"/>
        <v>0.7694811957</v>
      </c>
    </row>
    <row r="135" ht="26.25" customHeight="1">
      <c r="A135" s="72"/>
      <c r="B135" s="73" t="s">
        <v>845</v>
      </c>
      <c r="C135" s="87" t="s">
        <v>899</v>
      </c>
      <c r="D135" s="76"/>
      <c r="E135" s="76"/>
      <c r="F135" s="76" t="s">
        <v>902</v>
      </c>
      <c r="G135" s="77" t="s">
        <v>704</v>
      </c>
      <c r="H135" s="77">
        <f>12354*1.5</f>
        <v>18531</v>
      </c>
      <c r="I135" s="77">
        <v>1.0</v>
      </c>
      <c r="J135" s="78">
        <f t="shared" si="70"/>
        <v>1.525</v>
      </c>
      <c r="K135" s="79">
        <f t="shared" si="2"/>
        <v>10566.50036</v>
      </c>
      <c r="L135" s="89" t="s">
        <v>303</v>
      </c>
      <c r="M135" s="85" t="s">
        <v>303</v>
      </c>
      <c r="N135" s="85" t="s">
        <v>303</v>
      </c>
      <c r="O135" s="82" t="s">
        <v>303</v>
      </c>
      <c r="P135" s="82" t="s">
        <v>303</v>
      </c>
      <c r="Q135" s="82" t="s">
        <v>303</v>
      </c>
      <c r="R135" s="78" t="s">
        <v>303</v>
      </c>
      <c r="S135" s="79" t="s">
        <v>303</v>
      </c>
      <c r="T135" s="84" t="s">
        <v>705</v>
      </c>
      <c r="U135" s="86">
        <v>1.0</v>
      </c>
      <c r="V135" s="73">
        <v>1.15</v>
      </c>
      <c r="W135" s="83">
        <f t="shared" si="89"/>
        <v>3.197050938</v>
      </c>
      <c r="X135" s="83">
        <f>108284/104315</f>
        <v>1.038048219</v>
      </c>
      <c r="Y135" s="83">
        <f>(108284-104315)/(1500000/845)</f>
        <v>2.23587</v>
      </c>
    </row>
    <row r="136" ht="26.25" customHeight="1">
      <c r="A136" s="72"/>
      <c r="B136" s="73" t="s">
        <v>845</v>
      </c>
      <c r="C136" s="87" t="s">
        <v>903</v>
      </c>
      <c r="D136" s="75">
        <v>1383.0</v>
      </c>
      <c r="E136" s="75" t="s">
        <v>904</v>
      </c>
      <c r="F136" s="76" t="s">
        <v>736</v>
      </c>
      <c r="G136" s="77" t="s">
        <v>689</v>
      </c>
      <c r="H136" s="77">
        <v>4086.0</v>
      </c>
      <c r="I136" s="77">
        <v>9.0</v>
      </c>
      <c r="J136" s="78">
        <f t="shared" si="70"/>
        <v>3.05</v>
      </c>
      <c r="K136" s="79">
        <f t="shared" si="2"/>
        <v>129.4369209</v>
      </c>
      <c r="L136" s="80" t="s">
        <v>658</v>
      </c>
      <c r="M136" s="81">
        <v>9.0</v>
      </c>
      <c r="N136" s="92" t="s">
        <v>689</v>
      </c>
      <c r="O136" s="82">
        <v>90.023753</v>
      </c>
      <c r="P136" s="82">
        <v>82.422803</v>
      </c>
      <c r="Q136" s="82">
        <f t="shared" ref="Q136:Q149" si="92">O136-P136</f>
        <v>7.60095</v>
      </c>
      <c r="R136" s="78">
        <f>IFS(L136="S",21494/2048*1.25)</f>
        <v>13.11889648</v>
      </c>
      <c r="S136" s="83">
        <f>IFS(N136="B",Q136/M136/100*249945/R136/V136/U136
*W136,N136="C",Q136/M136/100*249945/R136/V136/U136
)</f>
        <v>139.9183497</v>
      </c>
      <c r="T136" s="84" t="s">
        <v>739</v>
      </c>
      <c r="U136" s="86">
        <v>1.0</v>
      </c>
      <c r="V136" s="73">
        <v>1.15</v>
      </c>
      <c r="W136" s="79">
        <f t="shared" ref="W136:W137" si="93">4086/2799</f>
        <v>1.459807074</v>
      </c>
      <c r="X136" s="83">
        <f t="shared" ref="X136:X149" si="94">S136/K136</f>
        <v>1.080977118</v>
      </c>
      <c r="Y136" s="83">
        <f t="shared" ref="Y136:Y149" si="95">(S136-K136)*M136*U136*V136*J136/(249945/845)</f>
        <v>1.118595152</v>
      </c>
    </row>
    <row r="137" ht="26.25" customHeight="1">
      <c r="A137" s="72"/>
      <c r="B137" s="73" t="s">
        <v>845</v>
      </c>
      <c r="C137" s="87" t="s">
        <v>903</v>
      </c>
      <c r="D137" s="93">
        <v>884.0</v>
      </c>
      <c r="E137" s="93" t="s">
        <v>905</v>
      </c>
      <c r="F137" s="76" t="s">
        <v>906</v>
      </c>
      <c r="G137" s="77" t="s">
        <v>704</v>
      </c>
      <c r="H137" s="77">
        <f>7316*1.5</f>
        <v>10974</v>
      </c>
      <c r="I137" s="77">
        <v>1.0</v>
      </c>
      <c r="J137" s="78">
        <f t="shared" si="70"/>
        <v>1.525</v>
      </c>
      <c r="K137" s="79">
        <f t="shared" si="2"/>
        <v>6257.448325</v>
      </c>
      <c r="L137" s="80" t="s">
        <v>704</v>
      </c>
      <c r="M137" s="81">
        <v>1.0</v>
      </c>
      <c r="N137" s="81" t="s">
        <v>689</v>
      </c>
      <c r="O137" s="82">
        <v>99.526627</v>
      </c>
      <c r="P137" s="82">
        <v>93.727811</v>
      </c>
      <c r="Q137" s="82">
        <f t="shared" si="92"/>
        <v>5.798816</v>
      </c>
      <c r="R137" s="78">
        <f>1.25*1.22</f>
        <v>1.525</v>
      </c>
      <c r="S137" s="83">
        <f>IFS(N137="B",Q137/M137/100*182596/R137/V137/U137
*W137,N137="C",Q137/M137/100*182596/R137/V137/U137
)</f>
        <v>6037.580079</v>
      </c>
      <c r="T137" s="84" t="s">
        <v>705</v>
      </c>
      <c r="U137" s="86">
        <v>1.0</v>
      </c>
      <c r="V137" s="73">
        <v>1.15</v>
      </c>
      <c r="W137" s="79">
        <f t="shared" si="93"/>
        <v>1.459807074</v>
      </c>
      <c r="X137" s="83">
        <f t="shared" si="94"/>
        <v>0.9648629546</v>
      </c>
      <c r="Y137" s="83">
        <f t="shared" si="95"/>
        <v>-1.303594297</v>
      </c>
    </row>
    <row r="138" ht="26.25" customHeight="1">
      <c r="A138" s="72"/>
      <c r="B138" s="73" t="s">
        <v>907</v>
      </c>
      <c r="C138" s="87" t="s">
        <v>908</v>
      </c>
      <c r="D138" s="76">
        <v>6558.0</v>
      </c>
      <c r="E138" s="76" t="s">
        <v>909</v>
      </c>
      <c r="F138" s="76" t="s">
        <v>910</v>
      </c>
      <c r="G138" s="77" t="s">
        <v>658</v>
      </c>
      <c r="H138" s="77">
        <f>6558*3</f>
        <v>19674</v>
      </c>
      <c r="I138" s="77">
        <v>1.0</v>
      </c>
      <c r="J138" s="78">
        <f t="shared" si="70"/>
        <v>13.11889648</v>
      </c>
      <c r="K138" s="79">
        <f t="shared" si="2"/>
        <v>1363.33529</v>
      </c>
      <c r="L138" s="80" t="s">
        <v>658</v>
      </c>
      <c r="M138" s="92">
        <v>3.0</v>
      </c>
      <c r="N138" s="92" t="s">
        <v>689</v>
      </c>
      <c r="O138" s="82">
        <v>90.023753</v>
      </c>
      <c r="P138" s="94">
        <v>66.389549</v>
      </c>
      <c r="Q138" s="82">
        <f t="shared" si="92"/>
        <v>23.634204</v>
      </c>
      <c r="R138" s="78">
        <f t="shared" ref="R138:R149" si="96">IFS(L138="S",21494/2048*1.25)</f>
        <v>13.11889648</v>
      </c>
      <c r="S138" s="83">
        <f t="shared" ref="S138:S149" si="97">IFS(N138="B",Q138/M138/100*249945/R138/V138/U138
*W138,N138="C",Q138/M138/100*249945/R138/V138/U138
)</f>
        <v>1364.502036</v>
      </c>
      <c r="T138" s="84" t="s">
        <v>660</v>
      </c>
      <c r="U138" s="86">
        <v>1.0</v>
      </c>
      <c r="V138" s="73">
        <v>1.1</v>
      </c>
      <c r="W138" s="83">
        <f>6558/1906</f>
        <v>3.440713536</v>
      </c>
      <c r="X138" s="83">
        <f t="shared" si="94"/>
        <v>1.000855803</v>
      </c>
      <c r="Y138" s="83">
        <f t="shared" si="95"/>
        <v>0.1707653831</v>
      </c>
    </row>
    <row r="139" ht="26.25" customHeight="1">
      <c r="A139" s="72"/>
      <c r="B139" s="73" t="s">
        <v>907</v>
      </c>
      <c r="C139" s="87" t="s">
        <v>911</v>
      </c>
      <c r="D139" s="75">
        <v>14067.0</v>
      </c>
      <c r="E139" s="75" t="s">
        <v>912</v>
      </c>
      <c r="F139" s="88"/>
      <c r="G139" s="77" t="s">
        <v>658</v>
      </c>
      <c r="H139" s="77">
        <v>14067.0</v>
      </c>
      <c r="I139" s="77">
        <v>1.0</v>
      </c>
      <c r="J139" s="78">
        <f t="shared" si="70"/>
        <v>13.11889648</v>
      </c>
      <c r="K139" s="79">
        <f t="shared" si="2"/>
        <v>847.644321</v>
      </c>
      <c r="L139" s="80" t="s">
        <v>658</v>
      </c>
      <c r="M139" s="81">
        <v>3.0</v>
      </c>
      <c r="N139" s="81" t="s">
        <v>689</v>
      </c>
      <c r="O139" s="82">
        <v>90.023753</v>
      </c>
      <c r="P139" s="82">
        <v>73.159145</v>
      </c>
      <c r="Q139" s="82">
        <f t="shared" si="92"/>
        <v>16.864608</v>
      </c>
      <c r="R139" s="78">
        <f t="shared" si="96"/>
        <v>13.11889648</v>
      </c>
      <c r="S139" s="83">
        <f t="shared" si="97"/>
        <v>846.6650231</v>
      </c>
      <c r="T139" s="84" t="s">
        <v>739</v>
      </c>
      <c r="U139" s="86">
        <v>1.1</v>
      </c>
      <c r="V139" s="73">
        <v>1.15</v>
      </c>
      <c r="W139" s="83">
        <f>14067/4088</f>
        <v>3.441046967</v>
      </c>
      <c r="X139" s="83">
        <f t="shared" si="94"/>
        <v>0.998844683</v>
      </c>
      <c r="Y139" s="83">
        <f t="shared" si="95"/>
        <v>-0.1648299689</v>
      </c>
    </row>
    <row r="140" ht="26.25" customHeight="1">
      <c r="A140" s="72"/>
      <c r="B140" s="73" t="s">
        <v>907</v>
      </c>
      <c r="C140" s="87" t="s">
        <v>459</v>
      </c>
      <c r="D140" s="75">
        <v>5735.0</v>
      </c>
      <c r="E140" s="75" t="s">
        <v>913</v>
      </c>
      <c r="F140" s="75" t="s">
        <v>914</v>
      </c>
      <c r="G140" s="77" t="s">
        <v>658</v>
      </c>
      <c r="H140" s="77">
        <f>5735*3</f>
        <v>17205</v>
      </c>
      <c r="I140" s="77">
        <v>1.0</v>
      </c>
      <c r="J140" s="78">
        <f t="shared" si="70"/>
        <v>13.11889648</v>
      </c>
      <c r="K140" s="79">
        <f t="shared" si="2"/>
        <v>1140.406099</v>
      </c>
      <c r="L140" s="80" t="s">
        <v>658</v>
      </c>
      <c r="M140" s="81">
        <v>2.0</v>
      </c>
      <c r="N140" s="81" t="s">
        <v>689</v>
      </c>
      <c r="O140" s="82">
        <v>90.023753</v>
      </c>
      <c r="P140" s="82">
        <v>76.247031</v>
      </c>
      <c r="Q140" s="82">
        <f t="shared" si="92"/>
        <v>13.776722</v>
      </c>
      <c r="R140" s="78">
        <f t="shared" si="96"/>
        <v>13.11889648</v>
      </c>
      <c r="S140" s="83">
        <f t="shared" si="97"/>
        <v>1141.20905</v>
      </c>
      <c r="T140" s="84" t="s">
        <v>739</v>
      </c>
      <c r="U140" s="86">
        <v>1.0</v>
      </c>
      <c r="V140" s="73">
        <v>1.15</v>
      </c>
      <c r="W140" s="83">
        <f>5735/1667</f>
        <v>3.440311938</v>
      </c>
      <c r="X140" s="83">
        <f t="shared" si="94"/>
        <v>1.000704092</v>
      </c>
      <c r="Y140" s="83">
        <f t="shared" si="95"/>
        <v>0.08190799356</v>
      </c>
    </row>
    <row r="141" ht="26.25" customHeight="1">
      <c r="A141" s="72"/>
      <c r="B141" s="73" t="s">
        <v>907</v>
      </c>
      <c r="C141" s="74" t="s">
        <v>559</v>
      </c>
      <c r="D141" s="75">
        <v>15830.0</v>
      </c>
      <c r="E141" s="75" t="s">
        <v>915</v>
      </c>
      <c r="F141" s="75" t="s">
        <v>916</v>
      </c>
      <c r="G141" s="77" t="s">
        <v>658</v>
      </c>
      <c r="H141" s="77">
        <v>15830.0</v>
      </c>
      <c r="I141" s="77">
        <v>1.0</v>
      </c>
      <c r="J141" s="78">
        <f t="shared" si="70"/>
        <v>13.11889648</v>
      </c>
      <c r="K141" s="79">
        <f t="shared" si="2"/>
        <v>997.2366688</v>
      </c>
      <c r="L141" s="80" t="s">
        <v>658</v>
      </c>
      <c r="M141" s="81">
        <v>6.0</v>
      </c>
      <c r="N141" s="81" t="s">
        <v>689</v>
      </c>
      <c r="O141" s="82">
        <v>90.023753</v>
      </c>
      <c r="P141" s="82">
        <v>52.019002</v>
      </c>
      <c r="Q141" s="82">
        <f t="shared" si="92"/>
        <v>38.004751</v>
      </c>
      <c r="R141" s="78">
        <f t="shared" si="96"/>
        <v>13.11889648</v>
      </c>
      <c r="S141" s="83">
        <f t="shared" si="97"/>
        <v>997.3518989</v>
      </c>
      <c r="T141" s="84" t="s">
        <v>739</v>
      </c>
      <c r="U141" s="86">
        <v>1.1</v>
      </c>
      <c r="V141" s="85">
        <v>1.1</v>
      </c>
      <c r="W141" s="83">
        <f>15830/4600</f>
        <v>3.441304348</v>
      </c>
      <c r="X141" s="83">
        <f t="shared" si="94"/>
        <v>1.000115549</v>
      </c>
      <c r="Y141" s="83">
        <f t="shared" si="95"/>
        <v>0.03710328061</v>
      </c>
    </row>
    <row r="142" ht="26.25" customHeight="1">
      <c r="A142" s="72"/>
      <c r="B142" s="73" t="s">
        <v>907</v>
      </c>
      <c r="C142" s="87" t="s">
        <v>917</v>
      </c>
      <c r="D142" s="75">
        <v>12798.0</v>
      </c>
      <c r="E142" s="75" t="s">
        <v>918</v>
      </c>
      <c r="F142" s="76"/>
      <c r="G142" s="77" t="s">
        <v>658</v>
      </c>
      <c r="H142" s="77">
        <v>12798.0</v>
      </c>
      <c r="I142" s="77">
        <v>1.0</v>
      </c>
      <c r="J142" s="78">
        <f t="shared" si="70"/>
        <v>13.11889648</v>
      </c>
      <c r="K142" s="79">
        <f t="shared" si="2"/>
        <v>848.2951036</v>
      </c>
      <c r="L142" s="80" t="s">
        <v>658</v>
      </c>
      <c r="M142" s="81">
        <v>3.0</v>
      </c>
      <c r="N142" s="81" t="s">
        <v>689</v>
      </c>
      <c r="O142" s="82">
        <v>90.023753</v>
      </c>
      <c r="P142" s="82">
        <v>74.584323</v>
      </c>
      <c r="Q142" s="82">
        <f t="shared" si="92"/>
        <v>15.43943</v>
      </c>
      <c r="R142" s="78">
        <f t="shared" si="96"/>
        <v>13.11889648</v>
      </c>
      <c r="S142" s="83">
        <f t="shared" si="97"/>
        <v>852.6274606</v>
      </c>
      <c r="T142" s="84" t="s">
        <v>739</v>
      </c>
      <c r="U142" s="86">
        <v>1.0</v>
      </c>
      <c r="V142" s="73">
        <v>1.15</v>
      </c>
      <c r="W142" s="83">
        <f>12798/3719</f>
        <v>3.441247647</v>
      </c>
      <c r="X142" s="83">
        <f t="shared" si="94"/>
        <v>1.005107134</v>
      </c>
      <c r="Y142" s="83">
        <f t="shared" si="95"/>
        <v>0.6629074393</v>
      </c>
    </row>
    <row r="143" ht="26.25" customHeight="1">
      <c r="A143" s="72"/>
      <c r="B143" s="73" t="s">
        <v>907</v>
      </c>
      <c r="C143" s="87" t="s">
        <v>684</v>
      </c>
      <c r="D143" s="76">
        <v>13686.0</v>
      </c>
      <c r="E143" s="76" t="s">
        <v>919</v>
      </c>
      <c r="F143" s="76" t="s">
        <v>756</v>
      </c>
      <c r="G143" s="77" t="s">
        <v>658</v>
      </c>
      <c r="H143" s="77">
        <v>13686.0</v>
      </c>
      <c r="I143" s="77">
        <v>1.0</v>
      </c>
      <c r="J143" s="78">
        <f t="shared" si="70"/>
        <v>13.11889648</v>
      </c>
      <c r="K143" s="79">
        <f t="shared" si="2"/>
        <v>948.3890811</v>
      </c>
      <c r="L143" s="80" t="s">
        <v>658</v>
      </c>
      <c r="M143" s="92">
        <v>5.0</v>
      </c>
      <c r="N143" s="92" t="s">
        <v>689</v>
      </c>
      <c r="O143" s="82">
        <v>90.023753</v>
      </c>
      <c r="P143" s="94">
        <v>62.707838</v>
      </c>
      <c r="Q143" s="82">
        <f t="shared" si="92"/>
        <v>27.315915</v>
      </c>
      <c r="R143" s="78">
        <f t="shared" si="96"/>
        <v>13.11889648</v>
      </c>
      <c r="S143" s="83">
        <f t="shared" si="97"/>
        <v>946.2376217</v>
      </c>
      <c r="T143" s="84" t="s">
        <v>660</v>
      </c>
      <c r="U143" s="86">
        <v>1.0</v>
      </c>
      <c r="V143" s="73">
        <v>1.1</v>
      </c>
      <c r="W143" s="83">
        <f>13686/3977</f>
        <v>3.441287403</v>
      </c>
      <c r="X143" s="83">
        <f t="shared" si="94"/>
        <v>0.9977314591</v>
      </c>
      <c r="Y143" s="83">
        <f t="shared" si="95"/>
        <v>-0.5248139951</v>
      </c>
    </row>
    <row r="144" ht="26.25" customHeight="1">
      <c r="A144" s="72"/>
      <c r="B144" s="73" t="s">
        <v>907</v>
      </c>
      <c r="C144" s="87" t="s">
        <v>920</v>
      </c>
      <c r="D144" s="75">
        <v>32000.0</v>
      </c>
      <c r="E144" s="75" t="s">
        <v>921</v>
      </c>
      <c r="F144" s="88"/>
      <c r="G144" s="77" t="s">
        <v>658</v>
      </c>
      <c r="H144" s="77">
        <v>32000.0</v>
      </c>
      <c r="I144" s="77">
        <v>1.0</v>
      </c>
      <c r="J144" s="78">
        <f t="shared" si="70"/>
        <v>13.11889648</v>
      </c>
      <c r="K144" s="79">
        <f t="shared" si="2"/>
        <v>2217.481411</v>
      </c>
      <c r="L144" s="80" t="s">
        <v>658</v>
      </c>
      <c r="M144" s="81">
        <v>4.0</v>
      </c>
      <c r="N144" s="81" t="s">
        <v>689</v>
      </c>
      <c r="O144" s="82">
        <v>90.023753</v>
      </c>
      <c r="P144" s="82">
        <v>38.836105</v>
      </c>
      <c r="Q144" s="82">
        <f t="shared" si="92"/>
        <v>51.187648</v>
      </c>
      <c r="R144" s="78">
        <f t="shared" si="96"/>
        <v>13.11889648</v>
      </c>
      <c r="S144" s="83">
        <f t="shared" si="97"/>
        <v>2216.458716</v>
      </c>
      <c r="T144" s="84" t="s">
        <v>739</v>
      </c>
      <c r="U144" s="86">
        <v>1.0</v>
      </c>
      <c r="V144" s="73">
        <v>1.1</v>
      </c>
      <c r="W144" s="83">
        <f>32000/23149</f>
        <v>1.38234913</v>
      </c>
      <c r="X144" s="83">
        <f t="shared" si="94"/>
        <v>0.9995388031</v>
      </c>
      <c r="Y144" s="83">
        <f t="shared" si="95"/>
        <v>-0.1995761444</v>
      </c>
    </row>
    <row r="145" ht="26.25" customHeight="1">
      <c r="A145" s="72"/>
      <c r="B145" s="73" t="s">
        <v>907</v>
      </c>
      <c r="C145" s="87" t="s">
        <v>411</v>
      </c>
      <c r="D145" s="75">
        <v>8653.0</v>
      </c>
      <c r="E145" s="75" t="s">
        <v>922</v>
      </c>
      <c r="F145" s="76" t="s">
        <v>923</v>
      </c>
      <c r="G145" s="77" t="s">
        <v>658</v>
      </c>
      <c r="H145" s="77">
        <f>8653*3*2</f>
        <v>51918</v>
      </c>
      <c r="I145" s="77">
        <v>2.0</v>
      </c>
      <c r="J145" s="78">
        <f t="shared" si="70"/>
        <v>13.11889648</v>
      </c>
      <c r="K145" s="79">
        <f t="shared" si="2"/>
        <v>1798.862499</v>
      </c>
      <c r="L145" s="80" t="s">
        <v>658</v>
      </c>
      <c r="M145" s="81">
        <v>2.0</v>
      </c>
      <c r="N145" s="81" t="s">
        <v>689</v>
      </c>
      <c r="O145" s="82">
        <v>90.023753</v>
      </c>
      <c r="P145" s="82">
        <v>69.239905</v>
      </c>
      <c r="Q145" s="82">
        <f t="shared" si="92"/>
        <v>20.783848</v>
      </c>
      <c r="R145" s="78">
        <f t="shared" si="96"/>
        <v>13.11889648</v>
      </c>
      <c r="S145" s="83">
        <f t="shared" si="97"/>
        <v>1799.908488</v>
      </c>
      <c r="T145" s="84" t="s">
        <v>896</v>
      </c>
      <c r="U145" s="86">
        <v>1.0</v>
      </c>
      <c r="V145" s="73">
        <v>1.1</v>
      </c>
      <c r="W145" s="83">
        <f>8653/2515</f>
        <v>3.44055666</v>
      </c>
      <c r="X145" s="83">
        <f t="shared" si="94"/>
        <v>1.000581472</v>
      </c>
      <c r="Y145" s="83">
        <f t="shared" si="95"/>
        <v>0.10206088</v>
      </c>
    </row>
    <row r="146" ht="26.25" customHeight="1">
      <c r="A146" s="72"/>
      <c r="B146" s="73" t="s">
        <v>907</v>
      </c>
      <c r="C146" s="87" t="s">
        <v>411</v>
      </c>
      <c r="D146" s="75">
        <v>20697.0</v>
      </c>
      <c r="E146" s="75" t="s">
        <v>924</v>
      </c>
      <c r="F146" s="76" t="s">
        <v>925</v>
      </c>
      <c r="G146" s="77" t="s">
        <v>658</v>
      </c>
      <c r="H146" s="77">
        <v>20697.0</v>
      </c>
      <c r="I146" s="77">
        <v>1.0</v>
      </c>
      <c r="J146" s="78">
        <f t="shared" si="70"/>
        <v>13.11889648</v>
      </c>
      <c r="K146" s="79">
        <f t="shared" si="2"/>
        <v>1434.225399</v>
      </c>
      <c r="L146" s="80" t="s">
        <v>658</v>
      </c>
      <c r="M146" s="81">
        <v>4.0</v>
      </c>
      <c r="N146" s="81" t="s">
        <v>689</v>
      </c>
      <c r="O146" s="82">
        <v>79.216152</v>
      </c>
      <c r="P146" s="82">
        <v>46.08076</v>
      </c>
      <c r="Q146" s="82">
        <f t="shared" si="92"/>
        <v>33.135392</v>
      </c>
      <c r="R146" s="78">
        <f t="shared" si="96"/>
        <v>13.11889648</v>
      </c>
      <c r="S146" s="83">
        <f t="shared" si="97"/>
        <v>1434.784196</v>
      </c>
      <c r="T146" s="84" t="s">
        <v>739</v>
      </c>
      <c r="U146" s="86">
        <v>1.0</v>
      </c>
      <c r="V146" s="73">
        <v>1.1</v>
      </c>
      <c r="W146" s="83">
        <f>20967/6015</f>
        <v>3.485785536</v>
      </c>
      <c r="X146" s="83">
        <f t="shared" si="94"/>
        <v>1.000389616</v>
      </c>
      <c r="Y146" s="83">
        <f t="shared" si="95"/>
        <v>0.1090476968</v>
      </c>
    </row>
    <row r="147" ht="26.25" customHeight="1">
      <c r="A147" s="72"/>
      <c r="B147" s="73" t="s">
        <v>926</v>
      </c>
      <c r="C147" s="87" t="s">
        <v>656</v>
      </c>
      <c r="D147" s="76">
        <v>1377.0</v>
      </c>
      <c r="E147" s="76" t="s">
        <v>927</v>
      </c>
      <c r="F147" s="88"/>
      <c r="G147" s="77" t="s">
        <v>658</v>
      </c>
      <c r="H147" s="77">
        <v>1377.0</v>
      </c>
      <c r="I147" s="77">
        <v>1.0</v>
      </c>
      <c r="J147" s="78">
        <f t="shared" si="70"/>
        <v>13.11889648</v>
      </c>
      <c r="K147" s="79">
        <f t="shared" si="2"/>
        <v>95.42099698</v>
      </c>
      <c r="L147" s="80" t="s">
        <v>658</v>
      </c>
      <c r="M147" s="92">
        <v>52.0</v>
      </c>
      <c r="N147" s="92" t="s">
        <v>659</v>
      </c>
      <c r="O147" s="82">
        <v>90.023753</v>
      </c>
      <c r="P147" s="94">
        <v>69.5962</v>
      </c>
      <c r="Q147" s="82">
        <f t="shared" si="92"/>
        <v>20.427553</v>
      </c>
      <c r="R147" s="78">
        <f t="shared" si="96"/>
        <v>13.11889648</v>
      </c>
      <c r="S147" s="83">
        <f t="shared" si="97"/>
        <v>95.40912606</v>
      </c>
      <c r="T147" s="84" t="s">
        <v>660</v>
      </c>
      <c r="U147" s="86">
        <v>1.0</v>
      </c>
      <c r="V147" s="73">
        <v>1.1</v>
      </c>
      <c r="W147" s="83">
        <f>1377/982</f>
        <v>1.402240326</v>
      </c>
      <c r="X147" s="83">
        <f t="shared" si="94"/>
        <v>0.9998755943</v>
      </c>
      <c r="Y147" s="83">
        <f t="shared" si="95"/>
        <v>-0.03011548906</v>
      </c>
    </row>
    <row r="148" ht="26.25" customHeight="1">
      <c r="A148" s="72"/>
      <c r="B148" s="73" t="s">
        <v>926</v>
      </c>
      <c r="C148" s="87" t="s">
        <v>758</v>
      </c>
      <c r="D148" s="76">
        <v>1111.0</v>
      </c>
      <c r="E148" s="76" t="s">
        <v>928</v>
      </c>
      <c r="F148" s="88"/>
      <c r="G148" s="77" t="s">
        <v>658</v>
      </c>
      <c r="H148" s="77">
        <v>1111.0</v>
      </c>
      <c r="I148" s="77">
        <v>1.0</v>
      </c>
      <c r="J148" s="78">
        <f t="shared" si="70"/>
        <v>13.11889648</v>
      </c>
      <c r="K148" s="79">
        <f t="shared" si="2"/>
        <v>76.98818275</v>
      </c>
      <c r="L148" s="80" t="s">
        <v>658</v>
      </c>
      <c r="M148" s="92">
        <v>46.0</v>
      </c>
      <c r="N148" s="92" t="s">
        <v>659</v>
      </c>
      <c r="O148" s="82">
        <v>90.023753</v>
      </c>
      <c r="P148" s="94">
        <v>74.346793</v>
      </c>
      <c r="Q148" s="82">
        <f t="shared" si="92"/>
        <v>15.67696</v>
      </c>
      <c r="R148" s="78">
        <f t="shared" si="96"/>
        <v>13.11889648</v>
      </c>
      <c r="S148" s="83">
        <f t="shared" si="97"/>
        <v>76.97203093</v>
      </c>
      <c r="T148" s="84" t="s">
        <v>660</v>
      </c>
      <c r="U148" s="86">
        <v>1.0</v>
      </c>
      <c r="V148" s="73">
        <v>1.1</v>
      </c>
      <c r="W148" s="83">
        <f>1111/852</f>
        <v>1.30399061</v>
      </c>
      <c r="X148" s="83">
        <f t="shared" si="94"/>
        <v>0.9997902039</v>
      </c>
      <c r="Y148" s="83">
        <f t="shared" si="95"/>
        <v>-0.03624778867</v>
      </c>
    </row>
    <row r="149" ht="26.25" customHeight="1">
      <c r="A149" s="85"/>
      <c r="B149" s="85" t="s">
        <v>926</v>
      </c>
      <c r="C149" s="74" t="s">
        <v>929</v>
      </c>
      <c r="D149" s="75">
        <v>827.0</v>
      </c>
      <c r="E149" s="75" t="s">
        <v>930</v>
      </c>
      <c r="F149" s="76"/>
      <c r="G149" s="77" t="s">
        <v>658</v>
      </c>
      <c r="H149" s="77">
        <v>827.0</v>
      </c>
      <c r="I149" s="77">
        <v>1.0</v>
      </c>
      <c r="J149" s="78">
        <f t="shared" si="70"/>
        <v>13.11889648</v>
      </c>
      <c r="K149" s="79">
        <f t="shared" si="2"/>
        <v>54.57908117</v>
      </c>
      <c r="L149" s="80" t="s">
        <v>658</v>
      </c>
      <c r="M149" s="81">
        <v>63.0</v>
      </c>
      <c r="N149" s="81" t="s">
        <v>659</v>
      </c>
      <c r="O149" s="82">
        <v>90.023753</v>
      </c>
      <c r="P149" s="82">
        <v>73.990499</v>
      </c>
      <c r="Q149" s="82">
        <f t="shared" si="92"/>
        <v>16.033254</v>
      </c>
      <c r="R149" s="78">
        <f t="shared" si="96"/>
        <v>13.11889648</v>
      </c>
      <c r="S149" s="83">
        <f t="shared" si="97"/>
        <v>54.75988644</v>
      </c>
      <c r="T149" s="84" t="s">
        <v>663</v>
      </c>
      <c r="U149" s="78">
        <v>1.05</v>
      </c>
      <c r="V149" s="73">
        <v>1.1</v>
      </c>
      <c r="W149" s="83">
        <f>827/634</f>
        <v>1.304416404</v>
      </c>
      <c r="X149" s="83">
        <f t="shared" si="94"/>
        <v>1.003312721</v>
      </c>
      <c r="Y149" s="83">
        <f t="shared" si="95"/>
        <v>0.5835031461</v>
      </c>
    </row>
    <row r="150" ht="26.25" customHeight="1">
      <c r="A150" s="72"/>
      <c r="B150" s="73" t="s">
        <v>926</v>
      </c>
      <c r="C150" s="87" t="s">
        <v>931</v>
      </c>
      <c r="D150" s="75">
        <v>1620.0</v>
      </c>
      <c r="E150" s="75" t="s">
        <v>932</v>
      </c>
      <c r="F150" s="75" t="s">
        <v>933</v>
      </c>
      <c r="G150" s="77" t="s">
        <v>658</v>
      </c>
      <c r="H150" s="77">
        <f>1620*48+1131*6</f>
        <v>84546</v>
      </c>
      <c r="I150" s="77">
        <v>48.0</v>
      </c>
      <c r="J150" s="95">
        <f>21494/2048*1.25*1.15</f>
        <v>15.08673096</v>
      </c>
      <c r="K150" s="79">
        <f t="shared" si="2"/>
        <v>106.1363131</v>
      </c>
      <c r="L150" s="89" t="s">
        <v>303</v>
      </c>
      <c r="M150" s="85" t="s">
        <v>303</v>
      </c>
      <c r="N150" s="85" t="s">
        <v>303</v>
      </c>
      <c r="O150" s="82" t="s">
        <v>303</v>
      </c>
      <c r="P150" s="82" t="s">
        <v>303</v>
      </c>
      <c r="Q150" s="82" t="s">
        <v>303</v>
      </c>
      <c r="R150" s="78" t="s">
        <v>303</v>
      </c>
      <c r="S150" s="79" t="s">
        <v>303</v>
      </c>
      <c r="T150" s="84" t="s">
        <v>739</v>
      </c>
      <c r="U150" s="86">
        <v>1.0</v>
      </c>
      <c r="V150" s="73">
        <v>1.1</v>
      </c>
      <c r="W150" s="83">
        <f>(1620*8+1131)/(1292*8+1131)</f>
        <v>1.228830557</v>
      </c>
      <c r="X150" s="83">
        <f>30178/27891</f>
        <v>1.081997777</v>
      </c>
      <c r="Y150" s="83">
        <f>(30178-27891)/(1500000/845)</f>
        <v>1.288343333</v>
      </c>
    </row>
    <row r="151" ht="26.25" customHeight="1">
      <c r="A151" s="72"/>
      <c r="B151" s="73" t="s">
        <v>926</v>
      </c>
      <c r="C151" s="87" t="s">
        <v>563</v>
      </c>
      <c r="D151" s="75">
        <v>5556.0</v>
      </c>
      <c r="E151" s="75" t="s">
        <v>934</v>
      </c>
      <c r="F151" s="75" t="s">
        <v>935</v>
      </c>
      <c r="G151" s="77" t="s">
        <v>658</v>
      </c>
      <c r="H151" s="77">
        <f>5556+1217</f>
        <v>6773</v>
      </c>
      <c r="I151" s="77">
        <v>1.0</v>
      </c>
      <c r="J151" s="78">
        <f t="shared" ref="J151:J169" si="98">IFS(G151="S",21494/2048*1.25,G151="C",1.25*2*1.22,OR(G151="R",G151="T"),1.25*1.22)</f>
        <v>13.11889648</v>
      </c>
      <c r="K151" s="79">
        <f t="shared" si="2"/>
        <v>469.3438</v>
      </c>
      <c r="L151" s="80" t="s">
        <v>658</v>
      </c>
      <c r="M151" s="81">
        <v>20.0</v>
      </c>
      <c r="N151" s="92" t="s">
        <v>659</v>
      </c>
      <c r="O151" s="82">
        <v>76.247031</v>
      </c>
      <c r="P151" s="82">
        <v>22.090261</v>
      </c>
      <c r="Q151" s="82">
        <f t="shared" ref="Q151:Q152" si="99">O151-P151</f>
        <v>54.15677</v>
      </c>
      <c r="R151" s="78">
        <f t="shared" ref="R151:R152" si="100">IFS(L151="S",21494/2048*1.25)</f>
        <v>13.11889648</v>
      </c>
      <c r="S151" s="83">
        <f t="shared" ref="S151:S152" si="101">IFS(N151="B",Q151/M151/100*249945/R151/V151/U151
*W151,N151="C",Q151/M151/100*249945/R151/V151/U151
)</f>
        <v>469.004729</v>
      </c>
      <c r="T151" s="84" t="s">
        <v>739</v>
      </c>
      <c r="U151" s="86">
        <v>1.0</v>
      </c>
      <c r="V151" s="73">
        <v>1.1</v>
      </c>
      <c r="W151" s="79">
        <v>1.0</v>
      </c>
      <c r="X151" s="83">
        <f t="shared" ref="X151:X152" si="102">S151/K151</f>
        <v>0.9992775637</v>
      </c>
      <c r="Y151" s="83">
        <f t="shared" ref="Y151:Y152" si="103">(S151-K151)*M151*U151*V151*J151/(249945/845)</f>
        <v>-0.330843721</v>
      </c>
    </row>
    <row r="152" ht="26.25" customHeight="1">
      <c r="A152" s="72"/>
      <c r="B152" s="73" t="s">
        <v>926</v>
      </c>
      <c r="C152" s="87" t="s">
        <v>563</v>
      </c>
      <c r="D152" s="75">
        <v>7778.0</v>
      </c>
      <c r="E152" s="76"/>
      <c r="F152" s="76"/>
      <c r="G152" s="77" t="s">
        <v>658</v>
      </c>
      <c r="H152" s="77">
        <v>7778.0</v>
      </c>
      <c r="I152" s="77">
        <v>1.0</v>
      </c>
      <c r="J152" s="78">
        <f t="shared" si="98"/>
        <v>13.11889648</v>
      </c>
      <c r="K152" s="79">
        <f t="shared" si="2"/>
        <v>538.9865755</v>
      </c>
      <c r="L152" s="80" t="s">
        <v>658</v>
      </c>
      <c r="M152" s="81">
        <v>14.0</v>
      </c>
      <c r="N152" s="92" t="s">
        <v>659</v>
      </c>
      <c r="O152" s="82">
        <v>90.023753</v>
      </c>
      <c r="P152" s="82">
        <v>46.437055</v>
      </c>
      <c r="Q152" s="82">
        <f t="shared" si="99"/>
        <v>43.586698</v>
      </c>
      <c r="R152" s="78">
        <f t="shared" si="100"/>
        <v>13.11889648</v>
      </c>
      <c r="S152" s="83">
        <f t="shared" si="101"/>
        <v>539.2378851</v>
      </c>
      <c r="T152" s="84" t="s">
        <v>739</v>
      </c>
      <c r="U152" s="86">
        <v>1.0</v>
      </c>
      <c r="V152" s="73">
        <v>1.1</v>
      </c>
      <c r="W152" s="79">
        <v>1.0</v>
      </c>
      <c r="X152" s="83">
        <f t="shared" si="102"/>
        <v>1.000466263</v>
      </c>
      <c r="Y152" s="83">
        <f t="shared" si="103"/>
        <v>0.171648191</v>
      </c>
    </row>
    <row r="153" ht="26.25" customHeight="1">
      <c r="A153" s="72"/>
      <c r="B153" s="73" t="s">
        <v>926</v>
      </c>
      <c r="C153" s="87" t="s">
        <v>936</v>
      </c>
      <c r="D153" s="75">
        <v>771.0</v>
      </c>
      <c r="E153" s="75" t="s">
        <v>937</v>
      </c>
      <c r="F153" s="76"/>
      <c r="G153" s="77" t="s">
        <v>658</v>
      </c>
      <c r="H153" s="77">
        <v>771.0</v>
      </c>
      <c r="I153" s="77">
        <v>1.0</v>
      </c>
      <c r="J153" s="78">
        <f t="shared" si="98"/>
        <v>13.11889648</v>
      </c>
      <c r="K153" s="79">
        <f t="shared" si="2"/>
        <v>53.42744275</v>
      </c>
      <c r="L153" s="89" t="s">
        <v>303</v>
      </c>
      <c r="M153" s="85" t="s">
        <v>303</v>
      </c>
      <c r="N153" s="85" t="s">
        <v>303</v>
      </c>
      <c r="O153" s="82" t="s">
        <v>303</v>
      </c>
      <c r="P153" s="82" t="s">
        <v>303</v>
      </c>
      <c r="Q153" s="82" t="s">
        <v>303</v>
      </c>
      <c r="R153" s="78" t="s">
        <v>303</v>
      </c>
      <c r="S153" s="79" t="s">
        <v>303</v>
      </c>
      <c r="T153" s="84" t="s">
        <v>739</v>
      </c>
      <c r="U153" s="86">
        <v>1.0</v>
      </c>
      <c r="V153" s="73">
        <v>1.1</v>
      </c>
      <c r="W153" s="83">
        <f>771/639</f>
        <v>1.20657277</v>
      </c>
      <c r="X153" s="83">
        <f>31953/32079</f>
        <v>0.9960721968</v>
      </c>
      <c r="Y153" s="83">
        <f>(31953-32079)/(1500000/845)</f>
        <v>-0.07098</v>
      </c>
    </row>
    <row r="154" ht="26.25" customHeight="1">
      <c r="A154" s="72"/>
      <c r="B154" s="73" t="s">
        <v>926</v>
      </c>
      <c r="C154" s="87" t="s">
        <v>676</v>
      </c>
      <c r="D154" s="76">
        <v>1620.0</v>
      </c>
      <c r="E154" s="76" t="s">
        <v>938</v>
      </c>
      <c r="F154" s="88"/>
      <c r="G154" s="77" t="s">
        <v>658</v>
      </c>
      <c r="H154" s="77">
        <v>1620.0</v>
      </c>
      <c r="I154" s="77">
        <v>1.0</v>
      </c>
      <c r="J154" s="78">
        <f t="shared" si="98"/>
        <v>13.11889648</v>
      </c>
      <c r="K154" s="79">
        <f t="shared" si="2"/>
        <v>112.2599964</v>
      </c>
      <c r="L154" s="80" t="s">
        <v>658</v>
      </c>
      <c r="M154" s="92">
        <v>20.0</v>
      </c>
      <c r="N154" s="92" t="s">
        <v>659</v>
      </c>
      <c r="O154" s="82">
        <v>90.023753</v>
      </c>
      <c r="P154" s="94">
        <v>80.997625</v>
      </c>
      <c r="Q154" s="82">
        <f t="shared" ref="Q154:Q156" si="104">O154-P154</f>
        <v>9.026128</v>
      </c>
      <c r="R154" s="78">
        <f t="shared" ref="R154:R156" si="105">IFS(L154="S",21494/2048*1.25)</f>
        <v>13.11889648</v>
      </c>
      <c r="S154" s="83">
        <f t="shared" ref="S154:S156" si="106">IFS(N154="B",Q154/M154/100*249945/R154/V154/U154
*W154,N154="C",Q154/M154/100*249945/R154/V154/U154
)</f>
        <v>112.6612741</v>
      </c>
      <c r="T154" s="84" t="s">
        <v>896</v>
      </c>
      <c r="U154" s="86">
        <v>1.0</v>
      </c>
      <c r="V154" s="73">
        <v>1.1</v>
      </c>
      <c r="W154" s="83">
        <f>1620/1124</f>
        <v>1.441281139</v>
      </c>
      <c r="X154" s="83">
        <f t="shared" ref="X154:X156" si="107">S154/K154</f>
        <v>1.003574539</v>
      </c>
      <c r="Y154" s="83">
        <f t="shared" ref="Y154:Y156" si="108">(S154-K154)*M154*U154*V154*J154/(249945/845)</f>
        <v>0.3915410193</v>
      </c>
    </row>
    <row r="155" ht="26.25" customHeight="1">
      <c r="A155" s="72"/>
      <c r="B155" s="73" t="s">
        <v>926</v>
      </c>
      <c r="C155" s="87" t="s">
        <v>692</v>
      </c>
      <c r="D155" s="76">
        <v>787.0</v>
      </c>
      <c r="E155" s="76" t="s">
        <v>939</v>
      </c>
      <c r="F155" s="88"/>
      <c r="G155" s="77" t="s">
        <v>658</v>
      </c>
      <c r="H155" s="77">
        <v>787.0</v>
      </c>
      <c r="I155" s="77">
        <v>1.0</v>
      </c>
      <c r="J155" s="78">
        <f t="shared" si="98"/>
        <v>13.11889648</v>
      </c>
      <c r="K155" s="79">
        <f t="shared" si="2"/>
        <v>54.53618346</v>
      </c>
      <c r="L155" s="80" t="s">
        <v>658</v>
      </c>
      <c r="M155" s="92">
        <v>64.0</v>
      </c>
      <c r="N155" s="92" t="s">
        <v>659</v>
      </c>
      <c r="O155" s="82">
        <v>90.023753</v>
      </c>
      <c r="P155" s="94">
        <v>74.465558</v>
      </c>
      <c r="Q155" s="82">
        <f t="shared" si="104"/>
        <v>15.558195</v>
      </c>
      <c r="R155" s="78">
        <f t="shared" si="105"/>
        <v>13.11889648</v>
      </c>
      <c r="S155" s="83">
        <f t="shared" si="106"/>
        <v>54.86198198</v>
      </c>
      <c r="T155" s="84" t="s">
        <v>660</v>
      </c>
      <c r="U155" s="86">
        <v>1.0</v>
      </c>
      <c r="V155" s="73">
        <v>1.1</v>
      </c>
      <c r="W155" s="83">
        <f>787/604</f>
        <v>1.302980132</v>
      </c>
      <c r="X155" s="83">
        <f t="shared" si="107"/>
        <v>1.005973988</v>
      </c>
      <c r="Y155" s="83">
        <f t="shared" si="108"/>
        <v>1.01725851</v>
      </c>
    </row>
    <row r="156" ht="26.25" customHeight="1">
      <c r="A156" s="72"/>
      <c r="B156" s="85" t="s">
        <v>926</v>
      </c>
      <c r="C156" s="74" t="s">
        <v>940</v>
      </c>
      <c r="D156" s="75">
        <v>2262.0</v>
      </c>
      <c r="E156" s="75" t="s">
        <v>941</v>
      </c>
      <c r="F156" s="75"/>
      <c r="G156" s="77" t="s">
        <v>658</v>
      </c>
      <c r="H156" s="77">
        <v>2262.0</v>
      </c>
      <c r="I156" s="77">
        <v>1.0</v>
      </c>
      <c r="J156" s="78">
        <f t="shared" si="98"/>
        <v>13.11889648</v>
      </c>
      <c r="K156" s="79">
        <f t="shared" si="2"/>
        <v>149.2840164</v>
      </c>
      <c r="L156" s="80" t="s">
        <v>658</v>
      </c>
      <c r="M156" s="81">
        <v>38.0</v>
      </c>
      <c r="N156" s="81" t="s">
        <v>659</v>
      </c>
      <c r="O156" s="82">
        <v>90.023753</v>
      </c>
      <c r="P156" s="82">
        <v>66.152019</v>
      </c>
      <c r="Q156" s="82">
        <f t="shared" si="104"/>
        <v>23.871734</v>
      </c>
      <c r="R156" s="78">
        <f t="shared" si="105"/>
        <v>13.11889648</v>
      </c>
      <c r="S156" s="83">
        <f t="shared" si="106"/>
        <v>149.2995442</v>
      </c>
      <c r="T156" s="84" t="s">
        <v>757</v>
      </c>
      <c r="U156" s="78">
        <v>1.05</v>
      </c>
      <c r="V156" s="73">
        <v>1.1</v>
      </c>
      <c r="W156" s="83">
        <f>2262/1570</f>
        <v>1.440764331</v>
      </c>
      <c r="X156" s="83">
        <f t="shared" si="107"/>
        <v>1.000104015</v>
      </c>
      <c r="Y156" s="83">
        <f t="shared" si="108"/>
        <v>0.03022631639</v>
      </c>
    </row>
    <row r="157" ht="26.25" customHeight="1">
      <c r="A157" s="72"/>
      <c r="B157" s="73" t="s">
        <v>926</v>
      </c>
      <c r="C157" s="87" t="s">
        <v>413</v>
      </c>
      <c r="D157" s="75">
        <v>1377.0</v>
      </c>
      <c r="E157" s="75" t="s">
        <v>927</v>
      </c>
      <c r="F157" s="75" t="s">
        <v>942</v>
      </c>
      <c r="G157" s="77" t="s">
        <v>704</v>
      </c>
      <c r="H157" s="77">
        <f>22317*1.5</f>
        <v>33475.5</v>
      </c>
      <c r="I157" s="77">
        <v>173.0</v>
      </c>
      <c r="J157" s="78">
        <f t="shared" si="98"/>
        <v>1.525</v>
      </c>
      <c r="K157" s="79">
        <f t="shared" si="2"/>
        <v>115.3502235</v>
      </c>
      <c r="L157" s="89" t="s">
        <v>303</v>
      </c>
      <c r="M157" s="85" t="s">
        <v>303</v>
      </c>
      <c r="N157" s="85" t="s">
        <v>303</v>
      </c>
      <c r="O157" s="82" t="s">
        <v>303</v>
      </c>
      <c r="P157" s="82" t="s">
        <v>303</v>
      </c>
      <c r="Q157" s="82" t="s">
        <v>303</v>
      </c>
      <c r="R157" s="78" t="s">
        <v>303</v>
      </c>
      <c r="S157" s="79" t="s">
        <v>303</v>
      </c>
      <c r="T157" s="84" t="s">
        <v>705</v>
      </c>
      <c r="U157" s="86">
        <v>1.0</v>
      </c>
      <c r="V157" s="73">
        <v>1.1</v>
      </c>
      <c r="W157" s="83">
        <f>1377/982</f>
        <v>1.402240326</v>
      </c>
      <c r="X157" s="83">
        <f>24852/24942</f>
        <v>0.9963916286</v>
      </c>
      <c r="Y157" s="83">
        <f>(24852-24942)/(1500000/845)</f>
        <v>-0.0507</v>
      </c>
    </row>
    <row r="158" ht="26.25" customHeight="1">
      <c r="A158" s="72"/>
      <c r="B158" s="73" t="s">
        <v>926</v>
      </c>
      <c r="C158" s="87" t="s">
        <v>943</v>
      </c>
      <c r="D158" s="75">
        <v>7838.0</v>
      </c>
      <c r="E158" s="75" t="s">
        <v>944</v>
      </c>
      <c r="F158" s="88"/>
      <c r="G158" s="77" t="s">
        <v>658</v>
      </c>
      <c r="H158" s="77">
        <f>7838+2280</f>
        <v>10118</v>
      </c>
      <c r="I158" s="77">
        <v>1.0</v>
      </c>
      <c r="J158" s="78">
        <f t="shared" si="98"/>
        <v>13.11889648</v>
      </c>
      <c r="K158" s="79">
        <f t="shared" si="2"/>
        <v>701.1399037</v>
      </c>
      <c r="L158" s="80" t="s">
        <v>658</v>
      </c>
      <c r="M158" s="81">
        <v>11.0</v>
      </c>
      <c r="N158" s="79" t="s">
        <v>659</v>
      </c>
      <c r="O158" s="82">
        <v>90.023753</v>
      </c>
      <c r="P158" s="82">
        <v>45.486936</v>
      </c>
      <c r="Q158" s="82">
        <f t="shared" ref="Q158:Q169" si="109">O158-P158</f>
        <v>44.536817</v>
      </c>
      <c r="R158" s="78">
        <f t="shared" ref="R158:R169" si="110">IFS(L158="S",21494/2048*1.25)</f>
        <v>13.11889648</v>
      </c>
      <c r="S158" s="83">
        <f t="shared" ref="S158:S169" si="111">IFS(N158="B",Q158/M158/100*249945/R158/V158/U158
*W158,N158="C",Q158/M158/100*249945/R158/V158/U158
)</f>
        <v>701.2630448</v>
      </c>
      <c r="T158" s="84" t="s">
        <v>739</v>
      </c>
      <c r="U158" s="86">
        <v>1.0</v>
      </c>
      <c r="V158" s="73">
        <v>1.1</v>
      </c>
      <c r="W158" s="79">
        <v>1.0</v>
      </c>
      <c r="X158" s="83">
        <f t="shared" ref="X158:X169" si="112">S158/K158</f>
        <v>1.00017563</v>
      </c>
      <c r="Y158" s="83">
        <f t="shared" ref="Y158:Y169" si="113">(S158-K158)*M158*U158*V158*J158/(249945/845)</f>
        <v>0.06608424573</v>
      </c>
    </row>
    <row r="159" ht="26.25" customHeight="1">
      <c r="A159" s="72"/>
      <c r="B159" s="73" t="s">
        <v>945</v>
      </c>
      <c r="C159" s="87" t="s">
        <v>656</v>
      </c>
      <c r="D159" s="76">
        <v>557.0</v>
      </c>
      <c r="E159" s="76" t="s">
        <v>946</v>
      </c>
      <c r="F159" s="76" t="s">
        <v>852</v>
      </c>
      <c r="G159" s="77" t="s">
        <v>658</v>
      </c>
      <c r="H159" s="77">
        <f>557*3</f>
        <v>1671</v>
      </c>
      <c r="I159" s="77">
        <v>1.0</v>
      </c>
      <c r="J159" s="78">
        <f t="shared" si="98"/>
        <v>13.11889648</v>
      </c>
      <c r="K159" s="79">
        <f t="shared" si="2"/>
        <v>110.759581</v>
      </c>
      <c r="L159" s="80" t="s">
        <v>658</v>
      </c>
      <c r="M159" s="92">
        <v>14.0</v>
      </c>
      <c r="N159" s="92" t="s">
        <v>659</v>
      </c>
      <c r="O159" s="82">
        <v>90.023753</v>
      </c>
      <c r="P159" s="94">
        <v>84.441805</v>
      </c>
      <c r="Q159" s="82">
        <f t="shared" si="109"/>
        <v>5.581948</v>
      </c>
      <c r="R159" s="78">
        <f t="shared" si="110"/>
        <v>13.11889648</v>
      </c>
      <c r="S159" s="83">
        <f t="shared" si="111"/>
        <v>109.5022332</v>
      </c>
      <c r="T159" s="84" t="s">
        <v>660</v>
      </c>
      <c r="U159" s="86">
        <v>1.0</v>
      </c>
      <c r="V159" s="73">
        <v>1.15</v>
      </c>
      <c r="W159" s="83">
        <f>557/336</f>
        <v>1.657738095</v>
      </c>
      <c r="X159" s="83">
        <f t="shared" si="112"/>
        <v>0.9886479541</v>
      </c>
      <c r="Y159" s="83">
        <f t="shared" si="113"/>
        <v>-0.8978233141</v>
      </c>
    </row>
    <row r="160" ht="26.25" customHeight="1">
      <c r="A160" s="72"/>
      <c r="B160" s="73" t="s">
        <v>945</v>
      </c>
      <c r="C160" s="87" t="s">
        <v>947</v>
      </c>
      <c r="D160" s="76">
        <v>462.0</v>
      </c>
      <c r="E160" s="76" t="s">
        <v>948</v>
      </c>
      <c r="F160" s="76" t="s">
        <v>852</v>
      </c>
      <c r="G160" s="77" t="s">
        <v>658</v>
      </c>
      <c r="H160" s="77">
        <f>462*4</f>
        <v>1848</v>
      </c>
      <c r="I160" s="77">
        <v>1.0</v>
      </c>
      <c r="J160" s="78">
        <f t="shared" si="98"/>
        <v>13.11889648</v>
      </c>
      <c r="K160" s="79">
        <f t="shared" si="2"/>
        <v>122.4917449</v>
      </c>
      <c r="L160" s="80" t="s">
        <v>658</v>
      </c>
      <c r="M160" s="92">
        <v>12.0</v>
      </c>
      <c r="N160" s="92" t="s">
        <v>659</v>
      </c>
      <c r="O160" s="82">
        <v>90.023753</v>
      </c>
      <c r="P160" s="94">
        <v>85.510689</v>
      </c>
      <c r="Q160" s="82">
        <f t="shared" si="109"/>
        <v>4.513064</v>
      </c>
      <c r="R160" s="78">
        <f t="shared" si="110"/>
        <v>13.11889648</v>
      </c>
      <c r="S160" s="83">
        <f t="shared" si="111"/>
        <v>121.4599739</v>
      </c>
      <c r="T160" s="84" t="s">
        <v>660</v>
      </c>
      <c r="U160" s="86">
        <v>1.0</v>
      </c>
      <c r="V160" s="73">
        <v>1.15</v>
      </c>
      <c r="W160" s="83">
        <f>462/237</f>
        <v>1.949367089</v>
      </c>
      <c r="X160" s="83">
        <f t="shared" si="112"/>
        <v>0.9915768121</v>
      </c>
      <c r="Y160" s="83">
        <f t="shared" si="113"/>
        <v>-0.6314979655</v>
      </c>
    </row>
    <row r="161" ht="26.25" customHeight="1">
      <c r="A161" s="72"/>
      <c r="B161" s="73" t="s">
        <v>945</v>
      </c>
      <c r="C161" s="87" t="s">
        <v>949</v>
      </c>
      <c r="D161" s="75">
        <v>481.0</v>
      </c>
      <c r="E161" s="75" t="s">
        <v>950</v>
      </c>
      <c r="F161" s="76" t="s">
        <v>852</v>
      </c>
      <c r="G161" s="77" t="s">
        <v>658</v>
      </c>
      <c r="H161" s="77">
        <f>481*3</f>
        <v>1443</v>
      </c>
      <c r="I161" s="77">
        <v>1.0</v>
      </c>
      <c r="J161" s="78">
        <f t="shared" si="98"/>
        <v>13.11889648</v>
      </c>
      <c r="K161" s="79">
        <f t="shared" si="2"/>
        <v>95.64696316</v>
      </c>
      <c r="L161" s="80" t="s">
        <v>658</v>
      </c>
      <c r="M161" s="81">
        <v>17.0</v>
      </c>
      <c r="N161" s="81" t="s">
        <v>659</v>
      </c>
      <c r="O161" s="82">
        <v>90.023753</v>
      </c>
      <c r="P161" s="82">
        <v>83.847981</v>
      </c>
      <c r="Q161" s="82">
        <f t="shared" si="109"/>
        <v>6.175772</v>
      </c>
      <c r="R161" s="78">
        <f t="shared" si="110"/>
        <v>13.11889648</v>
      </c>
      <c r="S161" s="83">
        <f t="shared" si="111"/>
        <v>96.17677746</v>
      </c>
      <c r="T161" s="84" t="s">
        <v>739</v>
      </c>
      <c r="U161" s="86">
        <v>1.0</v>
      </c>
      <c r="V161" s="73">
        <v>1.15</v>
      </c>
      <c r="W161" s="83">
        <f>481/301</f>
        <v>1.598006645</v>
      </c>
      <c r="X161" s="83">
        <f t="shared" si="112"/>
        <v>1.005539269</v>
      </c>
      <c r="Y161" s="83">
        <f t="shared" si="113"/>
        <v>0.4593883736</v>
      </c>
    </row>
    <row r="162" ht="26.25" customHeight="1">
      <c r="A162" s="85"/>
      <c r="B162" s="85" t="s">
        <v>945</v>
      </c>
      <c r="C162" s="74" t="s">
        <v>951</v>
      </c>
      <c r="D162" s="75">
        <v>513.0</v>
      </c>
      <c r="E162" s="75" t="s">
        <v>952</v>
      </c>
      <c r="F162" s="76" t="s">
        <v>852</v>
      </c>
      <c r="G162" s="77" t="s">
        <v>658</v>
      </c>
      <c r="H162" s="77">
        <f>513*3</f>
        <v>1539</v>
      </c>
      <c r="I162" s="77">
        <v>1.0</v>
      </c>
      <c r="J162" s="78">
        <f t="shared" si="98"/>
        <v>13.11889648</v>
      </c>
      <c r="K162" s="79">
        <f t="shared" si="2"/>
        <v>97.15254351</v>
      </c>
      <c r="L162" s="80" t="s">
        <v>658</v>
      </c>
      <c r="M162" s="81">
        <v>19.0</v>
      </c>
      <c r="N162" s="81" t="s">
        <v>659</v>
      </c>
      <c r="O162" s="82">
        <v>90.023753</v>
      </c>
      <c r="P162" s="82">
        <v>83.491686</v>
      </c>
      <c r="Q162" s="82">
        <f t="shared" si="109"/>
        <v>6.532067</v>
      </c>
      <c r="R162" s="78">
        <f t="shared" si="110"/>
        <v>13.11889648</v>
      </c>
      <c r="S162" s="83">
        <f t="shared" si="111"/>
        <v>97.29899857</v>
      </c>
      <c r="T162" s="84" t="s">
        <v>663</v>
      </c>
      <c r="U162" s="78">
        <v>1.05</v>
      </c>
      <c r="V162" s="85">
        <v>1.15</v>
      </c>
      <c r="W162" s="83">
        <f>513/286</f>
        <v>1.793706294</v>
      </c>
      <c r="X162" s="83">
        <f t="shared" si="112"/>
        <v>1.001507475</v>
      </c>
      <c r="Y162" s="83">
        <f t="shared" si="113"/>
        <v>0.1490234782</v>
      </c>
    </row>
    <row r="163" ht="26.25" customHeight="1">
      <c r="A163" s="72"/>
      <c r="B163" s="73" t="s">
        <v>945</v>
      </c>
      <c r="C163" s="87" t="s">
        <v>953</v>
      </c>
      <c r="D163" s="75">
        <v>557.0</v>
      </c>
      <c r="E163" s="75" t="s">
        <v>946</v>
      </c>
      <c r="F163" s="76" t="s">
        <v>852</v>
      </c>
      <c r="G163" s="77" t="s">
        <v>658</v>
      </c>
      <c r="H163" s="77">
        <f>557*3</f>
        <v>1671</v>
      </c>
      <c r="I163" s="77">
        <v>1.0</v>
      </c>
      <c r="J163" s="78">
        <f t="shared" si="98"/>
        <v>13.11889648</v>
      </c>
      <c r="K163" s="79">
        <f t="shared" si="2"/>
        <v>110.759581</v>
      </c>
      <c r="L163" s="80" t="s">
        <v>658</v>
      </c>
      <c r="M163" s="81">
        <v>16.0</v>
      </c>
      <c r="N163" s="81" t="s">
        <v>659</v>
      </c>
      <c r="O163" s="82">
        <v>90.023753</v>
      </c>
      <c r="P163" s="82">
        <v>83.491686</v>
      </c>
      <c r="Q163" s="82">
        <f t="shared" si="109"/>
        <v>6.532067</v>
      </c>
      <c r="R163" s="78">
        <f t="shared" si="110"/>
        <v>13.11889648</v>
      </c>
      <c r="S163" s="83">
        <f t="shared" si="111"/>
        <v>112.1233006</v>
      </c>
      <c r="T163" s="84" t="s">
        <v>739</v>
      </c>
      <c r="U163" s="86">
        <v>1.0</v>
      </c>
      <c r="V163" s="73">
        <v>1.15</v>
      </c>
      <c r="W163" s="83">
        <f>557/336</f>
        <v>1.657738095</v>
      </c>
      <c r="X163" s="83">
        <f t="shared" si="112"/>
        <v>1.01231243</v>
      </c>
      <c r="Y163" s="83">
        <f t="shared" si="113"/>
        <v>1.112890526</v>
      </c>
    </row>
    <row r="164" ht="26.25" customHeight="1">
      <c r="A164" s="85"/>
      <c r="B164" s="85" t="s">
        <v>945</v>
      </c>
      <c r="C164" s="74" t="s">
        <v>954</v>
      </c>
      <c r="D164" s="75">
        <v>590.0</v>
      </c>
      <c r="E164" s="75" t="s">
        <v>955</v>
      </c>
      <c r="F164" s="76" t="s">
        <v>852</v>
      </c>
      <c r="G164" s="77" t="s">
        <v>658</v>
      </c>
      <c r="H164" s="77">
        <f>590*3</f>
        <v>1770</v>
      </c>
      <c r="I164" s="77">
        <v>1.0</v>
      </c>
      <c r="J164" s="78">
        <f t="shared" si="98"/>
        <v>13.11889648</v>
      </c>
      <c r="K164" s="79">
        <f t="shared" si="2"/>
        <v>111.7348941</v>
      </c>
      <c r="L164" s="80" t="s">
        <v>658</v>
      </c>
      <c r="M164" s="81">
        <v>12.0</v>
      </c>
      <c r="N164" s="81" t="s">
        <v>659</v>
      </c>
      <c r="O164" s="82">
        <v>90.023753</v>
      </c>
      <c r="P164" s="82">
        <v>85.273159</v>
      </c>
      <c r="Q164" s="82">
        <f t="shared" si="109"/>
        <v>4.750594</v>
      </c>
      <c r="R164" s="78">
        <f t="shared" si="110"/>
        <v>13.11889648</v>
      </c>
      <c r="S164" s="83">
        <f t="shared" si="111"/>
        <v>112.0167046</v>
      </c>
      <c r="T164" s="84" t="s">
        <v>757</v>
      </c>
      <c r="U164" s="78">
        <v>1.05</v>
      </c>
      <c r="V164" s="85">
        <v>1.15</v>
      </c>
      <c r="W164" s="83">
        <f>590/329</f>
        <v>1.79331307</v>
      </c>
      <c r="X164" s="83">
        <f t="shared" si="112"/>
        <v>1.002522136</v>
      </c>
      <c r="Y164" s="83">
        <f t="shared" si="113"/>
        <v>0.1811069803</v>
      </c>
    </row>
    <row r="165" ht="26.25" customHeight="1">
      <c r="A165" s="72"/>
      <c r="B165" s="73" t="s">
        <v>945</v>
      </c>
      <c r="C165" s="87" t="s">
        <v>956</v>
      </c>
      <c r="D165" s="75">
        <v>1264.0</v>
      </c>
      <c r="E165" s="75" t="s">
        <v>957</v>
      </c>
      <c r="F165" s="76" t="s">
        <v>958</v>
      </c>
      <c r="G165" s="77" t="s">
        <v>658</v>
      </c>
      <c r="H165" s="77">
        <f>1264+934</f>
        <v>2198</v>
      </c>
      <c r="I165" s="77">
        <v>1.0</v>
      </c>
      <c r="J165" s="78">
        <f t="shared" si="98"/>
        <v>13.11889648</v>
      </c>
      <c r="K165" s="79">
        <f t="shared" si="2"/>
        <v>132.4463082</v>
      </c>
      <c r="L165" s="80" t="s">
        <v>658</v>
      </c>
      <c r="M165" s="81">
        <v>15.0</v>
      </c>
      <c r="N165" s="81" t="s">
        <v>659</v>
      </c>
      <c r="O165" s="82">
        <v>90.023753</v>
      </c>
      <c r="P165" s="82">
        <v>82.897862</v>
      </c>
      <c r="Q165" s="82">
        <f t="shared" si="109"/>
        <v>7.125891</v>
      </c>
      <c r="R165" s="78">
        <f t="shared" si="110"/>
        <v>13.11889648</v>
      </c>
      <c r="S165" s="83">
        <f t="shared" si="111"/>
        <v>132.6072405</v>
      </c>
      <c r="T165" s="84" t="s">
        <v>739</v>
      </c>
      <c r="U165" s="86">
        <v>1.1</v>
      </c>
      <c r="V165" s="73">
        <v>1.15</v>
      </c>
      <c r="W165" s="83">
        <f>1264/682</f>
        <v>1.853372434</v>
      </c>
      <c r="X165" s="83">
        <f t="shared" si="112"/>
        <v>1.001215076</v>
      </c>
      <c r="Y165" s="83">
        <f t="shared" si="113"/>
        <v>0.1354361671</v>
      </c>
    </row>
    <row r="166" ht="26.25" customHeight="1">
      <c r="A166" s="72"/>
      <c r="B166" s="73" t="s">
        <v>945</v>
      </c>
      <c r="C166" s="87" t="s">
        <v>876</v>
      </c>
      <c r="D166" s="76">
        <v>742.0</v>
      </c>
      <c r="E166" s="76" t="s">
        <v>959</v>
      </c>
      <c r="F166" s="76" t="s">
        <v>852</v>
      </c>
      <c r="G166" s="77" t="s">
        <v>658</v>
      </c>
      <c r="H166" s="77">
        <f>742*2</f>
        <v>1484</v>
      </c>
      <c r="I166" s="77">
        <v>1.0</v>
      </c>
      <c r="J166" s="78">
        <f t="shared" si="98"/>
        <v>13.11889648</v>
      </c>
      <c r="K166" s="79">
        <f t="shared" si="2"/>
        <v>98.36458304</v>
      </c>
      <c r="L166" s="80" t="s">
        <v>658</v>
      </c>
      <c r="M166" s="92">
        <v>11.0</v>
      </c>
      <c r="N166" s="81" t="s">
        <v>659</v>
      </c>
      <c r="O166" s="82">
        <v>90.023753</v>
      </c>
      <c r="P166" s="94">
        <v>86.460808</v>
      </c>
      <c r="Q166" s="82">
        <f t="shared" si="109"/>
        <v>3.562945</v>
      </c>
      <c r="R166" s="78">
        <f t="shared" si="110"/>
        <v>13.11889648</v>
      </c>
      <c r="S166" s="83">
        <f t="shared" si="111"/>
        <v>99.29451837</v>
      </c>
      <c r="T166" s="84" t="s">
        <v>660</v>
      </c>
      <c r="U166" s="86">
        <v>1.0</v>
      </c>
      <c r="V166" s="73">
        <v>1.15</v>
      </c>
      <c r="W166" s="83">
        <f>742/401</f>
        <v>1.850374065</v>
      </c>
      <c r="X166" s="83">
        <f t="shared" si="112"/>
        <v>1.009453965</v>
      </c>
      <c r="Y166" s="83">
        <f t="shared" si="113"/>
        <v>0.5217384422</v>
      </c>
    </row>
    <row r="167" ht="26.25" customHeight="1">
      <c r="A167" s="72"/>
      <c r="B167" s="73" t="s">
        <v>945</v>
      </c>
      <c r="C167" s="87" t="s">
        <v>676</v>
      </c>
      <c r="D167" s="76">
        <v>589.0</v>
      </c>
      <c r="E167" s="76" t="s">
        <v>955</v>
      </c>
      <c r="F167" s="76" t="s">
        <v>852</v>
      </c>
      <c r="G167" s="77" t="s">
        <v>658</v>
      </c>
      <c r="H167" s="77">
        <f>589*3</f>
        <v>1767</v>
      </c>
      <c r="I167" s="77">
        <v>1.0</v>
      </c>
      <c r="J167" s="78">
        <f t="shared" si="98"/>
        <v>13.11889648</v>
      </c>
      <c r="K167" s="79">
        <f t="shared" si="2"/>
        <v>117.1227886</v>
      </c>
      <c r="L167" s="80" t="s">
        <v>658</v>
      </c>
      <c r="M167" s="92">
        <v>13.0</v>
      </c>
      <c r="N167" s="81" t="s">
        <v>659</v>
      </c>
      <c r="O167" s="82">
        <v>90.023753</v>
      </c>
      <c r="P167" s="94">
        <v>84.916865</v>
      </c>
      <c r="Q167" s="82">
        <f t="shared" si="109"/>
        <v>5.106888</v>
      </c>
      <c r="R167" s="78">
        <f t="shared" si="110"/>
        <v>13.11889648</v>
      </c>
      <c r="S167" s="83">
        <f t="shared" si="111"/>
        <v>116.5149587</v>
      </c>
      <c r="T167" s="84" t="s">
        <v>660</v>
      </c>
      <c r="U167" s="86">
        <v>1.0</v>
      </c>
      <c r="V167" s="73">
        <v>1.15</v>
      </c>
      <c r="W167" s="83">
        <f>589/329</f>
        <v>1.790273556</v>
      </c>
      <c r="X167" s="83">
        <f t="shared" si="112"/>
        <v>0.9948103197</v>
      </c>
      <c r="Y167" s="83">
        <f t="shared" si="113"/>
        <v>-0.4030257226</v>
      </c>
    </row>
    <row r="168" ht="26.25" customHeight="1">
      <c r="A168" s="72"/>
      <c r="B168" s="73" t="s">
        <v>945</v>
      </c>
      <c r="C168" s="87" t="s">
        <v>740</v>
      </c>
      <c r="D168" s="76">
        <v>481.0</v>
      </c>
      <c r="E168" s="76" t="s">
        <v>950</v>
      </c>
      <c r="F168" s="76" t="s">
        <v>852</v>
      </c>
      <c r="G168" s="77" t="s">
        <v>658</v>
      </c>
      <c r="H168" s="77">
        <f>481*3</f>
        <v>1443</v>
      </c>
      <c r="I168" s="77">
        <v>1.0</v>
      </c>
      <c r="J168" s="78">
        <f t="shared" si="98"/>
        <v>13.11889648</v>
      </c>
      <c r="K168" s="79">
        <f t="shared" si="2"/>
        <v>95.64696316</v>
      </c>
      <c r="L168" s="80" t="s">
        <v>658</v>
      </c>
      <c r="M168" s="92">
        <v>14.0</v>
      </c>
      <c r="N168" s="81" t="s">
        <v>659</v>
      </c>
      <c r="O168" s="82">
        <v>90.023753</v>
      </c>
      <c r="P168" s="94">
        <v>85.035629</v>
      </c>
      <c r="Q168" s="82">
        <f t="shared" si="109"/>
        <v>4.988124</v>
      </c>
      <c r="R168" s="78">
        <f t="shared" si="110"/>
        <v>13.11889648</v>
      </c>
      <c r="S168" s="83">
        <f t="shared" si="111"/>
        <v>94.32723277</v>
      </c>
      <c r="T168" s="84" t="s">
        <v>660</v>
      </c>
      <c r="U168" s="86">
        <v>1.0</v>
      </c>
      <c r="V168" s="73">
        <v>1.15</v>
      </c>
      <c r="W168" s="83">
        <f>481/301</f>
        <v>1.598006645</v>
      </c>
      <c r="X168" s="83">
        <f t="shared" si="112"/>
        <v>0.9862020671</v>
      </c>
      <c r="Y168" s="83">
        <f t="shared" si="113"/>
        <v>-0.9423682643</v>
      </c>
    </row>
    <row r="169" ht="26.25" customHeight="1">
      <c r="A169" s="72"/>
      <c r="B169" s="73" t="s">
        <v>945</v>
      </c>
      <c r="C169" s="74" t="s">
        <v>822</v>
      </c>
      <c r="D169" s="76">
        <v>3597.0</v>
      </c>
      <c r="E169" s="76" t="s">
        <v>960</v>
      </c>
      <c r="F169" s="76" t="s">
        <v>852</v>
      </c>
      <c r="G169" s="77" t="s">
        <v>658</v>
      </c>
      <c r="H169" s="77">
        <f>(3597+2472)*3</f>
        <v>18207</v>
      </c>
      <c r="I169" s="77">
        <v>1.0</v>
      </c>
      <c r="J169" s="78">
        <f t="shared" si="98"/>
        <v>13.11889648</v>
      </c>
      <c r="K169" s="79">
        <f t="shared" si="2"/>
        <v>1117.42785</v>
      </c>
      <c r="L169" s="80" t="s">
        <v>658</v>
      </c>
      <c r="M169" s="92">
        <v>2.0</v>
      </c>
      <c r="N169" s="81" t="s">
        <v>689</v>
      </c>
      <c r="O169" s="82">
        <v>90.023753</v>
      </c>
      <c r="P169" s="94">
        <v>75.415677</v>
      </c>
      <c r="Q169" s="82">
        <f t="shared" si="109"/>
        <v>14.608076</v>
      </c>
      <c r="R169" s="78">
        <f t="shared" si="110"/>
        <v>13.11889648</v>
      </c>
      <c r="S169" s="83">
        <f t="shared" si="111"/>
        <v>1120.439926</v>
      </c>
      <c r="T169" s="84" t="s">
        <v>660</v>
      </c>
      <c r="U169" s="86">
        <v>1.08</v>
      </c>
      <c r="V169" s="73">
        <v>1.15</v>
      </c>
      <c r="W169" s="83">
        <f>3597/2983</f>
        <v>1.205833054</v>
      </c>
      <c r="X169" s="83">
        <f t="shared" si="112"/>
        <v>1.002695545</v>
      </c>
      <c r="Y169" s="83">
        <f t="shared" si="113"/>
        <v>0.3318387913</v>
      </c>
    </row>
    <row r="170" ht="26.25" customHeight="1">
      <c r="A170" s="72"/>
      <c r="B170" s="73" t="s">
        <v>945</v>
      </c>
      <c r="C170" s="87" t="s">
        <v>961</v>
      </c>
      <c r="D170" s="76">
        <v>3663.0</v>
      </c>
      <c r="E170" s="76" t="s">
        <v>962</v>
      </c>
      <c r="F170" s="75" t="s">
        <v>963</v>
      </c>
      <c r="G170" s="77" t="s">
        <v>689</v>
      </c>
      <c r="H170" s="77">
        <v>23442.0</v>
      </c>
      <c r="I170" s="77">
        <v>6.0</v>
      </c>
      <c r="J170" s="78">
        <f>1.25*2*1.15</f>
        <v>2.875</v>
      </c>
      <c r="K170" s="79">
        <f t="shared" si="2"/>
        <v>1125.429832</v>
      </c>
      <c r="L170" s="89" t="s">
        <v>303</v>
      </c>
      <c r="M170" s="85" t="s">
        <v>303</v>
      </c>
      <c r="N170" s="85" t="s">
        <v>303</v>
      </c>
      <c r="O170" s="82" t="s">
        <v>303</v>
      </c>
      <c r="P170" s="82" t="s">
        <v>303</v>
      </c>
      <c r="Q170" s="82" t="s">
        <v>303</v>
      </c>
      <c r="R170" s="78" t="s">
        <v>303</v>
      </c>
      <c r="S170" s="79" t="s">
        <v>303</v>
      </c>
      <c r="T170" s="84" t="s">
        <v>713</v>
      </c>
      <c r="U170" s="78">
        <v>1.05</v>
      </c>
      <c r="V170" s="73">
        <v>1.15</v>
      </c>
      <c r="W170" s="83">
        <f>3663/3038</f>
        <v>1.205727452</v>
      </c>
      <c r="X170" s="83">
        <f>90533/90869</f>
        <v>0.9963023693</v>
      </c>
      <c r="Y170" s="83">
        <f>(90533-90869)/(1500000/845)</f>
        <v>-0.18928</v>
      </c>
    </row>
    <row r="171" ht="26.25" customHeight="1">
      <c r="A171" s="72"/>
      <c r="B171" s="73" t="s">
        <v>945</v>
      </c>
      <c r="C171" s="87" t="s">
        <v>964</v>
      </c>
      <c r="D171" s="75">
        <v>589.0</v>
      </c>
      <c r="E171" s="75" t="s">
        <v>965</v>
      </c>
      <c r="F171" s="76" t="s">
        <v>852</v>
      </c>
      <c r="G171" s="77" t="s">
        <v>658</v>
      </c>
      <c r="H171" s="77">
        <f>589*3</f>
        <v>1767</v>
      </c>
      <c r="I171" s="77">
        <v>1.0</v>
      </c>
      <c r="J171" s="78">
        <f t="shared" ref="J171:J192" si="114">IFS(G171="S",21494/2048*1.25,G171="C",1.25*2*1.22,OR(G171="R",G171="T"),1.25*1.22)</f>
        <v>13.11889648</v>
      </c>
      <c r="K171" s="79">
        <f t="shared" si="2"/>
        <v>117.1227886</v>
      </c>
      <c r="L171" s="80" t="s">
        <v>658</v>
      </c>
      <c r="M171" s="81">
        <v>14.0</v>
      </c>
      <c r="N171" s="81" t="s">
        <v>659</v>
      </c>
      <c r="O171" s="82">
        <v>90.023753</v>
      </c>
      <c r="P171" s="82">
        <v>84.441805</v>
      </c>
      <c r="Q171" s="82">
        <f>O171-P171</f>
        <v>5.581948</v>
      </c>
      <c r="R171" s="78">
        <f>IFS(L171="S",21494/2048*1.25)</f>
        <v>13.11889648</v>
      </c>
      <c r="S171" s="83">
        <f>IFS(N171="B",Q171/M171/100*249945/R171/V171/U171
*W171,N171="C",Q171/M171/100*249945/R171/V171/U171
)</f>
        <v>118.2568905</v>
      </c>
      <c r="T171" s="84" t="s">
        <v>739</v>
      </c>
      <c r="U171" s="86">
        <v>1.0</v>
      </c>
      <c r="V171" s="73">
        <v>1.15</v>
      </c>
      <c r="W171" s="83">
        <f>589/329</f>
        <v>1.790273556</v>
      </c>
      <c r="X171" s="83">
        <f>S171/K171</f>
        <v>1.009683017</v>
      </c>
      <c r="Y171" s="83">
        <f>(S171-K171)*M171*U171*V171*J171/(249945/845)</f>
        <v>0.8098182021</v>
      </c>
    </row>
    <row r="172" ht="26.25" customHeight="1">
      <c r="A172" s="72"/>
      <c r="B172" s="73" t="s">
        <v>945</v>
      </c>
      <c r="C172" s="87" t="s">
        <v>484</v>
      </c>
      <c r="D172" s="75">
        <v>529.0</v>
      </c>
      <c r="E172" s="75" t="s">
        <v>966</v>
      </c>
      <c r="F172" s="76" t="s">
        <v>967</v>
      </c>
      <c r="G172" s="77" t="s">
        <v>704</v>
      </c>
      <c r="H172" s="77">
        <f>21907*1.5</f>
        <v>32860.5</v>
      </c>
      <c r="I172" s="77">
        <v>26.0</v>
      </c>
      <c r="J172" s="78">
        <f t="shared" si="114"/>
        <v>1.525</v>
      </c>
      <c r="K172" s="79">
        <f t="shared" si="2"/>
        <v>655.1495547</v>
      </c>
      <c r="L172" s="89" t="s">
        <v>303</v>
      </c>
      <c r="M172" s="85" t="s">
        <v>303</v>
      </c>
      <c r="N172" s="85" t="s">
        <v>303</v>
      </c>
      <c r="O172" s="82" t="s">
        <v>303</v>
      </c>
      <c r="P172" s="82" t="s">
        <v>303</v>
      </c>
      <c r="Q172" s="82" t="s">
        <v>303</v>
      </c>
      <c r="R172" s="78" t="s">
        <v>303</v>
      </c>
      <c r="S172" s="79" t="s">
        <v>303</v>
      </c>
      <c r="T172" s="84" t="s">
        <v>705</v>
      </c>
      <c r="U172" s="86">
        <v>1.1</v>
      </c>
      <c r="V172" s="73">
        <v>1.15</v>
      </c>
      <c r="W172" s="83">
        <f t="shared" ref="W172:W173" si="115">529/331</f>
        <v>1.598187311</v>
      </c>
      <c r="X172" s="83">
        <f>255621/260331</f>
        <v>0.9819076483</v>
      </c>
      <c r="Y172" s="83">
        <f>(255621-260331)/(1500000/845)</f>
        <v>-2.6533</v>
      </c>
    </row>
    <row r="173" ht="26.25" customHeight="1">
      <c r="A173" s="72"/>
      <c r="B173" s="73" t="s">
        <v>945</v>
      </c>
      <c r="C173" s="87" t="s">
        <v>484</v>
      </c>
      <c r="D173" s="75">
        <v>529.0</v>
      </c>
      <c r="E173" s="75" t="s">
        <v>966</v>
      </c>
      <c r="F173" s="76" t="s">
        <v>968</v>
      </c>
      <c r="G173" s="77" t="s">
        <v>704</v>
      </c>
      <c r="H173" s="77">
        <f>10220*1.5</f>
        <v>15330</v>
      </c>
      <c r="I173" s="77">
        <v>26.0</v>
      </c>
      <c r="J173" s="78">
        <f t="shared" si="114"/>
        <v>1.525</v>
      </c>
      <c r="K173" s="79">
        <f t="shared" si="2"/>
        <v>305.6387661</v>
      </c>
      <c r="L173" s="80" t="s">
        <v>704</v>
      </c>
      <c r="M173" s="81">
        <v>26.0</v>
      </c>
      <c r="N173" s="79" t="s">
        <v>689</v>
      </c>
      <c r="O173" s="82">
        <v>99.526627</v>
      </c>
      <c r="P173" s="82">
        <v>91.360947</v>
      </c>
      <c r="Q173" s="82">
        <f t="shared" ref="Q173:Q182" si="116">O173-P173</f>
        <v>8.16568</v>
      </c>
      <c r="R173" s="78">
        <f>1.25*1.22</f>
        <v>1.525</v>
      </c>
      <c r="S173" s="83">
        <f>IFS(N173="B",Q173/M173/100*182596/R173/V173/U173
*W173,N173="C",Q173/M173/100*182596/R173/V173/U173
)</f>
        <v>297.2691895</v>
      </c>
      <c r="T173" s="84" t="s">
        <v>705</v>
      </c>
      <c r="U173" s="86">
        <v>1.1</v>
      </c>
      <c r="V173" s="73">
        <v>1.15</v>
      </c>
      <c r="W173" s="83">
        <f t="shared" si="115"/>
        <v>1.598187311</v>
      </c>
      <c r="X173" s="83">
        <f t="shared" ref="X173:X182" si="117">S173/K173</f>
        <v>0.9726161156</v>
      </c>
      <c r="Y173" s="83">
        <f t="shared" ref="Y173:Y182" si="118">(S173-K173)*M173*U173*V173*J173/(249945/845)</f>
        <v>-1.41921915</v>
      </c>
    </row>
    <row r="174" ht="26.25" customHeight="1">
      <c r="A174" s="72"/>
      <c r="B174" s="73" t="s">
        <v>945</v>
      </c>
      <c r="C174" s="87" t="s">
        <v>692</v>
      </c>
      <c r="D174" s="76">
        <v>425.0</v>
      </c>
      <c r="E174" s="75" t="s">
        <v>948</v>
      </c>
      <c r="F174" s="76" t="s">
        <v>852</v>
      </c>
      <c r="G174" s="77" t="s">
        <v>658</v>
      </c>
      <c r="H174" s="77">
        <f>425*3</f>
        <v>1275</v>
      </c>
      <c r="I174" s="77">
        <v>1.0</v>
      </c>
      <c r="J174" s="78">
        <f t="shared" si="114"/>
        <v>13.11889648</v>
      </c>
      <c r="K174" s="79">
        <f t="shared" si="2"/>
        <v>84.51134998</v>
      </c>
      <c r="L174" s="80" t="s">
        <v>658</v>
      </c>
      <c r="M174" s="92">
        <v>15.0</v>
      </c>
      <c r="N174" s="81" t="s">
        <v>659</v>
      </c>
      <c r="O174" s="82">
        <v>90.023753</v>
      </c>
      <c r="P174" s="94">
        <v>85.866983</v>
      </c>
      <c r="Q174" s="82">
        <f t="shared" si="116"/>
        <v>4.15677</v>
      </c>
      <c r="R174" s="78">
        <f t="shared" ref="R174:R182" si="119">IFS(L174="S",21494/2048*1.25)</f>
        <v>13.11889648</v>
      </c>
      <c r="S174" s="83">
        <f t="shared" ref="S174:S182" si="120">IFS(N174="B",Q174/M174/100*249945/R174/V174/U174
*W174,N174="C",Q174/M174/100*249945/R174/V174/U174
)</f>
        <v>84.83501438</v>
      </c>
      <c r="T174" s="84" t="s">
        <v>660</v>
      </c>
      <c r="U174" s="86">
        <v>1.0</v>
      </c>
      <c r="V174" s="73">
        <v>1.15</v>
      </c>
      <c r="W174" s="83">
        <f>425/230</f>
        <v>1.847826087</v>
      </c>
      <c r="X174" s="83">
        <f t="shared" si="117"/>
        <v>1.003829833</v>
      </c>
      <c r="Y174" s="83">
        <f t="shared" si="118"/>
        <v>0.247624488</v>
      </c>
    </row>
    <row r="175" ht="26.25" customHeight="1">
      <c r="A175" s="72"/>
      <c r="B175" s="73" t="s">
        <v>945</v>
      </c>
      <c r="C175" s="87" t="s">
        <v>969</v>
      </c>
      <c r="D175" s="75">
        <v>589.0</v>
      </c>
      <c r="E175" s="75" t="s">
        <v>955</v>
      </c>
      <c r="F175" s="76" t="s">
        <v>970</v>
      </c>
      <c r="G175" s="77" t="s">
        <v>658</v>
      </c>
      <c r="H175" s="77">
        <f>589*3</f>
        <v>1767</v>
      </c>
      <c r="I175" s="77">
        <v>1.0</v>
      </c>
      <c r="J175" s="78">
        <f t="shared" si="114"/>
        <v>13.11889648</v>
      </c>
      <c r="K175" s="79">
        <f t="shared" si="2"/>
        <v>117.1227886</v>
      </c>
      <c r="L175" s="80" t="s">
        <v>658</v>
      </c>
      <c r="M175" s="81">
        <v>10.0</v>
      </c>
      <c r="N175" s="81" t="s">
        <v>659</v>
      </c>
      <c r="O175" s="82">
        <v>90.023753</v>
      </c>
      <c r="P175" s="82">
        <v>86.104513</v>
      </c>
      <c r="Q175" s="82">
        <f t="shared" si="116"/>
        <v>3.91924</v>
      </c>
      <c r="R175" s="78">
        <f t="shared" si="119"/>
        <v>13.11889648</v>
      </c>
      <c r="S175" s="83">
        <f t="shared" si="120"/>
        <v>116.2440047</v>
      </c>
      <c r="T175" s="84" t="s">
        <v>739</v>
      </c>
      <c r="U175" s="86">
        <v>1.0</v>
      </c>
      <c r="V175" s="73">
        <v>1.15</v>
      </c>
      <c r="W175" s="83">
        <f>589/329</f>
        <v>1.790273556</v>
      </c>
      <c r="X175" s="83">
        <f t="shared" si="117"/>
        <v>0.9924969015</v>
      </c>
      <c r="Y175" s="83">
        <f t="shared" si="118"/>
        <v>-0.4482181635</v>
      </c>
    </row>
    <row r="176" ht="26.25" customHeight="1">
      <c r="A176" s="72"/>
      <c r="B176" s="73" t="s">
        <v>945</v>
      </c>
      <c r="C176" s="87" t="s">
        <v>971</v>
      </c>
      <c r="D176" s="75">
        <v>1094.0</v>
      </c>
      <c r="E176" s="75" t="s">
        <v>972</v>
      </c>
      <c r="F176" s="76" t="s">
        <v>973</v>
      </c>
      <c r="G176" s="77" t="s">
        <v>658</v>
      </c>
      <c r="H176" s="77">
        <f>1094*2</f>
        <v>2188</v>
      </c>
      <c r="I176" s="77">
        <v>1.0</v>
      </c>
      <c r="J176" s="78">
        <f t="shared" si="114"/>
        <v>13.11889648</v>
      </c>
      <c r="K176" s="79">
        <f t="shared" si="2"/>
        <v>145.0281049</v>
      </c>
      <c r="L176" s="80" t="s">
        <v>658</v>
      </c>
      <c r="M176" s="81">
        <v>8.0</v>
      </c>
      <c r="N176" s="81" t="s">
        <v>689</v>
      </c>
      <c r="O176" s="82">
        <v>90.023753</v>
      </c>
      <c r="P176" s="82">
        <v>83.016627</v>
      </c>
      <c r="Q176" s="82">
        <f t="shared" si="116"/>
        <v>7.007126</v>
      </c>
      <c r="R176" s="78">
        <f t="shared" si="119"/>
        <v>13.11889648</v>
      </c>
      <c r="S176" s="83">
        <f t="shared" si="120"/>
        <v>145.1106367</v>
      </c>
      <c r="T176" s="84" t="s">
        <v>739</v>
      </c>
      <c r="U176" s="86">
        <v>1.0</v>
      </c>
      <c r="V176" s="73">
        <v>1.15</v>
      </c>
      <c r="W176" s="83">
        <f>1094/590</f>
        <v>1.854237288</v>
      </c>
      <c r="X176" s="83">
        <f t="shared" si="117"/>
        <v>1.000569075</v>
      </c>
      <c r="Y176" s="83">
        <f t="shared" si="118"/>
        <v>0.03367586146</v>
      </c>
    </row>
    <row r="177" ht="26.25" customHeight="1">
      <c r="A177" s="72"/>
      <c r="B177" s="73" t="s">
        <v>945</v>
      </c>
      <c r="C177" s="87" t="s">
        <v>971</v>
      </c>
      <c r="D177" s="75">
        <v>554.0</v>
      </c>
      <c r="E177" s="75" t="s">
        <v>974</v>
      </c>
      <c r="F177" s="76" t="s">
        <v>975</v>
      </c>
      <c r="G177" s="77" t="s">
        <v>658</v>
      </c>
      <c r="H177" s="77">
        <f>554*4</f>
        <v>2216</v>
      </c>
      <c r="I177" s="77">
        <v>1.0</v>
      </c>
      <c r="J177" s="78">
        <f t="shared" si="114"/>
        <v>13.11889648</v>
      </c>
      <c r="K177" s="79">
        <f t="shared" si="2"/>
        <v>146.8840404</v>
      </c>
      <c r="L177" s="80" t="s">
        <v>658</v>
      </c>
      <c r="M177" s="81">
        <v>13.0</v>
      </c>
      <c r="N177" s="81" t="s">
        <v>659</v>
      </c>
      <c r="O177" s="82">
        <v>90.023753</v>
      </c>
      <c r="P177" s="82">
        <v>84.085511</v>
      </c>
      <c r="Q177" s="82">
        <f t="shared" si="116"/>
        <v>5.938242</v>
      </c>
      <c r="R177" s="78">
        <f t="shared" si="119"/>
        <v>13.11889648</v>
      </c>
      <c r="S177" s="83">
        <f t="shared" si="120"/>
        <v>147.6234234</v>
      </c>
      <c r="T177" s="84" t="s">
        <v>739</v>
      </c>
      <c r="U177" s="86">
        <v>1.0</v>
      </c>
      <c r="V177" s="73">
        <v>1.15</v>
      </c>
      <c r="W177" s="83">
        <f>554/284</f>
        <v>1.950704225</v>
      </c>
      <c r="X177" s="83">
        <f t="shared" si="117"/>
        <v>1.005033787</v>
      </c>
      <c r="Y177" s="83">
        <f t="shared" si="118"/>
        <v>0.4902529342</v>
      </c>
    </row>
    <row r="178" ht="26.25" customHeight="1">
      <c r="A178" s="72"/>
      <c r="B178" s="73" t="s">
        <v>945</v>
      </c>
      <c r="C178" s="87" t="s">
        <v>971</v>
      </c>
      <c r="D178" s="75">
        <v>17264.0</v>
      </c>
      <c r="E178" s="75" t="s">
        <v>976</v>
      </c>
      <c r="F178" s="76" t="s">
        <v>977</v>
      </c>
      <c r="G178" s="77" t="s">
        <v>658</v>
      </c>
      <c r="H178" s="77">
        <f>17264+4041</f>
        <v>21305</v>
      </c>
      <c r="I178" s="77">
        <v>1.0</v>
      </c>
      <c r="J178" s="78">
        <f t="shared" si="114"/>
        <v>13.11889648</v>
      </c>
      <c r="K178" s="79">
        <f t="shared" si="2"/>
        <v>1344.921988</v>
      </c>
      <c r="L178" s="80" t="s">
        <v>658</v>
      </c>
      <c r="M178" s="81">
        <v>4.0</v>
      </c>
      <c r="N178" s="81" t="s">
        <v>689</v>
      </c>
      <c r="O178" s="82">
        <v>88.954869</v>
      </c>
      <c r="P178" s="82">
        <v>54.988124</v>
      </c>
      <c r="Q178" s="82">
        <f t="shared" si="116"/>
        <v>33.966745</v>
      </c>
      <c r="R178" s="78">
        <f t="shared" si="119"/>
        <v>13.11889648</v>
      </c>
      <c r="S178" s="83">
        <f t="shared" si="120"/>
        <v>1339.843113</v>
      </c>
      <c r="T178" s="84" t="s">
        <v>757</v>
      </c>
      <c r="U178" s="78">
        <v>1.05</v>
      </c>
      <c r="V178" s="73">
        <v>1.15</v>
      </c>
      <c r="W178" s="83">
        <f>16436/5065</f>
        <v>3.245014808</v>
      </c>
      <c r="X178" s="83">
        <f t="shared" si="117"/>
        <v>0.9962236657</v>
      </c>
      <c r="Y178" s="83">
        <f t="shared" si="118"/>
        <v>-1.087988286</v>
      </c>
    </row>
    <row r="179" ht="26.25" customHeight="1">
      <c r="A179" s="72"/>
      <c r="B179" s="73" t="s">
        <v>945</v>
      </c>
      <c r="C179" s="87" t="s">
        <v>978</v>
      </c>
      <c r="D179" s="75">
        <v>496.0</v>
      </c>
      <c r="E179" s="75" t="s">
        <v>979</v>
      </c>
      <c r="F179" s="76" t="s">
        <v>852</v>
      </c>
      <c r="G179" s="77" t="s">
        <v>658</v>
      </c>
      <c r="H179" s="77">
        <f>496*5</f>
        <v>2480</v>
      </c>
      <c r="I179" s="77">
        <v>1.0</v>
      </c>
      <c r="J179" s="78">
        <f t="shared" si="114"/>
        <v>13.11889648</v>
      </c>
      <c r="K179" s="79">
        <f t="shared" si="2"/>
        <v>164.3828611</v>
      </c>
      <c r="L179" s="80" t="s">
        <v>658</v>
      </c>
      <c r="M179" s="81">
        <v>10.0</v>
      </c>
      <c r="N179" s="81" t="s">
        <v>659</v>
      </c>
      <c r="O179" s="82">
        <v>90.023753</v>
      </c>
      <c r="P179" s="82">
        <v>83.847981</v>
      </c>
      <c r="Q179" s="82">
        <f t="shared" si="116"/>
        <v>6.175772</v>
      </c>
      <c r="R179" s="78">
        <f t="shared" si="119"/>
        <v>13.11889648</v>
      </c>
      <c r="S179" s="83">
        <f t="shared" si="120"/>
        <v>165.3041904</v>
      </c>
      <c r="T179" s="84" t="s">
        <v>739</v>
      </c>
      <c r="U179" s="86">
        <v>1.0</v>
      </c>
      <c r="V179" s="73">
        <v>1.15</v>
      </c>
      <c r="W179" s="83">
        <f>496/307</f>
        <v>1.615635179</v>
      </c>
      <c r="X179" s="83">
        <f t="shared" si="117"/>
        <v>1.005604777</v>
      </c>
      <c r="Y179" s="83">
        <f t="shared" si="118"/>
        <v>0.4699182008</v>
      </c>
    </row>
    <row r="180" ht="26.25" customHeight="1">
      <c r="A180" s="72"/>
      <c r="B180" s="73" t="s">
        <v>980</v>
      </c>
      <c r="C180" s="87" t="s">
        <v>758</v>
      </c>
      <c r="D180" s="76">
        <v>20159.0</v>
      </c>
      <c r="E180" s="76" t="s">
        <v>981</v>
      </c>
      <c r="F180" s="76" t="s">
        <v>982</v>
      </c>
      <c r="G180" s="77" t="s">
        <v>658</v>
      </c>
      <c r="H180" s="91">
        <f>20159+5753</f>
        <v>25912</v>
      </c>
      <c r="I180" s="77">
        <v>1.0</v>
      </c>
      <c r="J180" s="78">
        <f t="shared" si="114"/>
        <v>13.11889648</v>
      </c>
      <c r="K180" s="79">
        <f t="shared" si="2"/>
        <v>1795.605573</v>
      </c>
      <c r="L180" s="80" t="s">
        <v>658</v>
      </c>
      <c r="M180" s="92">
        <v>4.0</v>
      </c>
      <c r="N180" s="81" t="s">
        <v>659</v>
      </c>
      <c r="O180" s="82">
        <v>90.023753</v>
      </c>
      <c r="P180" s="94">
        <v>48.456057</v>
      </c>
      <c r="Q180" s="82">
        <f t="shared" si="116"/>
        <v>41.567696</v>
      </c>
      <c r="R180" s="78">
        <f t="shared" si="119"/>
        <v>13.11889648</v>
      </c>
      <c r="S180" s="83">
        <f t="shared" si="120"/>
        <v>1799.908488</v>
      </c>
      <c r="T180" s="84" t="s">
        <v>660</v>
      </c>
      <c r="U180" s="86">
        <v>1.0</v>
      </c>
      <c r="V180" s="73">
        <v>1.1</v>
      </c>
      <c r="W180" s="83">
        <v>1.0</v>
      </c>
      <c r="X180" s="83">
        <f t="shared" si="117"/>
        <v>1.002396359</v>
      </c>
      <c r="Y180" s="83">
        <f t="shared" si="118"/>
        <v>0.8397015875</v>
      </c>
    </row>
    <row r="181" ht="26.25" customHeight="1">
      <c r="A181" s="72"/>
      <c r="B181" s="73" t="s">
        <v>980</v>
      </c>
      <c r="C181" s="87" t="s">
        <v>758</v>
      </c>
      <c r="D181" s="76">
        <v>20159.0</v>
      </c>
      <c r="E181" s="76" t="s">
        <v>983</v>
      </c>
      <c r="F181" s="76" t="s">
        <v>317</v>
      </c>
      <c r="G181" s="77" t="s">
        <v>658</v>
      </c>
      <c r="H181" s="91">
        <f>20159+6329</f>
        <v>26488</v>
      </c>
      <c r="I181" s="77">
        <v>1.0</v>
      </c>
      <c r="J181" s="78">
        <f t="shared" si="114"/>
        <v>13.11889648</v>
      </c>
      <c r="K181" s="79">
        <f t="shared" si="2"/>
        <v>1835.520238</v>
      </c>
      <c r="L181" s="80" t="s">
        <v>658</v>
      </c>
      <c r="M181" s="92">
        <v>4.0</v>
      </c>
      <c r="N181" s="81" t="s">
        <v>659</v>
      </c>
      <c r="O181" s="82">
        <v>90.023753</v>
      </c>
      <c r="P181" s="94">
        <v>47.505938</v>
      </c>
      <c r="Q181" s="82">
        <f t="shared" si="116"/>
        <v>42.517815</v>
      </c>
      <c r="R181" s="78">
        <f t="shared" si="119"/>
        <v>13.11889648</v>
      </c>
      <c r="S181" s="83">
        <f t="shared" si="120"/>
        <v>1841.049263</v>
      </c>
      <c r="T181" s="84" t="s">
        <v>660</v>
      </c>
      <c r="U181" s="86">
        <v>1.0</v>
      </c>
      <c r="V181" s="73">
        <v>1.1</v>
      </c>
      <c r="W181" s="83">
        <v>1.0</v>
      </c>
      <c r="X181" s="83">
        <f t="shared" si="117"/>
        <v>1.003012239</v>
      </c>
      <c r="Y181" s="83">
        <f t="shared" si="118"/>
        <v>1.078973506</v>
      </c>
    </row>
    <row r="182" ht="26.25" customHeight="1">
      <c r="A182" s="72"/>
      <c r="B182" s="73" t="s">
        <v>980</v>
      </c>
      <c r="C182" s="87" t="s">
        <v>984</v>
      </c>
      <c r="D182" s="75">
        <v>7290.0</v>
      </c>
      <c r="E182" s="76"/>
      <c r="F182" s="76" t="s">
        <v>985</v>
      </c>
      <c r="G182" s="77" t="s">
        <v>658</v>
      </c>
      <c r="H182" s="91">
        <f>6274+7167+7290*5</f>
        <v>49891</v>
      </c>
      <c r="I182" s="77">
        <v>1.0</v>
      </c>
      <c r="J182" s="78">
        <f t="shared" si="114"/>
        <v>13.11889648</v>
      </c>
      <c r="K182" s="79">
        <f t="shared" si="2"/>
        <v>3457.261409</v>
      </c>
      <c r="L182" s="80" t="s">
        <v>658</v>
      </c>
      <c r="M182" s="81">
        <v>1.0</v>
      </c>
      <c r="N182" s="81" t="s">
        <v>659</v>
      </c>
      <c r="O182" s="82">
        <v>90.023753</v>
      </c>
      <c r="P182" s="82">
        <v>69.952494</v>
      </c>
      <c r="Q182" s="82">
        <f t="shared" si="116"/>
        <v>20.071259</v>
      </c>
      <c r="R182" s="78">
        <f t="shared" si="119"/>
        <v>13.11889648</v>
      </c>
      <c r="S182" s="83">
        <f t="shared" si="120"/>
        <v>3476.394692</v>
      </c>
      <c r="T182" s="84" t="s">
        <v>739</v>
      </c>
      <c r="U182" s="86">
        <v>1.0</v>
      </c>
      <c r="V182" s="73">
        <v>1.1</v>
      </c>
      <c r="W182" s="79">
        <v>1.0</v>
      </c>
      <c r="X182" s="83">
        <f t="shared" si="117"/>
        <v>1.005534231</v>
      </c>
      <c r="Y182" s="83">
        <f t="shared" si="118"/>
        <v>0.9334514388</v>
      </c>
    </row>
    <row r="183" ht="26.25" customHeight="1">
      <c r="A183" s="72"/>
      <c r="B183" s="73" t="s">
        <v>980</v>
      </c>
      <c r="C183" s="87" t="s">
        <v>986</v>
      </c>
      <c r="D183" s="75">
        <v>19242.0</v>
      </c>
      <c r="E183" s="75" t="s">
        <v>987</v>
      </c>
      <c r="F183" s="76" t="s">
        <v>988</v>
      </c>
      <c r="G183" s="77" t="s">
        <v>658</v>
      </c>
      <c r="H183" s="91">
        <f>2462+489+116+856+274+489+856+300+856+9748+856+116+489+856+274+489+19242+489+274+274+274+274+489+489+9748</f>
        <v>51079</v>
      </c>
      <c r="I183" s="77">
        <v>1.0</v>
      </c>
      <c r="J183" s="78">
        <f t="shared" si="114"/>
        <v>13.11889648</v>
      </c>
      <c r="K183" s="79">
        <f t="shared" si="2"/>
        <v>3539.585406</v>
      </c>
      <c r="L183" s="89" t="s">
        <v>303</v>
      </c>
      <c r="M183" s="85" t="s">
        <v>303</v>
      </c>
      <c r="N183" s="85" t="s">
        <v>303</v>
      </c>
      <c r="O183" s="82" t="s">
        <v>303</v>
      </c>
      <c r="P183" s="82" t="s">
        <v>303</v>
      </c>
      <c r="Q183" s="82" t="s">
        <v>303</v>
      </c>
      <c r="R183" s="78" t="s">
        <v>303</v>
      </c>
      <c r="S183" s="79" t="s">
        <v>303</v>
      </c>
      <c r="T183" s="84" t="s">
        <v>739</v>
      </c>
      <c r="U183" s="86">
        <v>1.0</v>
      </c>
      <c r="V183" s="73">
        <v>1.1</v>
      </c>
      <c r="W183" s="79">
        <v>1.0</v>
      </c>
      <c r="X183" s="83">
        <f>63905/60710</f>
        <v>1.052627244</v>
      </c>
      <c r="Y183" s="83">
        <f>(63905-60710)/(1500000/845)</f>
        <v>1.79985</v>
      </c>
    </row>
    <row r="184" ht="26.25" customHeight="1">
      <c r="A184" s="72"/>
      <c r="B184" s="73" t="s">
        <v>980</v>
      </c>
      <c r="C184" s="87" t="s">
        <v>986</v>
      </c>
      <c r="D184" s="75">
        <v>19242.0</v>
      </c>
      <c r="E184" s="75" t="s">
        <v>987</v>
      </c>
      <c r="F184" s="76" t="s">
        <v>989</v>
      </c>
      <c r="G184" s="77" t="s">
        <v>658</v>
      </c>
      <c r="H184" s="91">
        <f>2462+141+856*3+300+9748+141+856+489+248+489+9748+19242</f>
        <v>46432</v>
      </c>
      <c r="I184" s="77">
        <v>1.0</v>
      </c>
      <c r="J184" s="78">
        <f t="shared" si="114"/>
        <v>13.11889648</v>
      </c>
      <c r="K184" s="79">
        <f t="shared" si="2"/>
        <v>3217.565528</v>
      </c>
      <c r="L184" s="89" t="s">
        <v>303</v>
      </c>
      <c r="M184" s="85" t="s">
        <v>303</v>
      </c>
      <c r="N184" s="85" t="s">
        <v>303</v>
      </c>
      <c r="O184" s="82" t="s">
        <v>303</v>
      </c>
      <c r="P184" s="82" t="s">
        <v>303</v>
      </c>
      <c r="Q184" s="82" t="s">
        <v>303</v>
      </c>
      <c r="R184" s="78" t="s">
        <v>303</v>
      </c>
      <c r="S184" s="79" t="s">
        <v>303</v>
      </c>
      <c r="T184" s="84" t="s">
        <v>739</v>
      </c>
      <c r="U184" s="86">
        <v>1.0</v>
      </c>
      <c r="V184" s="73">
        <v>1.1</v>
      </c>
      <c r="W184" s="79">
        <v>1.0</v>
      </c>
      <c r="X184" s="83">
        <f>47929/45092</f>
        <v>1.062915817</v>
      </c>
      <c r="Y184" s="83">
        <f>(47929-45092)/(1500000/845)</f>
        <v>1.598176667</v>
      </c>
    </row>
    <row r="185" ht="26.25" customHeight="1">
      <c r="A185" s="72"/>
      <c r="B185" s="73" t="s">
        <v>980</v>
      </c>
      <c r="C185" s="87" t="s">
        <v>990</v>
      </c>
      <c r="D185" s="75">
        <v>5897.0</v>
      </c>
      <c r="E185" s="75" t="s">
        <v>991</v>
      </c>
      <c r="F185" s="75" t="s">
        <v>992</v>
      </c>
      <c r="G185" s="77" t="s">
        <v>658</v>
      </c>
      <c r="H185" s="91">
        <f>6*5897</f>
        <v>35382</v>
      </c>
      <c r="I185" s="77">
        <v>1.0</v>
      </c>
      <c r="J185" s="78">
        <f t="shared" si="114"/>
        <v>13.11889648</v>
      </c>
      <c r="K185" s="79">
        <f t="shared" si="2"/>
        <v>2451.841478</v>
      </c>
      <c r="L185" s="80" t="s">
        <v>658</v>
      </c>
      <c r="M185" s="81">
        <v>2.0</v>
      </c>
      <c r="N185" s="81" t="s">
        <v>659</v>
      </c>
      <c r="O185" s="82">
        <v>90.023753</v>
      </c>
      <c r="P185" s="82">
        <v>61.638955</v>
      </c>
      <c r="Q185" s="82">
        <f t="shared" ref="Q185:Q190" si="121">O185-P185</f>
        <v>28.384798</v>
      </c>
      <c r="R185" s="78">
        <f t="shared" ref="R185:R190" si="122">IFS(L185="S",21494/2048*1.25)</f>
        <v>13.11889648</v>
      </c>
      <c r="S185" s="83">
        <f t="shared" ref="S185:S190" si="123">IFS(N185="B",Q185/M185/100*249945/R185/V185/U185
*W185,N185="C",Q185/M185/100*249945/R185/V185/U185
)</f>
        <v>2458.160723</v>
      </c>
      <c r="T185" s="84" t="s">
        <v>739</v>
      </c>
      <c r="U185" s="86">
        <v>1.0</v>
      </c>
      <c r="V185" s="73">
        <v>1.1</v>
      </c>
      <c r="W185" s="79">
        <v>1.0</v>
      </c>
      <c r="X185" s="83">
        <f t="shared" ref="X185:X190" si="124">S185/K185</f>
        <v>1.002577347</v>
      </c>
      <c r="Y185" s="83">
        <f t="shared" ref="Y185:Y190" si="125">(S185-K185)*M185*U185*V185*J185/(249945/845)</f>
        <v>0.6165914106</v>
      </c>
    </row>
    <row r="186" ht="26.25" customHeight="1">
      <c r="A186" s="72"/>
      <c r="B186" s="73" t="s">
        <v>980</v>
      </c>
      <c r="C186" s="87" t="s">
        <v>312</v>
      </c>
      <c r="D186" s="75">
        <v>16035.0</v>
      </c>
      <c r="E186" s="75" t="s">
        <v>993</v>
      </c>
      <c r="F186" s="88"/>
      <c r="G186" s="77" t="s">
        <v>658</v>
      </c>
      <c r="H186" s="91">
        <f>16035+1846+(586+274)*8</f>
        <v>24761</v>
      </c>
      <c r="I186" s="77">
        <v>1.0</v>
      </c>
      <c r="J186" s="78">
        <f t="shared" si="114"/>
        <v>13.11889648</v>
      </c>
      <c r="K186" s="79">
        <f t="shared" si="2"/>
        <v>1715.845538</v>
      </c>
      <c r="L186" s="80" t="s">
        <v>658</v>
      </c>
      <c r="M186" s="81">
        <v>2.0</v>
      </c>
      <c r="N186" s="81" t="s">
        <v>659</v>
      </c>
      <c r="O186" s="82">
        <v>90.023753</v>
      </c>
      <c r="P186" s="82">
        <v>70.308789</v>
      </c>
      <c r="Q186" s="82">
        <f t="shared" si="121"/>
        <v>19.714964</v>
      </c>
      <c r="R186" s="78">
        <f t="shared" si="122"/>
        <v>13.11889648</v>
      </c>
      <c r="S186" s="83">
        <f t="shared" si="123"/>
        <v>1707.341732</v>
      </c>
      <c r="T186" s="84" t="s">
        <v>739</v>
      </c>
      <c r="U186" s="86">
        <v>1.0</v>
      </c>
      <c r="V186" s="73">
        <v>1.1</v>
      </c>
      <c r="W186" s="79">
        <v>1.0</v>
      </c>
      <c r="X186" s="83">
        <f t="shared" si="124"/>
        <v>0.9950439556</v>
      </c>
      <c r="Y186" s="83">
        <f t="shared" si="125"/>
        <v>-0.8297468624</v>
      </c>
    </row>
    <row r="187" ht="26.25" customHeight="1">
      <c r="A187" s="73"/>
      <c r="B187" s="73" t="s">
        <v>980</v>
      </c>
      <c r="C187" s="87" t="s">
        <v>676</v>
      </c>
      <c r="D187" s="76">
        <v>21380.0</v>
      </c>
      <c r="E187" s="76" t="s">
        <v>994</v>
      </c>
      <c r="F187" s="76" t="s">
        <v>982</v>
      </c>
      <c r="G187" s="77" t="s">
        <v>658</v>
      </c>
      <c r="H187" s="77">
        <f>21380+2462</f>
        <v>23842</v>
      </c>
      <c r="I187" s="77">
        <v>1.0</v>
      </c>
      <c r="J187" s="78">
        <f t="shared" si="114"/>
        <v>13.11889648</v>
      </c>
      <c r="K187" s="79">
        <f t="shared" si="2"/>
        <v>1652.162244</v>
      </c>
      <c r="L187" s="80" t="s">
        <v>658</v>
      </c>
      <c r="M187" s="92">
        <v>4.0</v>
      </c>
      <c r="N187" s="81" t="s">
        <v>659</v>
      </c>
      <c r="O187" s="82">
        <v>90.023753</v>
      </c>
      <c r="P187" s="94">
        <v>51.781473</v>
      </c>
      <c r="Q187" s="82">
        <f t="shared" si="121"/>
        <v>38.24228</v>
      </c>
      <c r="R187" s="78">
        <f t="shared" si="122"/>
        <v>13.11889648</v>
      </c>
      <c r="S187" s="83">
        <f t="shared" si="123"/>
        <v>1655.915795</v>
      </c>
      <c r="T187" s="84" t="s">
        <v>660</v>
      </c>
      <c r="U187" s="86">
        <v>1.0</v>
      </c>
      <c r="V187" s="73">
        <v>1.1</v>
      </c>
      <c r="W187" s="83">
        <v>1.0</v>
      </c>
      <c r="X187" s="83">
        <f t="shared" si="124"/>
        <v>1.002271902</v>
      </c>
      <c r="Y187" s="83">
        <f t="shared" si="125"/>
        <v>0.7324947503</v>
      </c>
    </row>
    <row r="188" ht="26.25" customHeight="1">
      <c r="A188" s="73"/>
      <c r="B188" s="73" t="s">
        <v>980</v>
      </c>
      <c r="C188" s="87" t="s">
        <v>676</v>
      </c>
      <c r="D188" s="76">
        <v>21380.0</v>
      </c>
      <c r="E188" s="76" t="s">
        <v>995</v>
      </c>
      <c r="F188" s="76" t="s">
        <v>317</v>
      </c>
      <c r="G188" s="77" t="s">
        <v>658</v>
      </c>
      <c r="H188" s="77">
        <f>21380+2708</f>
        <v>24088</v>
      </c>
      <c r="I188" s="77">
        <v>1.0</v>
      </c>
      <c r="J188" s="78">
        <f t="shared" si="114"/>
        <v>13.11889648</v>
      </c>
      <c r="K188" s="79">
        <f t="shared" si="2"/>
        <v>1669.209132</v>
      </c>
      <c r="L188" s="80" t="s">
        <v>658</v>
      </c>
      <c r="M188" s="92">
        <v>4.0</v>
      </c>
      <c r="N188" s="81" t="s">
        <v>659</v>
      </c>
      <c r="O188" s="82">
        <v>90.023753</v>
      </c>
      <c r="P188" s="94">
        <v>51.425178</v>
      </c>
      <c r="Q188" s="82">
        <f t="shared" si="121"/>
        <v>38.598575</v>
      </c>
      <c r="R188" s="78">
        <f t="shared" si="122"/>
        <v>13.11889648</v>
      </c>
      <c r="S188" s="83">
        <f t="shared" si="123"/>
        <v>1671.343602</v>
      </c>
      <c r="T188" s="84" t="s">
        <v>660</v>
      </c>
      <c r="U188" s="86">
        <v>1.0</v>
      </c>
      <c r="V188" s="73">
        <v>1.1</v>
      </c>
      <c r="W188" s="83">
        <v>1.0</v>
      </c>
      <c r="X188" s="83">
        <f t="shared" si="124"/>
        <v>1.001278731</v>
      </c>
      <c r="Y188" s="83">
        <f t="shared" si="125"/>
        <v>0.4165356369</v>
      </c>
    </row>
    <row r="189" ht="26.25" customHeight="1">
      <c r="A189" s="72"/>
      <c r="B189" s="73" t="s">
        <v>980</v>
      </c>
      <c r="C189" s="87" t="s">
        <v>684</v>
      </c>
      <c r="D189" s="76">
        <v>17410.0</v>
      </c>
      <c r="E189" s="76" t="s">
        <v>996</v>
      </c>
      <c r="F189" s="76" t="s">
        <v>982</v>
      </c>
      <c r="G189" s="77" t="s">
        <v>658</v>
      </c>
      <c r="H189" s="77">
        <f>17410+4968</f>
        <v>22378</v>
      </c>
      <c r="I189" s="77">
        <v>1.0</v>
      </c>
      <c r="J189" s="78">
        <f t="shared" si="114"/>
        <v>13.11889648</v>
      </c>
      <c r="K189" s="79">
        <f t="shared" si="2"/>
        <v>1550.712469</v>
      </c>
      <c r="L189" s="80" t="s">
        <v>658</v>
      </c>
      <c r="M189" s="92">
        <v>4.0</v>
      </c>
      <c r="N189" s="81" t="s">
        <v>659</v>
      </c>
      <c r="O189" s="82">
        <v>90.023753</v>
      </c>
      <c r="P189" s="94">
        <v>54.15677</v>
      </c>
      <c r="Q189" s="82">
        <f t="shared" si="121"/>
        <v>35.866983</v>
      </c>
      <c r="R189" s="78">
        <f t="shared" si="122"/>
        <v>13.11889648</v>
      </c>
      <c r="S189" s="83">
        <f t="shared" si="123"/>
        <v>1553.063877</v>
      </c>
      <c r="T189" s="84" t="s">
        <v>660</v>
      </c>
      <c r="U189" s="86">
        <v>1.0</v>
      </c>
      <c r="V189" s="73">
        <v>1.1</v>
      </c>
      <c r="W189" s="83">
        <v>1.0</v>
      </c>
      <c r="X189" s="83">
        <f t="shared" si="124"/>
        <v>1.00151634</v>
      </c>
      <c r="Y189" s="83">
        <f t="shared" si="125"/>
        <v>0.4588705801</v>
      </c>
    </row>
    <row r="190" ht="26.25" customHeight="1">
      <c r="A190" s="72"/>
      <c r="B190" s="73" t="s">
        <v>980</v>
      </c>
      <c r="C190" s="87" t="s">
        <v>684</v>
      </c>
      <c r="D190" s="76">
        <v>17410.0</v>
      </c>
      <c r="E190" s="76" t="s">
        <v>997</v>
      </c>
      <c r="F190" s="76" t="s">
        <v>317</v>
      </c>
      <c r="G190" s="77" t="s">
        <v>658</v>
      </c>
      <c r="H190" s="77">
        <f>17410+5466</f>
        <v>22876</v>
      </c>
      <c r="I190" s="77">
        <v>1.0</v>
      </c>
      <c r="J190" s="78">
        <f t="shared" si="114"/>
        <v>13.11889648</v>
      </c>
      <c r="K190" s="79">
        <f t="shared" si="2"/>
        <v>1585.222024</v>
      </c>
      <c r="L190" s="80" t="s">
        <v>658</v>
      </c>
      <c r="M190" s="92">
        <v>3.0</v>
      </c>
      <c r="N190" s="81" t="s">
        <v>659</v>
      </c>
      <c r="O190" s="82">
        <v>90.023753</v>
      </c>
      <c r="P190" s="94">
        <v>62.470309</v>
      </c>
      <c r="Q190" s="82">
        <f t="shared" si="121"/>
        <v>27.553444</v>
      </c>
      <c r="R190" s="78">
        <f t="shared" si="122"/>
        <v>13.11889648</v>
      </c>
      <c r="S190" s="83">
        <f t="shared" si="123"/>
        <v>1590.776251</v>
      </c>
      <c r="T190" s="84" t="s">
        <v>660</v>
      </c>
      <c r="U190" s="86">
        <v>1.0</v>
      </c>
      <c r="V190" s="73">
        <v>1.1</v>
      </c>
      <c r="W190" s="83">
        <v>1.0</v>
      </c>
      <c r="X190" s="83">
        <f t="shared" si="124"/>
        <v>1.003503754</v>
      </c>
      <c r="Y190" s="83">
        <f t="shared" si="125"/>
        <v>0.8129187897</v>
      </c>
    </row>
    <row r="191" ht="26.25" customHeight="1">
      <c r="A191" s="72"/>
      <c r="B191" s="73" t="s">
        <v>980</v>
      </c>
      <c r="C191" s="87" t="s">
        <v>514</v>
      </c>
      <c r="D191" s="75">
        <v>3666.0</v>
      </c>
      <c r="E191" s="75" t="s">
        <v>998</v>
      </c>
      <c r="F191" s="75" t="s">
        <v>999</v>
      </c>
      <c r="G191" s="77" t="s">
        <v>658</v>
      </c>
      <c r="H191" s="91">
        <f>(3666+262)*16+2836</f>
        <v>65684</v>
      </c>
      <c r="I191" s="77">
        <v>2.0</v>
      </c>
      <c r="J191" s="78">
        <f t="shared" si="114"/>
        <v>13.11889648</v>
      </c>
      <c r="K191" s="79">
        <f t="shared" si="2"/>
        <v>2275.828891</v>
      </c>
      <c r="L191" s="89" t="s">
        <v>303</v>
      </c>
      <c r="M191" s="85" t="s">
        <v>303</v>
      </c>
      <c r="N191" s="85" t="s">
        <v>303</v>
      </c>
      <c r="O191" s="82" t="s">
        <v>303</v>
      </c>
      <c r="P191" s="82" t="s">
        <v>303</v>
      </c>
      <c r="Q191" s="82" t="s">
        <v>303</v>
      </c>
      <c r="R191" s="78" t="s">
        <v>303</v>
      </c>
      <c r="S191" s="79" t="s">
        <v>303</v>
      </c>
      <c r="T191" s="84" t="s">
        <v>739</v>
      </c>
      <c r="U191" s="86">
        <v>1.0</v>
      </c>
      <c r="V191" s="73">
        <v>1.1</v>
      </c>
      <c r="W191" s="79">
        <v>1.0</v>
      </c>
      <c r="X191" s="83">
        <f>56805/56448</f>
        <v>1.006324405</v>
      </c>
      <c r="Y191" s="83">
        <f>(56805-56448)/(1500000/845)</f>
        <v>0.20111</v>
      </c>
    </row>
    <row r="192" ht="26.25" customHeight="1">
      <c r="A192" s="72"/>
      <c r="B192" s="73" t="s">
        <v>980</v>
      </c>
      <c r="C192" s="87" t="s">
        <v>1000</v>
      </c>
      <c r="D192" s="75">
        <v>23518.0</v>
      </c>
      <c r="E192" s="76"/>
      <c r="F192" s="76"/>
      <c r="G192" s="77" t="s">
        <v>658</v>
      </c>
      <c r="H192" s="77">
        <v>23518.0</v>
      </c>
      <c r="I192" s="77">
        <v>1.0</v>
      </c>
      <c r="J192" s="78">
        <f t="shared" si="114"/>
        <v>13.11889648</v>
      </c>
      <c r="K192" s="79">
        <f t="shared" si="2"/>
        <v>1629.710245</v>
      </c>
      <c r="L192" s="80" t="s">
        <v>658</v>
      </c>
      <c r="M192" s="81">
        <v>6.0</v>
      </c>
      <c r="N192" s="81" t="s">
        <v>659</v>
      </c>
      <c r="O192" s="82">
        <v>90.023753</v>
      </c>
      <c r="P192" s="82">
        <v>33.491686</v>
      </c>
      <c r="Q192" s="82">
        <f>O192-P192</f>
        <v>56.532067</v>
      </c>
      <c r="R192" s="78">
        <f>IFS(L192="S",21494/2048*1.25)</f>
        <v>13.11889648</v>
      </c>
      <c r="S192" s="83">
        <f>IFS(N192="B",Q192/M192/100*249945/R192/V192/U192
*W192,N192="C",Q192/M192/100*249945/R192/V192/U192
)</f>
        <v>1631.917041</v>
      </c>
      <c r="T192" s="84" t="s">
        <v>739</v>
      </c>
      <c r="U192" s="86">
        <v>1.0</v>
      </c>
      <c r="V192" s="73">
        <v>1.1</v>
      </c>
      <c r="W192" s="79">
        <v>1.0</v>
      </c>
      <c r="X192" s="83">
        <f>S192/K192</f>
        <v>1.001354104</v>
      </c>
      <c r="Y192" s="83">
        <f>(S192-K192)*M192*U192*V192*J192/(249945/845)</f>
        <v>0.645975152</v>
      </c>
    </row>
    <row r="193" ht="26.25" customHeight="1">
      <c r="A193" s="72"/>
      <c r="B193" s="73" t="s">
        <v>980</v>
      </c>
      <c r="C193" s="87" t="s">
        <v>1001</v>
      </c>
      <c r="D193" s="75">
        <v>11912.0</v>
      </c>
      <c r="E193" s="75" t="s">
        <v>1002</v>
      </c>
      <c r="F193" s="76" t="s">
        <v>772</v>
      </c>
      <c r="G193" s="77" t="s">
        <v>689</v>
      </c>
      <c r="H193" s="77">
        <v>16066.0</v>
      </c>
      <c r="I193" s="77">
        <v>2.0</v>
      </c>
      <c r="J193" s="95">
        <f>1.25*2</f>
        <v>2.5</v>
      </c>
      <c r="K193" s="79">
        <f t="shared" si="2"/>
        <v>2921.090909</v>
      </c>
      <c r="L193" s="89" t="s">
        <v>303</v>
      </c>
      <c r="M193" s="85" t="s">
        <v>303</v>
      </c>
      <c r="N193" s="85" t="s">
        <v>303</v>
      </c>
      <c r="O193" s="82" t="s">
        <v>303</v>
      </c>
      <c r="P193" s="82" t="s">
        <v>303</v>
      </c>
      <c r="Q193" s="82" t="s">
        <v>303</v>
      </c>
      <c r="R193" s="78" t="s">
        <v>303</v>
      </c>
      <c r="S193" s="79" t="s">
        <v>303</v>
      </c>
      <c r="T193" s="84" t="s">
        <v>739</v>
      </c>
      <c r="U193" s="86">
        <v>1.0</v>
      </c>
      <c r="V193" s="73">
        <v>1.1</v>
      </c>
      <c r="W193" s="79">
        <v>1.0</v>
      </c>
      <c r="X193" s="83">
        <f>58580/58366</f>
        <v>1.003666518</v>
      </c>
      <c r="Y193" s="83">
        <f>(58580-58366)/(1500000/845)</f>
        <v>0.1205533333</v>
      </c>
    </row>
    <row r="194" ht="26.25" customHeight="1">
      <c r="A194" s="73"/>
      <c r="B194" s="73" t="s">
        <v>980</v>
      </c>
      <c r="C194" s="87" t="s">
        <v>1003</v>
      </c>
      <c r="D194" s="75">
        <v>22573.0</v>
      </c>
      <c r="E194" s="75" t="s">
        <v>1004</v>
      </c>
      <c r="F194" s="75" t="s">
        <v>1005</v>
      </c>
      <c r="G194" s="77" t="s">
        <v>658</v>
      </c>
      <c r="H194" s="91">
        <f>22573+22253</f>
        <v>44826</v>
      </c>
      <c r="I194" s="77">
        <v>1.0</v>
      </c>
      <c r="J194" s="78">
        <f t="shared" ref="J194:J223" si="126">IFS(G194="S",21494/2048*1.25,G194="C",1.25*2*1.22,OR(G194="R",G194="T"),1.25*1.22)</f>
        <v>13.11889648</v>
      </c>
      <c r="K194" s="79">
        <f t="shared" si="2"/>
        <v>2823.886981</v>
      </c>
      <c r="L194" s="80" t="s">
        <v>658</v>
      </c>
      <c r="M194" s="81">
        <v>3.0</v>
      </c>
      <c r="N194" s="81" t="s">
        <v>659</v>
      </c>
      <c r="O194" s="82">
        <v>90.023753</v>
      </c>
      <c r="P194" s="82">
        <v>36.104513</v>
      </c>
      <c r="Q194" s="82">
        <f t="shared" ref="Q194:Q203" si="127">O194-P194</f>
        <v>53.91924</v>
      </c>
      <c r="R194" s="78">
        <f t="shared" ref="R194:R203" si="128">IFS(L194="S",21494/2048*1.25)</f>
        <v>13.11889648</v>
      </c>
      <c r="S194" s="83">
        <f t="shared" ref="S194:S203" si="129">IFS(N194="B",Q194/M194/100*249945/R194/V194/U194
*W194,N194="C",Q194/M194/100*249945/R194/V194/U194
)</f>
        <v>2829.985988</v>
      </c>
      <c r="T194" s="84" t="s">
        <v>739</v>
      </c>
      <c r="U194" s="86">
        <v>1.1</v>
      </c>
      <c r="V194" s="73">
        <v>1.1</v>
      </c>
      <c r="W194" s="79">
        <v>1.0</v>
      </c>
      <c r="X194" s="83">
        <f t="shared" ref="X194:X203" si="130">S194/K194</f>
        <v>1.002159791</v>
      </c>
      <c r="Y194" s="83">
        <f t="shared" ref="Y194:Y203" si="131">(S194-K194)*M194*U194*V194*J194/(249945/845)</f>
        <v>0.9819181548</v>
      </c>
    </row>
    <row r="195" ht="26.25" customHeight="1">
      <c r="A195" s="73"/>
      <c r="B195" s="73" t="s">
        <v>980</v>
      </c>
      <c r="C195" s="87" t="s">
        <v>1003</v>
      </c>
      <c r="D195" s="75">
        <v>30539.0</v>
      </c>
      <c r="E195" s="75" t="s">
        <v>1006</v>
      </c>
      <c r="F195" s="75" t="s">
        <v>1007</v>
      </c>
      <c r="G195" s="77" t="s">
        <v>658</v>
      </c>
      <c r="H195" s="91">
        <f>30539+30067</f>
        <v>60606</v>
      </c>
      <c r="I195" s="77">
        <v>1.0</v>
      </c>
      <c r="J195" s="78">
        <f t="shared" si="126"/>
        <v>13.11889648</v>
      </c>
      <c r="K195" s="79">
        <f t="shared" si="2"/>
        <v>3817.973819</v>
      </c>
      <c r="L195" s="80" t="s">
        <v>658</v>
      </c>
      <c r="M195" s="81">
        <v>2.0</v>
      </c>
      <c r="N195" s="81" t="s">
        <v>659</v>
      </c>
      <c r="O195" s="82">
        <v>90.023753</v>
      </c>
      <c r="P195" s="82">
        <v>41.448931</v>
      </c>
      <c r="Q195" s="82">
        <f t="shared" si="127"/>
        <v>48.574822</v>
      </c>
      <c r="R195" s="78">
        <f t="shared" si="128"/>
        <v>13.11889648</v>
      </c>
      <c r="S195" s="83">
        <f t="shared" si="129"/>
        <v>3824.221158</v>
      </c>
      <c r="T195" s="84" t="s">
        <v>739</v>
      </c>
      <c r="U195" s="86">
        <v>1.1</v>
      </c>
      <c r="V195" s="73">
        <v>1.1</v>
      </c>
      <c r="W195" s="79">
        <v>1.0</v>
      </c>
      <c r="X195" s="83">
        <f t="shared" si="130"/>
        <v>1.001636297</v>
      </c>
      <c r="Y195" s="83">
        <f t="shared" si="131"/>
        <v>0.6705328231</v>
      </c>
    </row>
    <row r="196" ht="26.25" customHeight="1">
      <c r="A196" s="73"/>
      <c r="B196" s="73" t="s">
        <v>980</v>
      </c>
      <c r="C196" s="87" t="s">
        <v>1003</v>
      </c>
      <c r="D196" s="75">
        <v>45588.0</v>
      </c>
      <c r="E196" s="75" t="s">
        <v>1008</v>
      </c>
      <c r="F196" s="75" t="s">
        <v>1009</v>
      </c>
      <c r="G196" s="77" t="s">
        <v>658</v>
      </c>
      <c r="H196" s="77">
        <f>45588+45696</f>
        <v>91284</v>
      </c>
      <c r="I196" s="77">
        <v>1.0</v>
      </c>
      <c r="J196" s="78">
        <f t="shared" si="126"/>
        <v>13.11889648</v>
      </c>
      <c r="K196" s="79">
        <f t="shared" si="2"/>
        <v>5750.584464</v>
      </c>
      <c r="L196" s="80" t="s">
        <v>658</v>
      </c>
      <c r="M196" s="81">
        <v>1.0</v>
      </c>
      <c r="N196" s="81" t="s">
        <v>659</v>
      </c>
      <c r="O196" s="82">
        <v>90.023753</v>
      </c>
      <c r="P196" s="82">
        <v>53.444181</v>
      </c>
      <c r="Q196" s="82">
        <f t="shared" si="127"/>
        <v>36.579572</v>
      </c>
      <c r="R196" s="78">
        <f t="shared" si="128"/>
        <v>13.11889648</v>
      </c>
      <c r="S196" s="83">
        <f t="shared" si="129"/>
        <v>5759.707084</v>
      </c>
      <c r="T196" s="84" t="s">
        <v>739</v>
      </c>
      <c r="U196" s="86">
        <v>1.1</v>
      </c>
      <c r="V196" s="73">
        <v>1.1</v>
      </c>
      <c r="W196" s="79">
        <v>1.0</v>
      </c>
      <c r="X196" s="83">
        <f t="shared" si="130"/>
        <v>1.001586381</v>
      </c>
      <c r="Y196" s="83">
        <f t="shared" si="131"/>
        <v>0.489569681</v>
      </c>
    </row>
    <row r="197" ht="26.25" customHeight="1">
      <c r="A197" s="73"/>
      <c r="B197" s="73" t="s">
        <v>980</v>
      </c>
      <c r="C197" s="87" t="s">
        <v>1003</v>
      </c>
      <c r="D197" s="75">
        <v>14606.0</v>
      </c>
      <c r="E197" s="76"/>
      <c r="F197" s="76" t="s">
        <v>1010</v>
      </c>
      <c r="G197" s="77" t="s">
        <v>658</v>
      </c>
      <c r="H197" s="77">
        <v>14606.0</v>
      </c>
      <c r="I197" s="77">
        <v>1.0</v>
      </c>
      <c r="J197" s="78">
        <f t="shared" si="126"/>
        <v>13.11889648</v>
      </c>
      <c r="K197" s="79">
        <f t="shared" si="2"/>
        <v>920.1287924</v>
      </c>
      <c r="L197" s="80" t="s">
        <v>658</v>
      </c>
      <c r="M197" s="81">
        <v>4.0</v>
      </c>
      <c r="N197" s="81" t="s">
        <v>659</v>
      </c>
      <c r="O197" s="82">
        <v>90.023753</v>
      </c>
      <c r="P197" s="82">
        <v>66.627078</v>
      </c>
      <c r="Q197" s="82">
        <f t="shared" si="127"/>
        <v>23.396675</v>
      </c>
      <c r="R197" s="78">
        <f t="shared" si="128"/>
        <v>13.11889648</v>
      </c>
      <c r="S197" s="83">
        <f t="shared" si="129"/>
        <v>920.9921507</v>
      </c>
      <c r="T197" s="84" t="s">
        <v>739</v>
      </c>
      <c r="U197" s="86">
        <v>1.1</v>
      </c>
      <c r="V197" s="73">
        <v>1.1</v>
      </c>
      <c r="W197" s="79">
        <v>1.0</v>
      </c>
      <c r="X197" s="83">
        <f t="shared" si="130"/>
        <v>1.000938302</v>
      </c>
      <c r="Y197" s="83">
        <f t="shared" si="131"/>
        <v>0.1853301038</v>
      </c>
    </row>
    <row r="198" ht="26.25" customHeight="1">
      <c r="A198" s="72"/>
      <c r="B198" s="73" t="s">
        <v>1011</v>
      </c>
      <c r="C198" s="87" t="s">
        <v>758</v>
      </c>
      <c r="D198" s="76">
        <v>1964.0</v>
      </c>
      <c r="E198" s="76" t="s">
        <v>1012</v>
      </c>
      <c r="F198" s="76"/>
      <c r="G198" s="77" t="s">
        <v>658</v>
      </c>
      <c r="H198" s="77">
        <v>1964.0</v>
      </c>
      <c r="I198" s="77">
        <v>1.0</v>
      </c>
      <c r="J198" s="78">
        <f t="shared" si="126"/>
        <v>13.11889648</v>
      </c>
      <c r="K198" s="79">
        <f t="shared" si="2"/>
        <v>130.1806207</v>
      </c>
      <c r="L198" s="80" t="s">
        <v>658</v>
      </c>
      <c r="M198" s="92">
        <v>14.0</v>
      </c>
      <c r="N198" s="92" t="s">
        <v>659</v>
      </c>
      <c r="O198" s="82">
        <v>90.023753</v>
      </c>
      <c r="P198" s="94">
        <v>83.491686</v>
      </c>
      <c r="Q198" s="82">
        <f t="shared" si="127"/>
        <v>6.532067</v>
      </c>
      <c r="R198" s="78">
        <f t="shared" si="128"/>
        <v>13.11889648</v>
      </c>
      <c r="S198" s="83">
        <f t="shared" si="129"/>
        <v>131.1006445</v>
      </c>
      <c r="T198" s="84" t="s">
        <v>660</v>
      </c>
      <c r="U198" s="86">
        <v>1.0</v>
      </c>
      <c r="V198" s="73">
        <v>1.15</v>
      </c>
      <c r="W198" s="83">
        <f>1964/1158</f>
        <v>1.696027634</v>
      </c>
      <c r="X198" s="83">
        <f t="shared" si="130"/>
        <v>1.007067287</v>
      </c>
      <c r="Y198" s="83">
        <f t="shared" si="131"/>
        <v>0.6569533428</v>
      </c>
    </row>
    <row r="199" ht="26.25" customHeight="1">
      <c r="A199" s="85"/>
      <c r="B199" s="85" t="s">
        <v>1011</v>
      </c>
      <c r="C199" s="74" t="s">
        <v>1013</v>
      </c>
      <c r="D199" s="75">
        <v>1085.0</v>
      </c>
      <c r="E199" s="75" t="s">
        <v>1014</v>
      </c>
      <c r="F199" s="76"/>
      <c r="G199" s="77" t="s">
        <v>658</v>
      </c>
      <c r="H199" s="77">
        <v>1085.0</v>
      </c>
      <c r="I199" s="77">
        <v>1.0</v>
      </c>
      <c r="J199" s="78">
        <f t="shared" si="126"/>
        <v>13.11889648</v>
      </c>
      <c r="K199" s="79">
        <f t="shared" si="2"/>
        <v>68.49285881</v>
      </c>
      <c r="L199" s="80" t="s">
        <v>658</v>
      </c>
      <c r="M199" s="81">
        <v>28.0</v>
      </c>
      <c r="N199" s="81" t="s">
        <v>659</v>
      </c>
      <c r="O199" s="82">
        <v>90.023753</v>
      </c>
      <c r="P199" s="82">
        <v>83.847981</v>
      </c>
      <c r="Q199" s="82">
        <f t="shared" si="127"/>
        <v>6.175772</v>
      </c>
      <c r="R199" s="78">
        <f t="shared" si="128"/>
        <v>13.11889648</v>
      </c>
      <c r="S199" s="83">
        <f t="shared" si="129"/>
        <v>67.91225919</v>
      </c>
      <c r="T199" s="84" t="s">
        <v>663</v>
      </c>
      <c r="U199" s="78">
        <v>1.05</v>
      </c>
      <c r="V199" s="85">
        <v>1.15</v>
      </c>
      <c r="W199" s="83">
        <f>1085/556</f>
        <v>1.951438849</v>
      </c>
      <c r="X199" s="83">
        <f t="shared" si="130"/>
        <v>0.9915232095</v>
      </c>
      <c r="Y199" s="83">
        <f t="shared" si="131"/>
        <v>-0.8706256847</v>
      </c>
    </row>
    <row r="200" ht="26.25" customHeight="1">
      <c r="A200" s="72"/>
      <c r="B200" s="73" t="s">
        <v>1011</v>
      </c>
      <c r="C200" s="87" t="s">
        <v>1015</v>
      </c>
      <c r="D200" s="75">
        <v>2979.0</v>
      </c>
      <c r="E200" s="75" t="s">
        <v>1016</v>
      </c>
      <c r="F200" s="75" t="s">
        <v>577</v>
      </c>
      <c r="G200" s="77" t="s">
        <v>658</v>
      </c>
      <c r="H200" s="77">
        <v>3486.0</v>
      </c>
      <c r="I200" s="77">
        <v>1.0</v>
      </c>
      <c r="J200" s="78">
        <f t="shared" si="126"/>
        <v>13.11889648</v>
      </c>
      <c r="K200" s="79">
        <f t="shared" si="2"/>
        <v>210.0581576</v>
      </c>
      <c r="L200" s="80" t="s">
        <v>658</v>
      </c>
      <c r="M200" s="81">
        <v>8.0</v>
      </c>
      <c r="N200" s="81" t="s">
        <v>689</v>
      </c>
      <c r="O200" s="82">
        <v>83.610451</v>
      </c>
      <c r="P200" s="82">
        <v>72.446556</v>
      </c>
      <c r="Q200" s="82">
        <f t="shared" si="127"/>
        <v>11.163895</v>
      </c>
      <c r="R200" s="78">
        <f t="shared" si="128"/>
        <v>13.11889648</v>
      </c>
      <c r="S200" s="83">
        <f t="shared" si="129"/>
        <v>210.1756401</v>
      </c>
      <c r="T200" s="84" t="s">
        <v>739</v>
      </c>
      <c r="U200" s="86">
        <v>1.1</v>
      </c>
      <c r="V200" s="73">
        <v>1.15</v>
      </c>
      <c r="W200" s="79">
        <f>2979/1464</f>
        <v>2.034836066</v>
      </c>
      <c r="X200" s="83">
        <f t="shared" si="130"/>
        <v>1.000559286</v>
      </c>
      <c r="Y200" s="83">
        <f t="shared" si="131"/>
        <v>0.05273066994</v>
      </c>
    </row>
    <row r="201" ht="26.25" customHeight="1">
      <c r="A201" s="72"/>
      <c r="B201" s="73" t="s">
        <v>1011</v>
      </c>
      <c r="C201" s="87" t="s">
        <v>676</v>
      </c>
      <c r="D201" s="76">
        <v>1388.0</v>
      </c>
      <c r="E201" s="76" t="s">
        <v>1017</v>
      </c>
      <c r="F201" s="76"/>
      <c r="G201" s="77" t="s">
        <v>658</v>
      </c>
      <c r="H201" s="77">
        <v>1388.0</v>
      </c>
      <c r="I201" s="77">
        <v>1.0</v>
      </c>
      <c r="J201" s="78">
        <f t="shared" si="126"/>
        <v>13.11889648</v>
      </c>
      <c r="K201" s="79">
        <f t="shared" si="2"/>
        <v>92.00137551</v>
      </c>
      <c r="L201" s="80" t="s">
        <v>658</v>
      </c>
      <c r="M201" s="92">
        <v>15.0</v>
      </c>
      <c r="N201" s="92" t="s">
        <v>659</v>
      </c>
      <c r="O201" s="82">
        <v>90.023753</v>
      </c>
      <c r="P201" s="94">
        <v>85.866983</v>
      </c>
      <c r="Q201" s="82">
        <f t="shared" si="127"/>
        <v>4.15677</v>
      </c>
      <c r="R201" s="78">
        <f t="shared" si="128"/>
        <v>13.11889648</v>
      </c>
      <c r="S201" s="83">
        <f t="shared" si="129"/>
        <v>92.22007318</v>
      </c>
      <c r="T201" s="84" t="s">
        <v>660</v>
      </c>
      <c r="U201" s="86">
        <v>1.0</v>
      </c>
      <c r="V201" s="73">
        <v>1.15</v>
      </c>
      <c r="W201" s="83">
        <f>1388/691</f>
        <v>2.008683068</v>
      </c>
      <c r="X201" s="83">
        <f t="shared" si="130"/>
        <v>1.002377113</v>
      </c>
      <c r="Y201" s="83">
        <f t="shared" si="131"/>
        <v>0.1673180569</v>
      </c>
    </row>
    <row r="202" ht="26.25" customHeight="1">
      <c r="A202" s="72"/>
      <c r="B202" s="73" t="s">
        <v>1011</v>
      </c>
      <c r="C202" s="87" t="s">
        <v>740</v>
      </c>
      <c r="D202" s="76">
        <v>1060.0</v>
      </c>
      <c r="E202" s="76" t="s">
        <v>1018</v>
      </c>
      <c r="F202" s="76"/>
      <c r="G202" s="77" t="s">
        <v>658</v>
      </c>
      <c r="H202" s="77">
        <v>1060.0</v>
      </c>
      <c r="I202" s="77">
        <v>1.0</v>
      </c>
      <c r="J202" s="78">
        <f t="shared" si="126"/>
        <v>13.11889648</v>
      </c>
      <c r="K202" s="79">
        <f t="shared" si="2"/>
        <v>70.26041646</v>
      </c>
      <c r="L202" s="80" t="s">
        <v>658</v>
      </c>
      <c r="M202" s="92">
        <v>15.0</v>
      </c>
      <c r="N202" s="92" t="s">
        <v>659</v>
      </c>
      <c r="O202" s="82">
        <v>90.023753</v>
      </c>
      <c r="P202" s="94">
        <v>86.223278</v>
      </c>
      <c r="Q202" s="82">
        <f t="shared" si="127"/>
        <v>3.800475</v>
      </c>
      <c r="R202" s="78">
        <f t="shared" si="128"/>
        <v>13.11889648</v>
      </c>
      <c r="S202" s="83">
        <f t="shared" si="129"/>
        <v>71.19045631</v>
      </c>
      <c r="T202" s="84" t="s">
        <v>660</v>
      </c>
      <c r="U202" s="86">
        <v>1.0</v>
      </c>
      <c r="V202" s="73">
        <v>1.15</v>
      </c>
      <c r="W202" s="83">
        <f>1060/625</f>
        <v>1.696</v>
      </c>
      <c r="X202" s="83">
        <f t="shared" si="130"/>
        <v>1.013237039</v>
      </c>
      <c r="Y202" s="83">
        <f t="shared" si="131"/>
        <v>0.7115414783</v>
      </c>
    </row>
    <row r="203" ht="26.25" customHeight="1">
      <c r="A203" s="72"/>
      <c r="B203" s="73" t="s">
        <v>1011</v>
      </c>
      <c r="C203" s="87" t="s">
        <v>1019</v>
      </c>
      <c r="D203" s="76">
        <v>1165.0</v>
      </c>
      <c r="E203" s="76" t="s">
        <v>1020</v>
      </c>
      <c r="F203" s="76"/>
      <c r="G203" s="77" t="s">
        <v>658</v>
      </c>
      <c r="H203" s="77">
        <v>1165.0</v>
      </c>
      <c r="I203" s="91">
        <v>1.0</v>
      </c>
      <c r="J203" s="78">
        <f t="shared" si="126"/>
        <v>13.11889648</v>
      </c>
      <c r="K203" s="79">
        <f t="shared" si="2"/>
        <v>70.20015881</v>
      </c>
      <c r="L203" s="80" t="s">
        <v>658</v>
      </c>
      <c r="M203" s="92">
        <v>12.0</v>
      </c>
      <c r="N203" s="92" t="s">
        <v>689</v>
      </c>
      <c r="O203" s="82">
        <v>90.023753</v>
      </c>
      <c r="P203" s="94">
        <v>84.441805</v>
      </c>
      <c r="Q203" s="82">
        <f t="shared" si="127"/>
        <v>5.581948</v>
      </c>
      <c r="R203" s="78">
        <f t="shared" si="128"/>
        <v>13.11889648</v>
      </c>
      <c r="S203" s="83">
        <f t="shared" si="129"/>
        <v>70.05855298</v>
      </c>
      <c r="T203" s="84" t="s">
        <v>896</v>
      </c>
      <c r="U203" s="78">
        <v>1.1</v>
      </c>
      <c r="V203" s="73">
        <v>1.15</v>
      </c>
      <c r="W203" s="83">
        <f>1165/687</f>
        <v>1.695778748</v>
      </c>
      <c r="X203" s="83">
        <f t="shared" si="130"/>
        <v>0.9979828275</v>
      </c>
      <c r="Y203" s="83">
        <f t="shared" si="131"/>
        <v>-0.09533721552</v>
      </c>
    </row>
    <row r="204" ht="26.25" customHeight="1">
      <c r="A204" s="72"/>
      <c r="B204" s="73" t="s">
        <v>1011</v>
      </c>
      <c r="C204" s="87" t="s">
        <v>1021</v>
      </c>
      <c r="D204" s="75">
        <v>1526.0</v>
      </c>
      <c r="E204" s="75" t="s">
        <v>1022</v>
      </c>
      <c r="F204" s="76" t="s">
        <v>708</v>
      </c>
      <c r="G204" s="77" t="s">
        <v>689</v>
      </c>
      <c r="H204" s="77">
        <v>9423.0</v>
      </c>
      <c r="I204" s="77">
        <v>15.0</v>
      </c>
      <c r="J204" s="78">
        <f t="shared" si="126"/>
        <v>3.05</v>
      </c>
      <c r="K204" s="79">
        <f t="shared" si="2"/>
        <v>162.8199313</v>
      </c>
      <c r="L204" s="89" t="s">
        <v>303</v>
      </c>
      <c r="M204" s="85" t="s">
        <v>303</v>
      </c>
      <c r="N204" s="85" t="s">
        <v>303</v>
      </c>
      <c r="O204" s="82" t="s">
        <v>303</v>
      </c>
      <c r="P204" s="82" t="s">
        <v>303</v>
      </c>
      <c r="Q204" s="82" t="s">
        <v>303</v>
      </c>
      <c r="R204" s="78" t="s">
        <v>303</v>
      </c>
      <c r="S204" s="79" t="s">
        <v>303</v>
      </c>
      <c r="T204" s="84" t="s">
        <v>705</v>
      </c>
      <c r="U204" s="86">
        <v>1.1</v>
      </c>
      <c r="V204" s="73">
        <v>1.15</v>
      </c>
      <c r="W204" s="79">
        <f t="shared" ref="W204:W205" si="132">1526/760</f>
        <v>2.007894737</v>
      </c>
      <c r="X204" s="83">
        <f>56805/55145</f>
        <v>1.030102457</v>
      </c>
      <c r="Y204" s="83">
        <f>(56805-55145)/(1500000/845)</f>
        <v>0.9351333333</v>
      </c>
    </row>
    <row r="205" ht="26.25" customHeight="1">
      <c r="A205" s="72"/>
      <c r="B205" s="73" t="s">
        <v>1011</v>
      </c>
      <c r="C205" s="87" t="s">
        <v>1021</v>
      </c>
      <c r="D205" s="75">
        <v>1526.0</v>
      </c>
      <c r="E205" s="75" t="s">
        <v>1022</v>
      </c>
      <c r="F205" s="76" t="s">
        <v>1023</v>
      </c>
      <c r="G205" s="77" t="s">
        <v>689</v>
      </c>
      <c r="H205" s="77">
        <v>7053.0</v>
      </c>
      <c r="I205" s="77">
        <v>10.0</v>
      </c>
      <c r="J205" s="78">
        <f t="shared" si="126"/>
        <v>3.05</v>
      </c>
      <c r="K205" s="79">
        <f t="shared" si="2"/>
        <v>182.8030843</v>
      </c>
      <c r="L205" s="80" t="s">
        <v>658</v>
      </c>
      <c r="M205" s="81">
        <v>10.0</v>
      </c>
      <c r="N205" s="79" t="s">
        <v>689</v>
      </c>
      <c r="O205" s="82">
        <v>90.023753</v>
      </c>
      <c r="P205" s="82">
        <v>77.672209</v>
      </c>
      <c r="Q205" s="82">
        <f t="shared" ref="Q205:Q208" si="133">O205-P205</f>
        <v>12.351544</v>
      </c>
      <c r="R205" s="78">
        <f t="shared" ref="R205:R208" si="134">IFS(L205="S",21494/2048*1.25)</f>
        <v>13.11889648</v>
      </c>
      <c r="S205" s="83">
        <f t="shared" ref="S205:S208" si="135">IFS(N205="B",Q205/M205/100*249945/R205/V205/U205
*W205,N205="C",Q205/M205/100*249945/R205/V205/U205
)</f>
        <v>186.0278096</v>
      </c>
      <c r="T205" s="84" t="s">
        <v>705</v>
      </c>
      <c r="U205" s="86">
        <v>1.1</v>
      </c>
      <c r="V205" s="73">
        <v>1.15</v>
      </c>
      <c r="W205" s="79">
        <f t="shared" si="132"/>
        <v>2.007894737</v>
      </c>
      <c r="X205" s="83">
        <f t="shared" ref="X205:X208" si="136">S205/K205</f>
        <v>1.017640431</v>
      </c>
      <c r="Y205" s="83">
        <f t="shared" ref="Y205:Y208" si="137">(S205-K205)*M205*U205*V205*J205/(249945/845)</f>
        <v>0.4206252533</v>
      </c>
    </row>
    <row r="206" ht="26.25" customHeight="1">
      <c r="A206" s="72"/>
      <c r="B206" s="73" t="s">
        <v>1011</v>
      </c>
      <c r="C206" s="87" t="s">
        <v>684</v>
      </c>
      <c r="D206" s="76">
        <v>1136.0</v>
      </c>
      <c r="E206" s="76" t="s">
        <v>930</v>
      </c>
      <c r="F206" s="76"/>
      <c r="G206" s="77" t="s">
        <v>658</v>
      </c>
      <c r="H206" s="77">
        <v>1136.0</v>
      </c>
      <c r="I206" s="77">
        <v>1.0</v>
      </c>
      <c r="J206" s="78">
        <f t="shared" si="126"/>
        <v>13.11889648</v>
      </c>
      <c r="K206" s="79">
        <f t="shared" si="2"/>
        <v>75.29795575</v>
      </c>
      <c r="L206" s="80" t="s">
        <v>658</v>
      </c>
      <c r="M206" s="92">
        <v>19.0</v>
      </c>
      <c r="N206" s="92" t="s">
        <v>659</v>
      </c>
      <c r="O206" s="82">
        <v>90.023753</v>
      </c>
      <c r="P206" s="94">
        <v>85.154394</v>
      </c>
      <c r="Q206" s="82">
        <f t="shared" si="133"/>
        <v>4.869359</v>
      </c>
      <c r="R206" s="78">
        <f t="shared" si="134"/>
        <v>13.11889648</v>
      </c>
      <c r="S206" s="83">
        <f t="shared" si="135"/>
        <v>76.07755996</v>
      </c>
      <c r="T206" s="84" t="s">
        <v>660</v>
      </c>
      <c r="U206" s="86">
        <v>1.0</v>
      </c>
      <c r="V206" s="73">
        <v>1.15</v>
      </c>
      <c r="W206" s="83">
        <f>1136/634</f>
        <v>1.791798107</v>
      </c>
      <c r="X206" s="83">
        <f t="shared" si="136"/>
        <v>1.010353591</v>
      </c>
      <c r="Y206" s="83">
        <f t="shared" si="137"/>
        <v>0.7555012317</v>
      </c>
    </row>
    <row r="207" ht="26.25" customHeight="1">
      <c r="A207" s="72"/>
      <c r="B207" s="73" t="s">
        <v>1011</v>
      </c>
      <c r="C207" s="87" t="s">
        <v>692</v>
      </c>
      <c r="D207" s="76">
        <v>898.0</v>
      </c>
      <c r="E207" s="76" t="s">
        <v>1024</v>
      </c>
      <c r="F207" s="76"/>
      <c r="G207" s="77" t="s">
        <v>658</v>
      </c>
      <c r="H207" s="77">
        <v>898.0</v>
      </c>
      <c r="I207" s="77">
        <v>1.0</v>
      </c>
      <c r="J207" s="78">
        <f t="shared" si="126"/>
        <v>13.11889648</v>
      </c>
      <c r="K207" s="79">
        <f t="shared" si="2"/>
        <v>59.52250375</v>
      </c>
      <c r="L207" s="80" t="s">
        <v>658</v>
      </c>
      <c r="M207" s="92">
        <v>31.0</v>
      </c>
      <c r="N207" s="92" t="s">
        <v>659</v>
      </c>
      <c r="O207" s="82">
        <v>90.023753</v>
      </c>
      <c r="P207" s="94">
        <v>84.32304</v>
      </c>
      <c r="Q207" s="82">
        <f t="shared" si="133"/>
        <v>5.700713</v>
      </c>
      <c r="R207" s="78">
        <f t="shared" si="134"/>
        <v>13.11889648</v>
      </c>
      <c r="S207" s="83">
        <f t="shared" si="135"/>
        <v>59.34610251</v>
      </c>
      <c r="T207" s="84" t="s">
        <v>660</v>
      </c>
      <c r="U207" s="86">
        <v>1.0</v>
      </c>
      <c r="V207" s="73">
        <v>1.15</v>
      </c>
      <c r="W207" s="83">
        <f>898/461</f>
        <v>1.947939262</v>
      </c>
      <c r="X207" s="83">
        <f t="shared" si="136"/>
        <v>0.9970363941</v>
      </c>
      <c r="Y207" s="83">
        <f t="shared" si="137"/>
        <v>-0.278914273</v>
      </c>
    </row>
    <row r="208" ht="26.25" customHeight="1">
      <c r="A208" s="72"/>
      <c r="B208" s="73" t="s">
        <v>1011</v>
      </c>
      <c r="C208" s="87" t="s">
        <v>1025</v>
      </c>
      <c r="D208" s="75">
        <v>1388.0</v>
      </c>
      <c r="E208" s="75" t="s">
        <v>1026</v>
      </c>
      <c r="F208" s="76" t="s">
        <v>761</v>
      </c>
      <c r="G208" s="77" t="s">
        <v>658</v>
      </c>
      <c r="H208" s="77">
        <f>1388+449</f>
        <v>1837</v>
      </c>
      <c r="I208" s="77">
        <v>1.0</v>
      </c>
      <c r="J208" s="78">
        <f t="shared" si="126"/>
        <v>13.11889648</v>
      </c>
      <c r="K208" s="79">
        <f t="shared" si="2"/>
        <v>121.7626274</v>
      </c>
      <c r="L208" s="80" t="s">
        <v>658</v>
      </c>
      <c r="M208" s="81">
        <v>10.0</v>
      </c>
      <c r="N208" s="92" t="s">
        <v>689</v>
      </c>
      <c r="O208" s="82">
        <v>90.023753</v>
      </c>
      <c r="P208" s="82">
        <v>82.541568</v>
      </c>
      <c r="Q208" s="82">
        <f t="shared" si="133"/>
        <v>7.482185</v>
      </c>
      <c r="R208" s="78">
        <f t="shared" si="134"/>
        <v>13.11889648</v>
      </c>
      <c r="S208" s="83">
        <f t="shared" si="135"/>
        <v>123.9589103</v>
      </c>
      <c r="T208" s="84" t="s">
        <v>739</v>
      </c>
      <c r="U208" s="86">
        <v>1.0</v>
      </c>
      <c r="V208" s="73">
        <v>1.15</v>
      </c>
      <c r="W208" s="83">
        <f>(1388+449)/(691+449)</f>
        <v>1.611403509</v>
      </c>
      <c r="X208" s="83">
        <f t="shared" si="136"/>
        <v>1.018037414</v>
      </c>
      <c r="Y208" s="83">
        <f t="shared" si="137"/>
        <v>1.120200312</v>
      </c>
    </row>
    <row r="209" ht="26.25" customHeight="1">
      <c r="A209" s="72"/>
      <c r="B209" s="73" t="s">
        <v>1011</v>
      </c>
      <c r="C209" s="87" t="s">
        <v>1025</v>
      </c>
      <c r="D209" s="75">
        <v>696.0</v>
      </c>
      <c r="E209" s="75" t="s">
        <v>1027</v>
      </c>
      <c r="F209" s="76" t="s">
        <v>1028</v>
      </c>
      <c r="G209" s="77" t="s">
        <v>689</v>
      </c>
      <c r="H209" s="77">
        <v>11482.0</v>
      </c>
      <c r="I209" s="77">
        <v>20.0</v>
      </c>
      <c r="J209" s="78">
        <f t="shared" si="126"/>
        <v>3.05</v>
      </c>
      <c r="K209" s="79">
        <f t="shared" si="2"/>
        <v>163.6778332</v>
      </c>
      <c r="L209" s="89" t="s">
        <v>303</v>
      </c>
      <c r="M209" s="85" t="s">
        <v>303</v>
      </c>
      <c r="N209" s="85" t="s">
        <v>303</v>
      </c>
      <c r="O209" s="82" t="s">
        <v>303</v>
      </c>
      <c r="P209" s="82" t="s">
        <v>303</v>
      </c>
      <c r="Q209" s="82" t="s">
        <v>303</v>
      </c>
      <c r="R209" s="78" t="s">
        <v>303</v>
      </c>
      <c r="S209" s="79" t="s">
        <v>303</v>
      </c>
      <c r="T209" s="84" t="s">
        <v>739</v>
      </c>
      <c r="U209" s="86">
        <v>1.0</v>
      </c>
      <c r="V209" s="73">
        <v>1.15</v>
      </c>
      <c r="W209" s="79">
        <f>11482/7398</f>
        <v>1.552041092</v>
      </c>
      <c r="X209" s="83">
        <f>47929/46508</f>
        <v>1.030553883</v>
      </c>
      <c r="Y209" s="83">
        <f>(47929-46508)/(1500000/845)</f>
        <v>0.8004966667</v>
      </c>
    </row>
    <row r="210" ht="26.25" customHeight="1">
      <c r="A210" s="72"/>
      <c r="B210" s="73" t="s">
        <v>1011</v>
      </c>
      <c r="C210" s="87" t="s">
        <v>1025</v>
      </c>
      <c r="D210" s="75">
        <v>696.0</v>
      </c>
      <c r="E210" s="75" t="s">
        <v>1027</v>
      </c>
      <c r="F210" s="76" t="s">
        <v>1029</v>
      </c>
      <c r="G210" s="77" t="s">
        <v>689</v>
      </c>
      <c r="H210" s="77">
        <v>7079.0</v>
      </c>
      <c r="I210" s="77">
        <v>10.0</v>
      </c>
      <c r="J210" s="78">
        <f t="shared" si="126"/>
        <v>3.05</v>
      </c>
      <c r="K210" s="79">
        <f t="shared" si="2"/>
        <v>201.8246614</v>
      </c>
      <c r="L210" s="89" t="s">
        <v>303</v>
      </c>
      <c r="M210" s="85" t="s">
        <v>303</v>
      </c>
      <c r="N210" s="85" t="s">
        <v>303</v>
      </c>
      <c r="O210" s="82" t="s">
        <v>303</v>
      </c>
      <c r="P210" s="82" t="s">
        <v>303</v>
      </c>
      <c r="Q210" s="82" t="s">
        <v>303</v>
      </c>
      <c r="R210" s="78" t="s">
        <v>303</v>
      </c>
      <c r="S210" s="79" t="s">
        <v>303</v>
      </c>
      <c r="T210" s="84" t="s">
        <v>739</v>
      </c>
      <c r="U210" s="86">
        <v>1.0</v>
      </c>
      <c r="V210" s="73">
        <v>1.15</v>
      </c>
      <c r="W210" s="79">
        <f>7079/4986</f>
        <v>1.419775371</v>
      </c>
      <c r="X210" s="83">
        <f>62130/60287</f>
        <v>1.030570438</v>
      </c>
      <c r="Y210" s="83">
        <f>(62130-60287)/(1500000/845)</f>
        <v>1.038223333</v>
      </c>
    </row>
    <row r="211" ht="26.25" customHeight="1">
      <c r="A211" s="72"/>
      <c r="B211" s="73" t="s">
        <v>1011</v>
      </c>
      <c r="C211" s="87" t="s">
        <v>1030</v>
      </c>
      <c r="D211" s="75">
        <v>4339.0</v>
      </c>
      <c r="E211" s="76"/>
      <c r="F211" s="76" t="s">
        <v>1031</v>
      </c>
      <c r="G211" s="77" t="s">
        <v>658</v>
      </c>
      <c r="H211" s="77">
        <v>4339.0</v>
      </c>
      <c r="I211" s="77">
        <v>1.0</v>
      </c>
      <c r="J211" s="78">
        <f t="shared" si="126"/>
        <v>13.11889648</v>
      </c>
      <c r="K211" s="79">
        <f t="shared" si="2"/>
        <v>287.6037236</v>
      </c>
      <c r="L211" s="80" t="s">
        <v>658</v>
      </c>
      <c r="M211" s="81">
        <v>11.0</v>
      </c>
      <c r="N211" s="81" t="s">
        <v>659</v>
      </c>
      <c r="O211" s="82">
        <v>81.710214</v>
      </c>
      <c r="P211" s="82">
        <v>62.589074</v>
      </c>
      <c r="Q211" s="82">
        <f t="shared" ref="Q211:Q213" si="138">O211-P211</f>
        <v>19.12114</v>
      </c>
      <c r="R211" s="78">
        <f t="shared" ref="R211:R213" si="139">IFS(L211="S",21494/2048*1.25)</f>
        <v>13.11889648</v>
      </c>
      <c r="S211" s="83">
        <f t="shared" ref="S211:S213" si="140">IFS(N211="B",Q211/M211/100*249945/R211/V211/U211
*W211,N211="C",Q211/M211/100*249945/R211/V211/U211
)</f>
        <v>287.9853556</v>
      </c>
      <c r="T211" s="84" t="s">
        <v>739</v>
      </c>
      <c r="U211" s="86">
        <v>1.0</v>
      </c>
      <c r="V211" s="73">
        <v>1.15</v>
      </c>
      <c r="W211" s="79">
        <v>1.0</v>
      </c>
      <c r="X211" s="83">
        <f t="shared" ref="X211:X213" si="141">S211/K211</f>
        <v>1.001326937</v>
      </c>
      <c r="Y211" s="83">
        <f t="shared" ref="Y211:Y213" si="142">(S211-K211)*M211*U211*V211*J211/(249945/845)</f>
        <v>0.2141139058</v>
      </c>
    </row>
    <row r="212" ht="26.25" customHeight="1">
      <c r="A212" s="72"/>
      <c r="B212" s="73" t="s">
        <v>1011</v>
      </c>
      <c r="C212" s="87" t="s">
        <v>1030</v>
      </c>
      <c r="D212" s="75">
        <v>898.0</v>
      </c>
      <c r="E212" s="75" t="s">
        <v>1024</v>
      </c>
      <c r="F212" s="76"/>
      <c r="G212" s="77" t="s">
        <v>658</v>
      </c>
      <c r="H212" s="77">
        <v>898.0</v>
      </c>
      <c r="I212" s="77">
        <v>1.0</v>
      </c>
      <c r="J212" s="78">
        <f t="shared" si="126"/>
        <v>13.11889648</v>
      </c>
      <c r="K212" s="79">
        <f t="shared" si="2"/>
        <v>59.52250375</v>
      </c>
      <c r="L212" s="80" t="s">
        <v>658</v>
      </c>
      <c r="M212" s="81">
        <v>12.0</v>
      </c>
      <c r="N212" s="79" t="s">
        <v>689</v>
      </c>
      <c r="O212" s="82">
        <v>90.023753</v>
      </c>
      <c r="P212" s="82">
        <v>85.629454</v>
      </c>
      <c r="Q212" s="82">
        <f t="shared" si="138"/>
        <v>4.394299</v>
      </c>
      <c r="R212" s="78">
        <f t="shared" si="139"/>
        <v>13.11889648</v>
      </c>
      <c r="S212" s="83">
        <f t="shared" si="140"/>
        <v>60.66771891</v>
      </c>
      <c r="T212" s="84" t="s">
        <v>739</v>
      </c>
      <c r="U212" s="86">
        <v>1.0</v>
      </c>
      <c r="V212" s="73">
        <v>1.15</v>
      </c>
      <c r="W212" s="83">
        <f>898/461</f>
        <v>1.947939262</v>
      </c>
      <c r="X212" s="83">
        <f t="shared" si="141"/>
        <v>1.019240037</v>
      </c>
      <c r="Y212" s="83">
        <f t="shared" si="142"/>
        <v>0.7009317531</v>
      </c>
    </row>
    <row r="213" ht="26.25" customHeight="1">
      <c r="A213" s="72"/>
      <c r="B213" s="73" t="s">
        <v>1011</v>
      </c>
      <c r="C213" s="87" t="s">
        <v>1032</v>
      </c>
      <c r="D213" s="75">
        <v>1388.0</v>
      </c>
      <c r="E213" s="75" t="s">
        <v>1033</v>
      </c>
      <c r="F213" s="76"/>
      <c r="G213" s="77" t="s">
        <v>658</v>
      </c>
      <c r="H213" s="77">
        <v>1388.0</v>
      </c>
      <c r="I213" s="77">
        <v>1.0</v>
      </c>
      <c r="J213" s="78">
        <f t="shared" si="126"/>
        <v>13.11889648</v>
      </c>
      <c r="K213" s="79">
        <f t="shared" si="2"/>
        <v>92.00137551</v>
      </c>
      <c r="L213" s="80" t="s">
        <v>658</v>
      </c>
      <c r="M213" s="81">
        <v>10.0</v>
      </c>
      <c r="N213" s="81" t="s">
        <v>689</v>
      </c>
      <c r="O213" s="82">
        <v>90.023753</v>
      </c>
      <c r="P213" s="82">
        <v>84.441805</v>
      </c>
      <c r="Q213" s="82">
        <f t="shared" si="138"/>
        <v>5.581948</v>
      </c>
      <c r="R213" s="78">
        <f t="shared" si="139"/>
        <v>13.11889648</v>
      </c>
      <c r="S213" s="83">
        <f t="shared" si="140"/>
        <v>92.47728993</v>
      </c>
      <c r="T213" s="84" t="s">
        <v>739</v>
      </c>
      <c r="U213" s="86">
        <v>1.0</v>
      </c>
      <c r="V213" s="73">
        <v>1.15</v>
      </c>
      <c r="W213" s="83">
        <f>1388/691</f>
        <v>2.008683068</v>
      </c>
      <c r="X213" s="83">
        <f t="shared" si="141"/>
        <v>1.005172906</v>
      </c>
      <c r="Y213" s="83">
        <f t="shared" si="142"/>
        <v>0.2427371608</v>
      </c>
    </row>
    <row r="214" ht="26.25" customHeight="1">
      <c r="A214" s="72"/>
      <c r="B214" s="73" t="s">
        <v>1011</v>
      </c>
      <c r="C214" s="87" t="s">
        <v>1034</v>
      </c>
      <c r="D214" s="75">
        <v>6933.0</v>
      </c>
      <c r="E214" s="75" t="s">
        <v>1035</v>
      </c>
      <c r="F214" s="76" t="s">
        <v>1036</v>
      </c>
      <c r="G214" s="77" t="s">
        <v>658</v>
      </c>
      <c r="H214" s="77">
        <v>6933.0</v>
      </c>
      <c r="I214" s="77">
        <v>1.0</v>
      </c>
      <c r="J214" s="78">
        <f t="shared" si="126"/>
        <v>13.11889648</v>
      </c>
      <c r="K214" s="79">
        <f t="shared" si="2"/>
        <v>417.766267</v>
      </c>
      <c r="L214" s="89" t="s">
        <v>303</v>
      </c>
      <c r="M214" s="85" t="s">
        <v>303</v>
      </c>
      <c r="N214" s="85" t="s">
        <v>303</v>
      </c>
      <c r="O214" s="82" t="s">
        <v>303</v>
      </c>
      <c r="P214" s="82" t="s">
        <v>303</v>
      </c>
      <c r="Q214" s="82" t="s">
        <v>303</v>
      </c>
      <c r="R214" s="78" t="s">
        <v>303</v>
      </c>
      <c r="S214" s="79" t="s">
        <v>303</v>
      </c>
      <c r="T214" s="84" t="s">
        <v>739</v>
      </c>
      <c r="U214" s="86">
        <v>1.1</v>
      </c>
      <c r="V214" s="73">
        <v>1.15</v>
      </c>
      <c r="W214" s="79">
        <f>6933/4088</f>
        <v>1.695939335</v>
      </c>
      <c r="X214" s="83">
        <f>63905/62284</f>
        <v>1.026025946</v>
      </c>
      <c r="Y214" s="83">
        <f>(63905-62284)/(1500000/845)</f>
        <v>0.9131633333</v>
      </c>
    </row>
    <row r="215" ht="26.25" customHeight="1">
      <c r="A215" s="72"/>
      <c r="B215" s="73" t="s">
        <v>1011</v>
      </c>
      <c r="C215" s="87" t="s">
        <v>1034</v>
      </c>
      <c r="D215" s="75">
        <v>1778.0</v>
      </c>
      <c r="E215" s="75" t="s">
        <v>1037</v>
      </c>
      <c r="F215" s="76" t="s">
        <v>1038</v>
      </c>
      <c r="G215" s="77" t="s">
        <v>658</v>
      </c>
      <c r="H215" s="77">
        <v>1778.0</v>
      </c>
      <c r="I215" s="77">
        <v>1.0</v>
      </c>
      <c r="J215" s="78">
        <f t="shared" si="126"/>
        <v>13.11889648</v>
      </c>
      <c r="K215" s="79">
        <f t="shared" si="2"/>
        <v>107.1380964</v>
      </c>
      <c r="L215" s="80" t="s">
        <v>658</v>
      </c>
      <c r="M215" s="81">
        <v>8.0</v>
      </c>
      <c r="N215" s="81" t="s">
        <v>689</v>
      </c>
      <c r="O215" s="82">
        <v>90.023753</v>
      </c>
      <c r="P215" s="82">
        <v>84.32304</v>
      </c>
      <c r="Q215" s="82">
        <f t="shared" ref="Q215:Q219" si="143">O215-P215</f>
        <v>5.700713</v>
      </c>
      <c r="R215" s="78">
        <f t="shared" ref="R215:R219" si="144">IFS(L215="S",21494/2048*1.25)</f>
        <v>13.11889648</v>
      </c>
      <c r="S215" s="83">
        <f t="shared" ref="S215:S218" si="145">IFS(N215="B",Q215/M215/100*249945/R215/V215/U215
*W215,N215="C",Q215/M215/100*249945/R215/V215/U215
)</f>
        <v>107.3237435</v>
      </c>
      <c r="T215" s="84" t="s">
        <v>739</v>
      </c>
      <c r="U215" s="86">
        <v>1.1</v>
      </c>
      <c r="V215" s="73">
        <v>1.15</v>
      </c>
      <c r="W215" s="83">
        <f>1778/1049</f>
        <v>1.694947569</v>
      </c>
      <c r="X215" s="83">
        <f t="shared" ref="X215:X219" si="146">S215/K215</f>
        <v>1.001732783</v>
      </c>
      <c r="Y215" s="83">
        <f t="shared" ref="Y215:Y219" si="147">(S215-K215)*M215*U215*V215*J215/(249945/845)</f>
        <v>0.08332555616</v>
      </c>
    </row>
    <row r="216" ht="26.25" customHeight="1">
      <c r="A216" s="72"/>
      <c r="B216" s="73" t="s">
        <v>1011</v>
      </c>
      <c r="C216" s="87" t="s">
        <v>1039</v>
      </c>
      <c r="D216" s="75">
        <v>1841.0</v>
      </c>
      <c r="E216" s="75" t="s">
        <v>1040</v>
      </c>
      <c r="F216" s="75" t="s">
        <v>1041</v>
      </c>
      <c r="G216" s="77" t="s">
        <v>658</v>
      </c>
      <c r="H216" s="77">
        <f>1841+17*2+198*7</f>
        <v>3261</v>
      </c>
      <c r="I216" s="77">
        <v>1.0</v>
      </c>
      <c r="J216" s="78">
        <f t="shared" si="126"/>
        <v>13.11889648</v>
      </c>
      <c r="K216" s="79">
        <f t="shared" si="2"/>
        <v>216.1502057</v>
      </c>
      <c r="L216" s="80" t="s">
        <v>658</v>
      </c>
      <c r="M216" s="81">
        <v>1.0</v>
      </c>
      <c r="N216" s="81" t="s">
        <v>689</v>
      </c>
      <c r="O216" s="82">
        <v>85.154394</v>
      </c>
      <c r="P216" s="82">
        <v>83.847981</v>
      </c>
      <c r="Q216" s="82">
        <f t="shared" si="143"/>
        <v>1.306413</v>
      </c>
      <c r="R216" s="78">
        <f t="shared" si="144"/>
        <v>13.11889648</v>
      </c>
      <c r="S216" s="83">
        <f t="shared" si="145"/>
        <v>216.4361506</v>
      </c>
      <c r="T216" s="84" t="s">
        <v>739</v>
      </c>
      <c r="U216" s="86">
        <v>1.0</v>
      </c>
      <c r="V216" s="73">
        <v>1.15</v>
      </c>
      <c r="W216" s="79">
        <v>1.0</v>
      </c>
      <c r="X216" s="83">
        <f t="shared" si="146"/>
        <v>1.001322899</v>
      </c>
      <c r="Y216" s="83">
        <f t="shared" si="147"/>
        <v>0.01458443681</v>
      </c>
    </row>
    <row r="217" ht="26.25" customHeight="1">
      <c r="A217" s="72"/>
      <c r="B217" s="73" t="s">
        <v>1011</v>
      </c>
      <c r="C217" s="87" t="s">
        <v>1039</v>
      </c>
      <c r="D217" s="75">
        <v>898.0</v>
      </c>
      <c r="E217" s="75" t="s">
        <v>1042</v>
      </c>
      <c r="F217" s="76"/>
      <c r="G217" s="77" t="s">
        <v>658</v>
      </c>
      <c r="H217" s="77">
        <v>898.0</v>
      </c>
      <c r="I217" s="77">
        <v>1.0</v>
      </c>
      <c r="J217" s="78">
        <f t="shared" si="126"/>
        <v>13.11889648</v>
      </c>
      <c r="K217" s="79">
        <f t="shared" si="2"/>
        <v>59.52250375</v>
      </c>
      <c r="L217" s="80" t="s">
        <v>658</v>
      </c>
      <c r="M217" s="81">
        <v>9.0</v>
      </c>
      <c r="N217" s="81" t="s">
        <v>689</v>
      </c>
      <c r="O217" s="82">
        <v>90.023753</v>
      </c>
      <c r="P217" s="82">
        <v>86.698337</v>
      </c>
      <c r="Q217" s="82">
        <f t="shared" si="143"/>
        <v>3.325416</v>
      </c>
      <c r="R217" s="78">
        <f t="shared" si="144"/>
        <v>13.11889648</v>
      </c>
      <c r="S217" s="83">
        <f t="shared" si="145"/>
        <v>61.21428489</v>
      </c>
      <c r="T217" s="84" t="s">
        <v>739</v>
      </c>
      <c r="U217" s="86">
        <v>1.0</v>
      </c>
      <c r="V217" s="73">
        <v>1.15</v>
      </c>
      <c r="W217" s="83">
        <f>898/461</f>
        <v>1.947939262</v>
      </c>
      <c r="X217" s="83">
        <f t="shared" si="146"/>
        <v>1.028422547</v>
      </c>
      <c r="Y217" s="83">
        <f t="shared" si="147"/>
        <v>0.7765941024</v>
      </c>
    </row>
    <row r="218" ht="26.25" customHeight="1">
      <c r="A218" s="72"/>
      <c r="B218" s="73" t="s">
        <v>1011</v>
      </c>
      <c r="C218" s="87" t="s">
        <v>1043</v>
      </c>
      <c r="D218" s="75">
        <v>987.0</v>
      </c>
      <c r="E218" s="75" t="s">
        <v>1044</v>
      </c>
      <c r="F218" s="76" t="s">
        <v>1045</v>
      </c>
      <c r="G218" s="77" t="s">
        <v>658</v>
      </c>
      <c r="H218" s="77">
        <f>987*12+938*3+3781*3</f>
        <v>26001</v>
      </c>
      <c r="I218" s="77">
        <v>15.0</v>
      </c>
      <c r="J218" s="78">
        <f t="shared" si="126"/>
        <v>13.11889648</v>
      </c>
      <c r="K218" s="79">
        <f t="shared" si="2"/>
        <v>104.4506054</v>
      </c>
      <c r="L218" s="80" t="s">
        <v>658</v>
      </c>
      <c r="M218" s="81">
        <v>15.0</v>
      </c>
      <c r="N218" s="81" t="s">
        <v>689</v>
      </c>
      <c r="O218" s="82">
        <v>90.023753</v>
      </c>
      <c r="P218" s="82">
        <v>79.572447</v>
      </c>
      <c r="Q218" s="82">
        <f t="shared" si="143"/>
        <v>10.451306</v>
      </c>
      <c r="R218" s="78">
        <f t="shared" si="144"/>
        <v>13.11889648</v>
      </c>
      <c r="S218" s="83">
        <f t="shared" si="145"/>
        <v>104.9387597</v>
      </c>
      <c r="T218" s="84" t="s">
        <v>739</v>
      </c>
      <c r="U218" s="86">
        <v>1.1</v>
      </c>
      <c r="V218" s="73">
        <v>1.15</v>
      </c>
      <c r="W218" s="83">
        <f>987/506</f>
        <v>1.950592885</v>
      </c>
      <c r="X218" s="83">
        <f t="shared" si="146"/>
        <v>1.004673543</v>
      </c>
      <c r="Y218" s="83">
        <f t="shared" si="147"/>
        <v>0.4108171019</v>
      </c>
    </row>
    <row r="219" ht="26.25" customHeight="1">
      <c r="A219" s="72"/>
      <c r="B219" s="73" t="s">
        <v>1046</v>
      </c>
      <c r="C219" s="87" t="s">
        <v>758</v>
      </c>
      <c r="D219" s="93" t="s">
        <v>1047</v>
      </c>
      <c r="E219" s="76" t="s">
        <v>1048</v>
      </c>
      <c r="F219" s="76" t="s">
        <v>1049</v>
      </c>
      <c r="G219" s="77" t="s">
        <v>658</v>
      </c>
      <c r="H219" s="77">
        <v>12042.0</v>
      </c>
      <c r="I219" s="77">
        <v>1.0</v>
      </c>
      <c r="J219" s="78">
        <f t="shared" si="126"/>
        <v>13.11889648</v>
      </c>
      <c r="K219" s="79">
        <f t="shared" si="2"/>
        <v>798.1848443</v>
      </c>
      <c r="L219" s="80" t="s">
        <v>658</v>
      </c>
      <c r="M219" s="81">
        <v>3.0</v>
      </c>
      <c r="N219" s="79" t="s">
        <v>659</v>
      </c>
      <c r="O219" s="82">
        <v>90.023753</v>
      </c>
      <c r="P219" s="82">
        <v>75.534442</v>
      </c>
      <c r="Q219" s="82">
        <f t="shared" si="143"/>
        <v>14.489311</v>
      </c>
      <c r="R219" s="78">
        <f t="shared" si="144"/>
        <v>13.11889648</v>
      </c>
      <c r="S219" s="96">
        <f>Q219/M219/100*249945/R219/V219/U219
</f>
        <v>800.1580657</v>
      </c>
      <c r="T219" s="84" t="s">
        <v>757</v>
      </c>
      <c r="U219" s="86">
        <v>1.0</v>
      </c>
      <c r="V219" s="73">
        <v>1.15</v>
      </c>
      <c r="W219" s="83">
        <f>2908/1.25/1.22/1.15/2/K219</f>
        <v>1.038707447</v>
      </c>
      <c r="X219" s="83">
        <f t="shared" si="146"/>
        <v>1.002472136</v>
      </c>
      <c r="Y219" s="83">
        <f t="shared" si="147"/>
        <v>0.3019287452</v>
      </c>
    </row>
    <row r="220" ht="26.25" customHeight="1">
      <c r="A220" s="72"/>
      <c r="B220" s="73" t="s">
        <v>1046</v>
      </c>
      <c r="C220" s="87" t="s">
        <v>543</v>
      </c>
      <c r="D220" s="75">
        <v>10278.0</v>
      </c>
      <c r="E220" s="75" t="s">
        <v>1050</v>
      </c>
      <c r="F220" s="76" t="s">
        <v>1051</v>
      </c>
      <c r="G220" s="77" t="s">
        <v>658</v>
      </c>
      <c r="H220" s="77">
        <f>11386+3781+11771+10191</f>
        <v>37129</v>
      </c>
      <c r="I220" s="77">
        <v>2.0</v>
      </c>
      <c r="J220" s="78">
        <f t="shared" si="126"/>
        <v>13.11889648</v>
      </c>
      <c r="K220" s="79">
        <f t="shared" si="2"/>
        <v>1230.518397</v>
      </c>
      <c r="L220" s="89" t="s">
        <v>303</v>
      </c>
      <c r="M220" s="85" t="s">
        <v>303</v>
      </c>
      <c r="N220" s="85" t="s">
        <v>303</v>
      </c>
      <c r="O220" s="82" t="s">
        <v>303</v>
      </c>
      <c r="P220" s="82" t="s">
        <v>303</v>
      </c>
      <c r="Q220" s="82" t="s">
        <v>303</v>
      </c>
      <c r="R220" s="78" t="s">
        <v>303</v>
      </c>
      <c r="S220" s="79" t="s">
        <v>303</v>
      </c>
      <c r="T220" s="84" t="s">
        <v>739</v>
      </c>
      <c r="U220" s="86">
        <v>1.0</v>
      </c>
      <c r="V220" s="73">
        <v>1.15</v>
      </c>
      <c r="W220" s="83">
        <f>11386/10278</f>
        <v>1.107803075</v>
      </c>
      <c r="X220" s="83">
        <f>69231/68864</f>
        <v>1.005329345</v>
      </c>
      <c r="Y220" s="83">
        <f>(69231-68864)/(1500000/845)</f>
        <v>0.2067433333</v>
      </c>
    </row>
    <row r="221" ht="26.25" customHeight="1">
      <c r="A221" s="72"/>
      <c r="B221" s="73" t="s">
        <v>1046</v>
      </c>
      <c r="C221" s="87" t="s">
        <v>253</v>
      </c>
      <c r="D221" s="75">
        <v>14793.0</v>
      </c>
      <c r="E221" s="75" t="s">
        <v>1052</v>
      </c>
      <c r="F221" s="76" t="s">
        <v>761</v>
      </c>
      <c r="G221" s="77" t="s">
        <v>658</v>
      </c>
      <c r="H221" s="77">
        <v>14793.0</v>
      </c>
      <c r="I221" s="77">
        <v>1.0</v>
      </c>
      <c r="J221" s="78">
        <f t="shared" si="126"/>
        <v>13.11889648</v>
      </c>
      <c r="K221" s="79">
        <f t="shared" si="2"/>
        <v>980.53051</v>
      </c>
      <c r="L221" s="80" t="s">
        <v>658</v>
      </c>
      <c r="M221" s="81">
        <v>2.0</v>
      </c>
      <c r="N221" s="81" t="s">
        <v>689</v>
      </c>
      <c r="O221" s="82">
        <v>90.023753</v>
      </c>
      <c r="P221" s="82">
        <v>78.147268</v>
      </c>
      <c r="Q221" s="82">
        <f t="shared" ref="Q221:Q223" si="148">O221-P221</f>
        <v>11.876485</v>
      </c>
      <c r="R221" s="78">
        <f t="shared" ref="R221:R223" si="149">IFS(L221="S",21494/2048*1.25)</f>
        <v>13.11889648</v>
      </c>
      <c r="S221" s="83">
        <f t="shared" ref="S221:S223" si="150">IFS(N221="B",Q221/M221/100*249945/R221/V221/U221
*W221,N221="C",Q221/M221/100*249945/R221/V221/U221
)</f>
        <v>983.8009479</v>
      </c>
      <c r="T221" s="84" t="s">
        <v>739</v>
      </c>
      <c r="U221" s="86">
        <v>1.0</v>
      </c>
      <c r="V221" s="73">
        <v>1.15</v>
      </c>
      <c r="W221" s="83">
        <f>14793/8430</f>
        <v>1.75480427</v>
      </c>
      <c r="X221" s="83">
        <f t="shared" ref="X221:X223" si="151">S221/K221</f>
        <v>1.003335376</v>
      </c>
      <c r="Y221" s="83">
        <f t="shared" ref="Y221:Y223" si="152">(S221-K221)*M221*U221*V221*J221/(249945/845)</f>
        <v>0.3336132593</v>
      </c>
    </row>
    <row r="222" ht="26.25" customHeight="1">
      <c r="A222" s="72"/>
      <c r="B222" s="73" t="s">
        <v>1046</v>
      </c>
      <c r="C222" s="87" t="s">
        <v>253</v>
      </c>
      <c r="D222" s="75">
        <v>12111.0</v>
      </c>
      <c r="E222" s="75" t="s">
        <v>1053</v>
      </c>
      <c r="F222" s="76" t="s">
        <v>762</v>
      </c>
      <c r="G222" s="77" t="s">
        <v>658</v>
      </c>
      <c r="H222" s="77">
        <v>12111.0</v>
      </c>
      <c r="I222" s="77">
        <v>1.0</v>
      </c>
      <c r="J222" s="78">
        <f t="shared" si="126"/>
        <v>13.11889648</v>
      </c>
      <c r="K222" s="79">
        <f t="shared" si="2"/>
        <v>802.7583997</v>
      </c>
      <c r="L222" s="80" t="s">
        <v>658</v>
      </c>
      <c r="M222" s="81">
        <v>4.0</v>
      </c>
      <c r="N222" s="81" t="s">
        <v>659</v>
      </c>
      <c r="O222" s="82">
        <v>90.023753</v>
      </c>
      <c r="P222" s="82">
        <v>74.465558</v>
      </c>
      <c r="Q222" s="82">
        <f t="shared" si="148"/>
        <v>15.558195</v>
      </c>
      <c r="R222" s="78">
        <f t="shared" si="149"/>
        <v>13.11889648</v>
      </c>
      <c r="S222" s="83">
        <f t="shared" si="150"/>
        <v>802.323689</v>
      </c>
      <c r="T222" s="84" t="s">
        <v>739</v>
      </c>
      <c r="U222" s="86">
        <v>1.0</v>
      </c>
      <c r="V222" s="73">
        <v>1.15</v>
      </c>
      <c r="W222" s="83">
        <f>12111/9727</f>
        <v>1.245090984</v>
      </c>
      <c r="X222" s="83">
        <f t="shared" si="151"/>
        <v>0.9994584788</v>
      </c>
      <c r="Y222" s="83">
        <f t="shared" si="152"/>
        <v>-0.08868858436</v>
      </c>
    </row>
    <row r="223" ht="26.25" customHeight="1">
      <c r="A223" s="72"/>
      <c r="B223" s="73" t="s">
        <v>1046</v>
      </c>
      <c r="C223" s="74" t="s">
        <v>876</v>
      </c>
      <c r="D223" s="75">
        <v>6894.0</v>
      </c>
      <c r="E223" s="75" t="s">
        <v>1054</v>
      </c>
      <c r="F223" s="75" t="s">
        <v>852</v>
      </c>
      <c r="G223" s="77" t="s">
        <v>658</v>
      </c>
      <c r="H223" s="77">
        <f>6894*2</f>
        <v>13788</v>
      </c>
      <c r="I223" s="77">
        <v>1.0</v>
      </c>
      <c r="J223" s="78">
        <f t="shared" si="126"/>
        <v>13.11889648</v>
      </c>
      <c r="K223" s="79">
        <f t="shared" si="2"/>
        <v>913.9156812</v>
      </c>
      <c r="L223" s="80" t="s">
        <v>658</v>
      </c>
      <c r="M223" s="92">
        <v>5.0</v>
      </c>
      <c r="N223" s="92" t="s">
        <v>659</v>
      </c>
      <c r="O223" s="82">
        <v>90.023753</v>
      </c>
      <c r="P223" s="94">
        <v>74.346793</v>
      </c>
      <c r="Q223" s="82">
        <f t="shared" si="148"/>
        <v>15.67696</v>
      </c>
      <c r="R223" s="78">
        <f t="shared" si="149"/>
        <v>13.11889648</v>
      </c>
      <c r="S223" s="83">
        <f t="shared" si="150"/>
        <v>911.6769059</v>
      </c>
      <c r="T223" s="84" t="s">
        <v>660</v>
      </c>
      <c r="U223" s="86">
        <v>1.0</v>
      </c>
      <c r="V223" s="73">
        <v>1.15</v>
      </c>
      <c r="W223" s="83">
        <f>6894/3928</f>
        <v>1.75509165</v>
      </c>
      <c r="X223" s="83">
        <f t="shared" si="151"/>
        <v>0.9975503481</v>
      </c>
      <c r="Y223" s="83">
        <f t="shared" si="152"/>
        <v>-0.5709366409</v>
      </c>
    </row>
    <row r="224" ht="26.25" customHeight="1">
      <c r="A224" s="72"/>
      <c r="B224" s="73" t="s">
        <v>1046</v>
      </c>
      <c r="C224" s="87" t="s">
        <v>1055</v>
      </c>
      <c r="D224" s="75">
        <f>2701+17553</f>
        <v>20254</v>
      </c>
      <c r="E224" s="75" t="s">
        <v>1056</v>
      </c>
      <c r="F224" s="75" t="s">
        <v>1049</v>
      </c>
      <c r="G224" s="77" t="s">
        <v>689</v>
      </c>
      <c r="H224" s="77">
        <v>109297.0</v>
      </c>
      <c r="I224" s="77">
        <v>16.0</v>
      </c>
      <c r="J224" s="78">
        <f>1.25*2*1.15*1.22</f>
        <v>3.5075</v>
      </c>
      <c r="K224" s="79">
        <f t="shared" si="2"/>
        <v>1686.198097</v>
      </c>
      <c r="L224" s="89" t="s">
        <v>303</v>
      </c>
      <c r="M224" s="85" t="s">
        <v>303</v>
      </c>
      <c r="N224" s="85" t="s">
        <v>303</v>
      </c>
      <c r="O224" s="82" t="s">
        <v>303</v>
      </c>
      <c r="P224" s="82" t="s">
        <v>303</v>
      </c>
      <c r="Q224" s="82" t="s">
        <v>303</v>
      </c>
      <c r="R224" s="78" t="s">
        <v>303</v>
      </c>
      <c r="S224" s="79" t="s">
        <v>303</v>
      </c>
      <c r="T224" s="84" t="s">
        <v>867</v>
      </c>
      <c r="U224" s="78">
        <v>1.05</v>
      </c>
      <c r="V224" s="73">
        <v>1.1</v>
      </c>
      <c r="W224" s="83">
        <f>22438/20254</f>
        <v>1.107830552</v>
      </c>
      <c r="X224" s="83">
        <f>110059/109297</f>
        <v>1.006971829</v>
      </c>
      <c r="Y224" s="83">
        <f>(110059-109297)/(1500000/845)</f>
        <v>0.42926</v>
      </c>
    </row>
    <row r="225" ht="26.25" customHeight="1">
      <c r="A225" s="72"/>
      <c r="B225" s="73" t="s">
        <v>1046</v>
      </c>
      <c r="C225" s="87" t="s">
        <v>740</v>
      </c>
      <c r="D225" s="93" t="s">
        <v>1047</v>
      </c>
      <c r="E225" s="75" t="s">
        <v>1057</v>
      </c>
      <c r="F225" s="76" t="s">
        <v>1049</v>
      </c>
      <c r="G225" s="77" t="s">
        <v>658</v>
      </c>
      <c r="H225" s="77">
        <v>9896.0</v>
      </c>
      <c r="I225" s="77">
        <v>1.0</v>
      </c>
      <c r="J225" s="78">
        <f t="shared" ref="J225:J253" si="153">IFS(G225="S",21494/2048*1.25,G225="C",1.25*2*1.22,OR(G225="R",G225="T"),1.25*1.22)</f>
        <v>13.11889648</v>
      </c>
      <c r="K225" s="79">
        <f t="shared" si="2"/>
        <v>655.9406427</v>
      </c>
      <c r="L225" s="80" t="s">
        <v>658</v>
      </c>
      <c r="M225" s="92">
        <v>3.0</v>
      </c>
      <c r="N225" s="83" t="s">
        <v>659</v>
      </c>
      <c r="O225" s="82">
        <v>90.023753</v>
      </c>
      <c r="P225" s="82">
        <v>78.147268</v>
      </c>
      <c r="Q225" s="82">
        <f t="shared" ref="Q225:Q231" si="154">O225-P225</f>
        <v>11.876485</v>
      </c>
      <c r="R225" s="78">
        <f t="shared" ref="R225:R231" si="155">IFS(L225="S",21494/2048*1.25)</f>
        <v>13.11889648</v>
      </c>
      <c r="S225" s="96">
        <f>Q225/M225/100*249945/R225/V225/U225
</f>
        <v>655.8672986</v>
      </c>
      <c r="T225" s="84" t="s">
        <v>757</v>
      </c>
      <c r="U225" s="86">
        <v>1.0</v>
      </c>
      <c r="V225" s="73">
        <v>1.15</v>
      </c>
      <c r="W225" s="83">
        <f>2395/1.25/1.22/1.15/2/K225</f>
        <v>1.040982185</v>
      </c>
      <c r="X225" s="83">
        <f t="shared" ref="X225:X231" si="156">S225/K225</f>
        <v>0.9998881849</v>
      </c>
      <c r="Y225" s="83">
        <f t="shared" ref="Y225:Y231" si="157">(S225-K225)*M225*U225*V225*J225/(249945/845)</f>
        <v>-0.01122260459</v>
      </c>
    </row>
    <row r="226" ht="26.25" customHeight="1">
      <c r="A226" s="72"/>
      <c r="B226" s="73" t="s">
        <v>1046</v>
      </c>
      <c r="C226" s="87" t="s">
        <v>375</v>
      </c>
      <c r="D226" s="75">
        <v>2436.0</v>
      </c>
      <c r="E226" s="75" t="s">
        <v>1058</v>
      </c>
      <c r="F226" s="75" t="s">
        <v>1059</v>
      </c>
      <c r="G226" s="77" t="s">
        <v>658</v>
      </c>
      <c r="H226" s="77">
        <v>2436.0</v>
      </c>
      <c r="I226" s="77">
        <v>1.0</v>
      </c>
      <c r="J226" s="78">
        <f t="shared" si="153"/>
        <v>13.11889648</v>
      </c>
      <c r="K226" s="79">
        <f t="shared" si="2"/>
        <v>161.466391</v>
      </c>
      <c r="L226" s="80" t="s">
        <v>658</v>
      </c>
      <c r="M226" s="81">
        <v>30.0</v>
      </c>
      <c r="N226" s="81" t="s">
        <v>659</v>
      </c>
      <c r="O226" s="82">
        <v>90.023753</v>
      </c>
      <c r="P226" s="82">
        <v>71.615202</v>
      </c>
      <c r="Q226" s="82">
        <f t="shared" si="154"/>
        <v>18.408551</v>
      </c>
      <c r="R226" s="78">
        <f t="shared" si="155"/>
        <v>13.11889648</v>
      </c>
      <c r="S226" s="83">
        <f t="shared" ref="S226:S227" si="158">IFS(N226="B",Q226/M226/100*249945/R226/V226/U226
*W226,N226="C",Q226/M226/100*249945/R226/V226/U226
)</f>
        <v>162.3884358</v>
      </c>
      <c r="T226" s="84" t="s">
        <v>896</v>
      </c>
      <c r="U226" s="86">
        <v>1.0</v>
      </c>
      <c r="V226" s="73">
        <v>1.15</v>
      </c>
      <c r="W226" s="83">
        <f>2436/1525</f>
        <v>1.597377049</v>
      </c>
      <c r="X226" s="83">
        <f t="shared" si="156"/>
        <v>1.005710444</v>
      </c>
      <c r="Y226" s="83">
        <f t="shared" si="157"/>
        <v>1.410849357</v>
      </c>
    </row>
    <row r="227" ht="26.25" customHeight="1">
      <c r="A227" s="72"/>
      <c r="B227" s="73" t="s">
        <v>1046</v>
      </c>
      <c r="C227" s="87" t="s">
        <v>1060</v>
      </c>
      <c r="D227" s="76">
        <v>10744.0</v>
      </c>
      <c r="E227" s="76" t="s">
        <v>1061</v>
      </c>
      <c r="F227" s="76"/>
      <c r="G227" s="77" t="s">
        <v>658</v>
      </c>
      <c r="H227" s="77">
        <v>10744.0</v>
      </c>
      <c r="I227" s="77">
        <v>1.0</v>
      </c>
      <c r="J227" s="78">
        <f t="shared" si="153"/>
        <v>13.11889648</v>
      </c>
      <c r="K227" s="79">
        <f t="shared" si="2"/>
        <v>712.1489759</v>
      </c>
      <c r="L227" s="80" t="s">
        <v>658</v>
      </c>
      <c r="M227" s="92">
        <v>5.0</v>
      </c>
      <c r="N227" s="92" t="s">
        <v>659</v>
      </c>
      <c r="O227" s="82">
        <v>90.023753</v>
      </c>
      <c r="P227" s="94">
        <v>77.790974</v>
      </c>
      <c r="Q227" s="82">
        <f t="shared" si="154"/>
        <v>12.232779</v>
      </c>
      <c r="R227" s="78">
        <f t="shared" si="155"/>
        <v>13.11889648</v>
      </c>
      <c r="S227" s="83">
        <f t="shared" si="158"/>
        <v>711.3397985</v>
      </c>
      <c r="T227" s="84" t="s">
        <v>660</v>
      </c>
      <c r="U227" s="86">
        <v>1.0</v>
      </c>
      <c r="V227" s="73">
        <v>1.15</v>
      </c>
      <c r="W227" s="83">
        <f>10744/6122</f>
        <v>1.754982032</v>
      </c>
      <c r="X227" s="83">
        <f t="shared" si="156"/>
        <v>0.9988637527</v>
      </c>
      <c r="Y227" s="83">
        <f t="shared" si="157"/>
        <v>-0.2063579032</v>
      </c>
    </row>
    <row r="228" ht="26.25" customHeight="1">
      <c r="A228" s="72"/>
      <c r="B228" s="73" t="s">
        <v>1046</v>
      </c>
      <c r="C228" s="87" t="s">
        <v>684</v>
      </c>
      <c r="D228" s="93" t="s">
        <v>1047</v>
      </c>
      <c r="E228" s="75" t="s">
        <v>1057</v>
      </c>
      <c r="F228" s="76" t="s">
        <v>1049</v>
      </c>
      <c r="G228" s="77" t="s">
        <v>658</v>
      </c>
      <c r="H228" s="77">
        <v>9896.0</v>
      </c>
      <c r="I228" s="77">
        <v>1.0</v>
      </c>
      <c r="J228" s="78">
        <f t="shared" si="153"/>
        <v>13.11889648</v>
      </c>
      <c r="K228" s="79">
        <f t="shared" si="2"/>
        <v>655.9406427</v>
      </c>
      <c r="L228" s="80" t="s">
        <v>658</v>
      </c>
      <c r="M228" s="81">
        <v>3.0</v>
      </c>
      <c r="N228" s="79" t="s">
        <v>659</v>
      </c>
      <c r="O228" s="82">
        <v>90.023753</v>
      </c>
      <c r="P228" s="82">
        <v>78.147268</v>
      </c>
      <c r="Q228" s="82">
        <f t="shared" si="154"/>
        <v>11.876485</v>
      </c>
      <c r="R228" s="78">
        <f t="shared" si="155"/>
        <v>13.11889648</v>
      </c>
      <c r="S228" s="96">
        <f t="shared" ref="S228:S229" si="159">Q228/M228/100*249945/R228/V228/U228
</f>
        <v>655.8672986</v>
      </c>
      <c r="T228" s="84" t="s">
        <v>757</v>
      </c>
      <c r="U228" s="86">
        <v>1.0</v>
      </c>
      <c r="V228" s="73">
        <v>1.15</v>
      </c>
      <c r="W228" s="83">
        <f>2504/1.25/1.22/1.15/2/K228</f>
        <v>1.088358827</v>
      </c>
      <c r="X228" s="83">
        <f t="shared" si="156"/>
        <v>0.9998881849</v>
      </c>
      <c r="Y228" s="83">
        <f t="shared" si="157"/>
        <v>-0.01122260459</v>
      </c>
    </row>
    <row r="229" ht="26.25" customHeight="1">
      <c r="A229" s="72"/>
      <c r="B229" s="73" t="s">
        <v>1046</v>
      </c>
      <c r="C229" s="87" t="s">
        <v>692</v>
      </c>
      <c r="D229" s="93" t="s">
        <v>1047</v>
      </c>
      <c r="E229" s="75" t="s">
        <v>1062</v>
      </c>
      <c r="F229" s="76" t="s">
        <v>1049</v>
      </c>
      <c r="G229" s="77" t="s">
        <v>658</v>
      </c>
      <c r="H229" s="77">
        <v>7720.0</v>
      </c>
      <c r="I229" s="77">
        <v>1.0</v>
      </c>
      <c r="J229" s="78">
        <f t="shared" si="153"/>
        <v>13.11889648</v>
      </c>
      <c r="K229" s="79">
        <f t="shared" si="2"/>
        <v>511.7079387</v>
      </c>
      <c r="L229" s="80" t="s">
        <v>658</v>
      </c>
      <c r="M229" s="92">
        <v>3.0</v>
      </c>
      <c r="N229" s="79" t="s">
        <v>659</v>
      </c>
      <c r="O229" s="82">
        <v>90.023753</v>
      </c>
      <c r="P229" s="82">
        <v>80.760095</v>
      </c>
      <c r="Q229" s="82">
        <f t="shared" si="154"/>
        <v>9.263658</v>
      </c>
      <c r="R229" s="78">
        <f t="shared" si="155"/>
        <v>13.11889648</v>
      </c>
      <c r="S229" s="96">
        <f t="shared" si="159"/>
        <v>511.5764764</v>
      </c>
      <c r="T229" s="84" t="s">
        <v>757</v>
      </c>
      <c r="U229" s="86">
        <v>1.0</v>
      </c>
      <c r="V229" s="73">
        <v>1.15</v>
      </c>
      <c r="W229" s="83">
        <f>1931/1.25/1.22/1.15/2/K229</f>
        <v>1.075876544</v>
      </c>
      <c r="X229" s="83">
        <f t="shared" si="156"/>
        <v>0.999743091</v>
      </c>
      <c r="Y229" s="83">
        <f t="shared" si="157"/>
        <v>-0.02011546562</v>
      </c>
    </row>
    <row r="230" ht="26.25" customHeight="1">
      <c r="A230" s="72"/>
      <c r="B230" s="73" t="s">
        <v>1046</v>
      </c>
      <c r="C230" s="87" t="s">
        <v>1063</v>
      </c>
      <c r="D230" s="75">
        <v>10211.0</v>
      </c>
      <c r="E230" s="75" t="s">
        <v>1064</v>
      </c>
      <c r="F230" s="76"/>
      <c r="G230" s="77" t="s">
        <v>658</v>
      </c>
      <c r="H230" s="77">
        <v>10211.0</v>
      </c>
      <c r="I230" s="77">
        <v>1.0</v>
      </c>
      <c r="J230" s="78">
        <f t="shared" si="153"/>
        <v>13.11889648</v>
      </c>
      <c r="K230" s="79">
        <f t="shared" si="2"/>
        <v>644.5903975</v>
      </c>
      <c r="L230" s="80" t="s">
        <v>658</v>
      </c>
      <c r="M230" s="81">
        <v>6.0</v>
      </c>
      <c r="N230" s="81" t="s">
        <v>689</v>
      </c>
      <c r="O230" s="82">
        <v>90.023753</v>
      </c>
      <c r="P230" s="82">
        <v>65.558195</v>
      </c>
      <c r="Q230" s="82">
        <f t="shared" si="154"/>
        <v>24.465558</v>
      </c>
      <c r="R230" s="78">
        <f t="shared" si="155"/>
        <v>13.11889648</v>
      </c>
      <c r="S230" s="83">
        <f t="shared" ref="S230:S231" si="160">IFS(N230="B",Q230/M230/100*249945/R230/V230/U230
*W230,N230="C",Q230/M230/100*249945/R230/V230/U230
)</f>
        <v>643.3745592</v>
      </c>
      <c r="T230" s="84" t="s">
        <v>757</v>
      </c>
      <c r="U230" s="78">
        <v>1.05</v>
      </c>
      <c r="V230" s="73">
        <v>1.15</v>
      </c>
      <c r="W230" s="83">
        <f>10211/5819</f>
        <v>1.754768861</v>
      </c>
      <c r="X230" s="83">
        <f t="shared" si="156"/>
        <v>0.9981137816</v>
      </c>
      <c r="Y230" s="83">
        <f t="shared" si="157"/>
        <v>-0.3906823224</v>
      </c>
    </row>
    <row r="231" ht="26.25" customHeight="1">
      <c r="A231" s="85"/>
      <c r="B231" s="73" t="s">
        <v>1046</v>
      </c>
      <c r="C231" s="74" t="s">
        <v>1065</v>
      </c>
      <c r="D231" s="75">
        <v>11809.0</v>
      </c>
      <c r="E231" s="75" t="s">
        <v>1066</v>
      </c>
      <c r="F231" s="76" t="s">
        <v>1067</v>
      </c>
      <c r="G231" s="77" t="s">
        <v>658</v>
      </c>
      <c r="H231" s="77">
        <f>7*1038+11809</f>
        <v>19075</v>
      </c>
      <c r="I231" s="77">
        <v>1.0</v>
      </c>
      <c r="J231" s="78">
        <f t="shared" si="153"/>
        <v>13.11889648</v>
      </c>
      <c r="K231" s="79">
        <f t="shared" si="2"/>
        <v>1149.414617</v>
      </c>
      <c r="L231" s="80" t="s">
        <v>658</v>
      </c>
      <c r="M231" s="81">
        <v>2.0</v>
      </c>
      <c r="N231" s="81" t="s">
        <v>689</v>
      </c>
      <c r="O231" s="82">
        <v>90.023753</v>
      </c>
      <c r="P231" s="82">
        <v>74.703088</v>
      </c>
      <c r="Q231" s="82">
        <f t="shared" si="154"/>
        <v>15.320665</v>
      </c>
      <c r="R231" s="78">
        <f t="shared" si="155"/>
        <v>13.11889648</v>
      </c>
      <c r="S231" s="83">
        <f t="shared" si="160"/>
        <v>1153.730154</v>
      </c>
      <c r="T231" s="84" t="s">
        <v>739</v>
      </c>
      <c r="U231" s="86">
        <v>1.1</v>
      </c>
      <c r="V231" s="73">
        <v>1.15</v>
      </c>
      <c r="W231" s="83">
        <f>(11809+7*1038)/(6728+7*1038)</f>
        <v>1.363084179</v>
      </c>
      <c r="X231" s="83">
        <f t="shared" si="156"/>
        <v>1.003754551</v>
      </c>
      <c r="Y231" s="83">
        <f t="shared" si="157"/>
        <v>0.4842446676</v>
      </c>
    </row>
    <row r="232" ht="26.25" customHeight="1">
      <c r="A232" s="72"/>
      <c r="B232" s="85" t="s">
        <v>1046</v>
      </c>
      <c r="C232" s="74" t="s">
        <v>1068</v>
      </c>
      <c r="D232" s="75">
        <v>10211.0</v>
      </c>
      <c r="E232" s="75" t="s">
        <v>1069</v>
      </c>
      <c r="F232" s="76"/>
      <c r="G232" s="77" t="s">
        <v>658</v>
      </c>
      <c r="H232" s="77">
        <v>10211.0</v>
      </c>
      <c r="I232" s="77">
        <v>1.0</v>
      </c>
      <c r="J232" s="78">
        <f t="shared" si="153"/>
        <v>13.11889648</v>
      </c>
      <c r="K232" s="79">
        <f t="shared" si="2"/>
        <v>644.5903975</v>
      </c>
      <c r="L232" s="89" t="s">
        <v>303</v>
      </c>
      <c r="M232" s="85" t="s">
        <v>303</v>
      </c>
      <c r="N232" s="85" t="s">
        <v>303</v>
      </c>
      <c r="O232" s="82" t="s">
        <v>303</v>
      </c>
      <c r="P232" s="82" t="s">
        <v>303</v>
      </c>
      <c r="Q232" s="82" t="s">
        <v>303</v>
      </c>
      <c r="R232" s="78" t="s">
        <v>303</v>
      </c>
      <c r="S232" s="79" t="s">
        <v>303</v>
      </c>
      <c r="T232" s="84" t="s">
        <v>757</v>
      </c>
      <c r="U232" s="78">
        <v>1.05</v>
      </c>
      <c r="V232" s="73">
        <v>1.15</v>
      </c>
      <c r="W232" s="83">
        <f>10744/6122</f>
        <v>1.754982032</v>
      </c>
      <c r="X232" s="83">
        <f>101183/101404</f>
        <v>0.9978205988</v>
      </c>
      <c r="Y232" s="83">
        <f>(101183-101404)/(1500000/845)</f>
        <v>-0.1244966667</v>
      </c>
    </row>
    <row r="233" ht="26.25" customHeight="1">
      <c r="A233" s="72"/>
      <c r="B233" s="73" t="s">
        <v>1046</v>
      </c>
      <c r="C233" s="87" t="s">
        <v>504</v>
      </c>
      <c r="D233" s="93" t="s">
        <v>1070</v>
      </c>
      <c r="E233" s="75" t="s">
        <v>1071</v>
      </c>
      <c r="F233" s="75" t="s">
        <v>1072</v>
      </c>
      <c r="G233" s="77" t="s">
        <v>658</v>
      </c>
      <c r="H233" s="77">
        <f>8498+10013+11795+13528+15361</f>
        <v>59195</v>
      </c>
      <c r="I233" s="77">
        <v>1.0</v>
      </c>
      <c r="J233" s="78">
        <f t="shared" si="153"/>
        <v>13.11889648</v>
      </c>
      <c r="K233" s="79">
        <f t="shared" si="2"/>
        <v>3923.646559</v>
      </c>
      <c r="L233" s="80" t="s">
        <v>658</v>
      </c>
      <c r="M233" s="81">
        <v>1.0</v>
      </c>
      <c r="N233" s="79" t="s">
        <v>659</v>
      </c>
      <c r="O233" s="82">
        <v>90.023753</v>
      </c>
      <c r="P233" s="82">
        <v>66.270784</v>
      </c>
      <c r="Q233" s="82">
        <f>O233-P233</f>
        <v>23.752969</v>
      </c>
      <c r="R233" s="78">
        <f>IFS(L233="S",21494/2048*1.25)</f>
        <v>13.11889648</v>
      </c>
      <c r="S233" s="96">
        <f>Q233/M233/100*249945/R233/V233/U233
</f>
        <v>3935.203626</v>
      </c>
      <c r="T233" s="84" t="s">
        <v>705</v>
      </c>
      <c r="U233" s="86">
        <v>1.0</v>
      </c>
      <c r="V233" s="73">
        <v>1.15</v>
      </c>
      <c r="W233" s="83">
        <f>2062/1862</f>
        <v>1.107411386</v>
      </c>
      <c r="X233" s="83">
        <f>S233/K233</f>
        <v>1.002945491</v>
      </c>
      <c r="Y233" s="83">
        <f>(S233-K233)*M233*U233*V233*J233/(249945/845)</f>
        <v>0.589460962</v>
      </c>
    </row>
    <row r="234" ht="26.25" customHeight="1">
      <c r="A234" s="72"/>
      <c r="B234" s="73" t="s">
        <v>1046</v>
      </c>
      <c r="C234" s="87" t="s">
        <v>328</v>
      </c>
      <c r="D234" s="75">
        <v>5131.0</v>
      </c>
      <c r="E234" s="76"/>
      <c r="F234" s="76" t="s">
        <v>1073</v>
      </c>
      <c r="G234" s="77" t="s">
        <v>658</v>
      </c>
      <c r="H234" s="77">
        <f>2*5131</f>
        <v>10262</v>
      </c>
      <c r="I234" s="77">
        <v>1.0</v>
      </c>
      <c r="J234" s="78">
        <f t="shared" si="153"/>
        <v>13.11889648</v>
      </c>
      <c r="K234" s="79">
        <f t="shared" si="2"/>
        <v>711.1185701</v>
      </c>
      <c r="L234" s="89" t="s">
        <v>303</v>
      </c>
      <c r="M234" s="85" t="s">
        <v>303</v>
      </c>
      <c r="N234" s="85" t="s">
        <v>303</v>
      </c>
      <c r="O234" s="82" t="s">
        <v>303</v>
      </c>
      <c r="P234" s="82" t="s">
        <v>303</v>
      </c>
      <c r="Q234" s="82" t="s">
        <v>303</v>
      </c>
      <c r="R234" s="78" t="s">
        <v>303</v>
      </c>
      <c r="S234" s="79" t="s">
        <v>303</v>
      </c>
      <c r="T234" s="84" t="s">
        <v>739</v>
      </c>
      <c r="U234" s="86">
        <v>1.0</v>
      </c>
      <c r="V234" s="73">
        <v>1.1</v>
      </c>
      <c r="W234" s="79">
        <v>1.0</v>
      </c>
      <c r="X234" s="83">
        <f>47929/46378</f>
        <v>1.033442581</v>
      </c>
      <c r="Y234" s="83">
        <f>(47929-46378)/(1500000/845)</f>
        <v>0.87373</v>
      </c>
    </row>
    <row r="235" ht="26.25" customHeight="1">
      <c r="A235" s="72"/>
      <c r="B235" s="73" t="s">
        <v>1074</v>
      </c>
      <c r="C235" s="87" t="s">
        <v>908</v>
      </c>
      <c r="D235" s="75">
        <v>727.0</v>
      </c>
      <c r="E235" s="75" t="s">
        <v>1075</v>
      </c>
      <c r="F235" s="75" t="s">
        <v>852</v>
      </c>
      <c r="G235" s="77" t="s">
        <v>658</v>
      </c>
      <c r="H235" s="77">
        <f>727*3</f>
        <v>2181</v>
      </c>
      <c r="I235" s="77">
        <v>1.0</v>
      </c>
      <c r="J235" s="78">
        <f t="shared" si="153"/>
        <v>13.11889648</v>
      </c>
      <c r="K235" s="79">
        <f t="shared" si="2"/>
        <v>144.564121</v>
      </c>
      <c r="L235" s="80" t="s">
        <v>658</v>
      </c>
      <c r="M235" s="81">
        <v>14.0</v>
      </c>
      <c r="N235" s="81" t="s">
        <v>659</v>
      </c>
      <c r="O235" s="82">
        <v>90.023753</v>
      </c>
      <c r="P235" s="82">
        <v>83.372922</v>
      </c>
      <c r="Q235" s="82">
        <f t="shared" ref="Q235:Q238" si="161">O235-P235</f>
        <v>6.650831</v>
      </c>
      <c r="R235" s="78">
        <f t="shared" ref="R235:R238" si="162">IFS(L235="S",21494/2048*1.25)</f>
        <v>13.11889648</v>
      </c>
      <c r="S235" s="83">
        <f t="shared" ref="S235:S238" si="163">IFS(N235="B",Q235/M235/100*249945/R235/V235/U235
*W235,N235="C",Q235/M235/100*249945/R235/V235/U235
)</f>
        <v>145.9639234</v>
      </c>
      <c r="T235" s="84" t="s">
        <v>660</v>
      </c>
      <c r="U235" s="86">
        <v>1.0</v>
      </c>
      <c r="V235" s="73">
        <v>1.15</v>
      </c>
      <c r="W235" s="83">
        <f>727/392</f>
        <v>1.854591837</v>
      </c>
      <c r="X235" s="83">
        <f t="shared" ref="X235:X238" si="164">S235/K235</f>
        <v>1.009682917</v>
      </c>
      <c r="Y235" s="83">
        <f t="shared" ref="Y235:Y238" si="165">(S235-K235)*M235*U235*V235*J235/(249945/845)</f>
        <v>0.9995445582</v>
      </c>
    </row>
    <row r="236" ht="26.25" customHeight="1">
      <c r="A236" s="72"/>
      <c r="B236" s="73" t="s">
        <v>1074</v>
      </c>
      <c r="C236" s="87" t="s">
        <v>656</v>
      </c>
      <c r="D236" s="75">
        <v>1128.0</v>
      </c>
      <c r="E236" s="75" t="s">
        <v>1076</v>
      </c>
      <c r="F236" s="88"/>
      <c r="G236" s="77" t="s">
        <v>658</v>
      </c>
      <c r="H236" s="77">
        <v>1128.0</v>
      </c>
      <c r="I236" s="77">
        <v>1.0</v>
      </c>
      <c r="J236" s="78">
        <f t="shared" si="153"/>
        <v>13.11889648</v>
      </c>
      <c r="K236" s="79">
        <f t="shared" si="2"/>
        <v>74.76768846</v>
      </c>
      <c r="L236" s="80" t="s">
        <v>658</v>
      </c>
      <c r="M236" s="81">
        <v>30.0</v>
      </c>
      <c r="N236" s="81" t="s">
        <v>659</v>
      </c>
      <c r="O236" s="82">
        <v>90.023753</v>
      </c>
      <c r="P236" s="82">
        <v>81.591449</v>
      </c>
      <c r="Q236" s="82">
        <f t="shared" si="161"/>
        <v>8.432304</v>
      </c>
      <c r="R236" s="78">
        <f t="shared" si="162"/>
        <v>13.11889648</v>
      </c>
      <c r="S236" s="83">
        <f t="shared" si="163"/>
        <v>74.40098871</v>
      </c>
      <c r="T236" s="84" t="s">
        <v>660</v>
      </c>
      <c r="U236" s="86">
        <v>1.0</v>
      </c>
      <c r="V236" s="73">
        <v>1.15</v>
      </c>
      <c r="W236" s="83">
        <f>1128/706</f>
        <v>1.597733711</v>
      </c>
      <c r="X236" s="83">
        <f t="shared" si="164"/>
        <v>0.9950954784</v>
      </c>
      <c r="Y236" s="83">
        <f t="shared" si="165"/>
        <v>-0.5610986971</v>
      </c>
    </row>
    <row r="237" ht="26.25" customHeight="1">
      <c r="A237" s="72"/>
      <c r="B237" s="73" t="s">
        <v>1074</v>
      </c>
      <c r="C237" s="87" t="s">
        <v>1077</v>
      </c>
      <c r="D237" s="75">
        <v>2542.0</v>
      </c>
      <c r="E237" s="75" t="s">
        <v>1078</v>
      </c>
      <c r="F237" s="88"/>
      <c r="G237" s="77" t="s">
        <v>658</v>
      </c>
      <c r="H237" s="77">
        <f>2542*2</f>
        <v>5084</v>
      </c>
      <c r="I237" s="77">
        <v>1.0</v>
      </c>
      <c r="J237" s="78">
        <f t="shared" si="153"/>
        <v>13.11889648</v>
      </c>
      <c r="K237" s="79">
        <f t="shared" si="2"/>
        <v>336.9848653</v>
      </c>
      <c r="L237" s="80" t="s">
        <v>658</v>
      </c>
      <c r="M237" s="81">
        <v>7.0</v>
      </c>
      <c r="N237" s="81" t="s">
        <v>689</v>
      </c>
      <c r="O237" s="82">
        <v>90.023753</v>
      </c>
      <c r="P237" s="82">
        <v>75.771971</v>
      </c>
      <c r="Q237" s="82">
        <f t="shared" si="161"/>
        <v>14.251782</v>
      </c>
      <c r="R237" s="78">
        <f t="shared" si="162"/>
        <v>13.11889648</v>
      </c>
      <c r="S237" s="83">
        <f t="shared" si="163"/>
        <v>337.3031821</v>
      </c>
      <c r="T237" s="84" t="s">
        <v>739</v>
      </c>
      <c r="U237" s="86">
        <v>1.0</v>
      </c>
      <c r="V237" s="73">
        <v>1.15</v>
      </c>
      <c r="W237" s="83">
        <f>2542/2108</f>
        <v>1.205882353</v>
      </c>
      <c r="X237" s="83">
        <f t="shared" si="164"/>
        <v>1.000944603</v>
      </c>
      <c r="Y237" s="83">
        <f t="shared" si="165"/>
        <v>0.11364884</v>
      </c>
    </row>
    <row r="238" ht="26.25" customHeight="1">
      <c r="A238" s="72"/>
      <c r="B238" s="73" t="s">
        <v>1074</v>
      </c>
      <c r="C238" s="87" t="s">
        <v>1079</v>
      </c>
      <c r="D238" s="75">
        <v>1253.0</v>
      </c>
      <c r="E238" s="75" t="s">
        <v>1080</v>
      </c>
      <c r="F238" s="88"/>
      <c r="G238" s="77" t="s">
        <v>658</v>
      </c>
      <c r="H238" s="77">
        <v>1253.0</v>
      </c>
      <c r="I238" s="77">
        <v>1.0</v>
      </c>
      <c r="J238" s="78">
        <f t="shared" si="153"/>
        <v>13.11889648</v>
      </c>
      <c r="K238" s="79">
        <f t="shared" si="2"/>
        <v>83.05311492</v>
      </c>
      <c r="L238" s="80" t="s">
        <v>658</v>
      </c>
      <c r="M238" s="81">
        <v>26.0</v>
      </c>
      <c r="N238" s="79" t="s">
        <v>659</v>
      </c>
      <c r="O238" s="82">
        <v>90.023753</v>
      </c>
      <c r="P238" s="82">
        <v>81.828979</v>
      </c>
      <c r="Q238" s="82">
        <f t="shared" si="161"/>
        <v>8.194774</v>
      </c>
      <c r="R238" s="78">
        <f t="shared" si="162"/>
        <v>13.11889648</v>
      </c>
      <c r="S238" s="83">
        <f t="shared" si="163"/>
        <v>83.45415209</v>
      </c>
      <c r="T238" s="84" t="s">
        <v>705</v>
      </c>
      <c r="U238" s="86">
        <v>1.0</v>
      </c>
      <c r="V238" s="73">
        <v>1.15</v>
      </c>
      <c r="W238" s="79">
        <f>1253/784</f>
        <v>1.598214286</v>
      </c>
      <c r="X238" s="83">
        <f t="shared" si="164"/>
        <v>1.004828683</v>
      </c>
      <c r="Y238" s="83">
        <f t="shared" si="165"/>
        <v>0.5318208623</v>
      </c>
    </row>
    <row r="239" ht="26.25" customHeight="1">
      <c r="A239" s="72"/>
      <c r="B239" s="73" t="s">
        <v>1074</v>
      </c>
      <c r="C239" s="87" t="s">
        <v>1081</v>
      </c>
      <c r="D239" s="75">
        <v>953.0</v>
      </c>
      <c r="E239" s="75" t="s">
        <v>1082</v>
      </c>
      <c r="F239" s="76" t="s">
        <v>1083</v>
      </c>
      <c r="G239" s="77" t="s">
        <v>658</v>
      </c>
      <c r="H239" s="77">
        <f>953*20+11202+345</f>
        <v>30607</v>
      </c>
      <c r="I239" s="77">
        <v>1.0</v>
      </c>
      <c r="J239" s="78">
        <f t="shared" si="153"/>
        <v>13.11889648</v>
      </c>
      <c r="K239" s="79">
        <f t="shared" si="2"/>
        <v>1844.305803</v>
      </c>
      <c r="L239" s="89" t="s">
        <v>303</v>
      </c>
      <c r="M239" s="85" t="s">
        <v>303</v>
      </c>
      <c r="N239" s="85" t="s">
        <v>303</v>
      </c>
      <c r="O239" s="82" t="s">
        <v>303</v>
      </c>
      <c r="P239" s="82" t="s">
        <v>303</v>
      </c>
      <c r="Q239" s="82" t="s">
        <v>303</v>
      </c>
      <c r="R239" s="78" t="s">
        <v>303</v>
      </c>
      <c r="S239" s="79" t="s">
        <v>303</v>
      </c>
      <c r="T239" s="84" t="s">
        <v>739</v>
      </c>
      <c r="U239" s="86">
        <v>1.1</v>
      </c>
      <c r="V239" s="73">
        <v>1.15</v>
      </c>
      <c r="W239" s="83">
        <f>(1523*20+11202+345)/(953*20+11202+345)</f>
        <v>1.372463815</v>
      </c>
      <c r="X239" s="83">
        <f>14201/13066</f>
        <v>1.086866677</v>
      </c>
      <c r="Y239" s="83">
        <f>(14201-13066)/(1500000/845)</f>
        <v>0.6393833333</v>
      </c>
    </row>
    <row r="240" ht="26.25" customHeight="1">
      <c r="A240" s="72"/>
      <c r="B240" s="73" t="s">
        <v>1074</v>
      </c>
      <c r="C240" s="87" t="s">
        <v>1081</v>
      </c>
      <c r="D240" s="75">
        <v>1240.0</v>
      </c>
      <c r="E240" s="75" t="s">
        <v>1084</v>
      </c>
      <c r="F240" s="76"/>
      <c r="G240" s="77" t="s">
        <v>658</v>
      </c>
      <c r="H240" s="77">
        <v>1240.0</v>
      </c>
      <c r="I240" s="77">
        <v>1.0</v>
      </c>
      <c r="J240" s="78">
        <f t="shared" si="153"/>
        <v>13.11889648</v>
      </c>
      <c r="K240" s="79">
        <f t="shared" si="2"/>
        <v>74.71948234</v>
      </c>
      <c r="L240" s="80" t="s">
        <v>658</v>
      </c>
      <c r="M240" s="81">
        <v>24.0</v>
      </c>
      <c r="N240" s="81" t="s">
        <v>659</v>
      </c>
      <c r="O240" s="82">
        <v>90.023753</v>
      </c>
      <c r="P240" s="82">
        <v>82.541568</v>
      </c>
      <c r="Q240" s="82">
        <f t="shared" ref="Q240:Q253" si="166">O240-P240</f>
        <v>7.482185</v>
      </c>
      <c r="R240" s="78">
        <f t="shared" ref="R240:R253" si="167">IFS(L240="S",21494/2048*1.25)</f>
        <v>13.11889648</v>
      </c>
      <c r="S240" s="83">
        <f t="shared" ref="S240:S253" si="168">IFS(N240="B",Q240/M240/100*249945/R240/V240/U240
*W240,N240="C",Q240/M240/100*249945/R240/V240/U240
)</f>
        <v>75.02979967</v>
      </c>
      <c r="T240" s="84" t="s">
        <v>739</v>
      </c>
      <c r="U240" s="86">
        <v>1.1</v>
      </c>
      <c r="V240" s="73">
        <v>1.15</v>
      </c>
      <c r="W240" s="83">
        <f>1240/776</f>
        <v>1.597938144</v>
      </c>
      <c r="X240" s="83">
        <f t="shared" ref="X240:X253" si="169">S240/K240</f>
        <v>1.004153098</v>
      </c>
      <c r="Y240" s="83">
        <f t="shared" ref="Y240:Y253" si="170">(S240-K240)*M240*U240*V240*J240/(249945/845)</f>
        <v>0.4178470764</v>
      </c>
    </row>
    <row r="241" ht="26.25" customHeight="1">
      <c r="A241" s="85"/>
      <c r="B241" s="85" t="s">
        <v>1074</v>
      </c>
      <c r="C241" s="74" t="s">
        <v>1085</v>
      </c>
      <c r="D241" s="75">
        <v>1349.0</v>
      </c>
      <c r="E241" s="75" t="s">
        <v>1086</v>
      </c>
      <c r="F241" s="76"/>
      <c r="G241" s="77" t="s">
        <v>658</v>
      </c>
      <c r="H241" s="77">
        <v>1349.0</v>
      </c>
      <c r="I241" s="77">
        <v>1.0</v>
      </c>
      <c r="J241" s="78">
        <f t="shared" si="153"/>
        <v>13.11889648</v>
      </c>
      <c r="K241" s="79">
        <f t="shared" si="2"/>
        <v>85.15840234</v>
      </c>
      <c r="L241" s="80" t="s">
        <v>658</v>
      </c>
      <c r="M241" s="81">
        <v>24.0</v>
      </c>
      <c r="N241" s="81" t="s">
        <v>659</v>
      </c>
      <c r="O241" s="82">
        <v>90.023753</v>
      </c>
      <c r="P241" s="82">
        <v>81.947743</v>
      </c>
      <c r="Q241" s="82">
        <f t="shared" si="166"/>
        <v>8.07601</v>
      </c>
      <c r="R241" s="78">
        <f t="shared" si="167"/>
        <v>13.11889648</v>
      </c>
      <c r="S241" s="83">
        <f t="shared" si="168"/>
        <v>84.86236251</v>
      </c>
      <c r="T241" s="84" t="s">
        <v>757</v>
      </c>
      <c r="U241" s="78">
        <v>1.05</v>
      </c>
      <c r="V241" s="85">
        <v>1.15</v>
      </c>
      <c r="W241" s="83">
        <f>1349/844</f>
        <v>1.598341232</v>
      </c>
      <c r="X241" s="83">
        <f t="shared" si="169"/>
        <v>0.9965236569</v>
      </c>
      <c r="Y241" s="83">
        <f t="shared" si="170"/>
        <v>-0.3805029935</v>
      </c>
    </row>
    <row r="242" ht="26.25" customHeight="1">
      <c r="A242" s="72"/>
      <c r="B242" s="73" t="s">
        <v>1074</v>
      </c>
      <c r="C242" s="87" t="s">
        <v>1087</v>
      </c>
      <c r="D242" s="75">
        <v>3312.0</v>
      </c>
      <c r="E242" s="75" t="s">
        <v>1088</v>
      </c>
      <c r="F242" s="75" t="s">
        <v>1089</v>
      </c>
      <c r="G242" s="77" t="s">
        <v>658</v>
      </c>
      <c r="H242" s="77">
        <v>3312.0</v>
      </c>
      <c r="I242" s="77">
        <v>1.0</v>
      </c>
      <c r="J242" s="78">
        <f t="shared" si="153"/>
        <v>13.11889648</v>
      </c>
      <c r="K242" s="79">
        <f t="shared" si="2"/>
        <v>219.5306597</v>
      </c>
      <c r="L242" s="80" t="s">
        <v>658</v>
      </c>
      <c r="M242" s="81">
        <v>16.0</v>
      </c>
      <c r="N242" s="81" t="s">
        <v>659</v>
      </c>
      <c r="O242" s="82">
        <v>90.023753</v>
      </c>
      <c r="P242" s="82">
        <v>83.372922</v>
      </c>
      <c r="Q242" s="82">
        <f t="shared" si="166"/>
        <v>6.650831</v>
      </c>
      <c r="R242" s="78">
        <f t="shared" si="167"/>
        <v>13.11889648</v>
      </c>
      <c r="S242" s="83">
        <f t="shared" si="168"/>
        <v>219.9463753</v>
      </c>
      <c r="T242" s="84" t="s">
        <v>739</v>
      </c>
      <c r="U242" s="86">
        <v>1.0</v>
      </c>
      <c r="V242" s="73">
        <v>1.15</v>
      </c>
      <c r="W242" s="83">
        <f>3312/1037</f>
        <v>3.193828351</v>
      </c>
      <c r="X242" s="83">
        <f t="shared" si="169"/>
        <v>1.001893656</v>
      </c>
      <c r="Y242" s="83">
        <f t="shared" si="170"/>
        <v>0.3392529951</v>
      </c>
    </row>
    <row r="243" ht="26.25" customHeight="1">
      <c r="A243" s="72"/>
      <c r="B243" s="73" t="s">
        <v>1074</v>
      </c>
      <c r="C243" s="87" t="s">
        <v>1087</v>
      </c>
      <c r="D243" s="75">
        <v>1577.0</v>
      </c>
      <c r="E243" s="75" t="s">
        <v>1090</v>
      </c>
      <c r="F243" s="75" t="s">
        <v>1091</v>
      </c>
      <c r="G243" s="77" t="s">
        <v>658</v>
      </c>
      <c r="H243" s="77">
        <v>1577.0</v>
      </c>
      <c r="I243" s="77">
        <v>1.0</v>
      </c>
      <c r="J243" s="78">
        <f t="shared" si="153"/>
        <v>13.11889648</v>
      </c>
      <c r="K243" s="79">
        <f t="shared" si="2"/>
        <v>104.5289403</v>
      </c>
      <c r="L243" s="80" t="s">
        <v>658</v>
      </c>
      <c r="M243" s="81">
        <v>9.0</v>
      </c>
      <c r="N243" s="81" t="s">
        <v>689</v>
      </c>
      <c r="O243" s="82">
        <v>90.023753</v>
      </c>
      <c r="P243" s="82">
        <f>84.32304</f>
        <v>84.32304</v>
      </c>
      <c r="Q243" s="82">
        <f t="shared" si="166"/>
        <v>5.700713</v>
      </c>
      <c r="R243" s="78">
        <f t="shared" si="167"/>
        <v>13.11889648</v>
      </c>
      <c r="S243" s="83">
        <f t="shared" si="168"/>
        <v>104.9387715</v>
      </c>
      <c r="T243" s="84" t="s">
        <v>739</v>
      </c>
      <c r="U243" s="86">
        <v>1.0</v>
      </c>
      <c r="V243" s="73">
        <v>1.15</v>
      </c>
      <c r="W243" s="83">
        <f>1577/987</f>
        <v>1.597771023</v>
      </c>
      <c r="X243" s="83">
        <f t="shared" si="169"/>
        <v>1.003920743</v>
      </c>
      <c r="Y243" s="83">
        <f t="shared" si="170"/>
        <v>0.1881286128</v>
      </c>
    </row>
    <row r="244" ht="26.25" customHeight="1">
      <c r="A244" s="72"/>
      <c r="B244" s="73" t="s">
        <v>1074</v>
      </c>
      <c r="C244" s="87" t="s">
        <v>1092</v>
      </c>
      <c r="D244" s="75">
        <v>23746.0</v>
      </c>
      <c r="E244" s="75" t="s">
        <v>1093</v>
      </c>
      <c r="F244" s="76" t="s">
        <v>1094</v>
      </c>
      <c r="G244" s="77" t="s">
        <v>658</v>
      </c>
      <c r="H244" s="77">
        <v>23746.0</v>
      </c>
      <c r="I244" s="77">
        <v>1.0</v>
      </c>
      <c r="J244" s="78">
        <f t="shared" si="153"/>
        <v>13.11889648</v>
      </c>
      <c r="K244" s="79">
        <f t="shared" si="2"/>
        <v>1573.965895</v>
      </c>
      <c r="L244" s="80" t="s">
        <v>658</v>
      </c>
      <c r="M244" s="81">
        <v>1.0</v>
      </c>
      <c r="N244" s="79" t="s">
        <v>659</v>
      </c>
      <c r="O244" s="82">
        <v>90.023753</v>
      </c>
      <c r="P244" s="82">
        <v>80.522565</v>
      </c>
      <c r="Q244" s="82">
        <f t="shared" si="166"/>
        <v>9.501188</v>
      </c>
      <c r="R244" s="78">
        <f t="shared" si="167"/>
        <v>13.11889648</v>
      </c>
      <c r="S244" s="83">
        <f t="shared" si="168"/>
        <v>1574.081517</v>
      </c>
      <c r="T244" s="84" t="s">
        <v>705</v>
      </c>
      <c r="U244" s="86">
        <v>1.0</v>
      </c>
      <c r="V244" s="73">
        <v>1.15</v>
      </c>
      <c r="W244" s="79">
        <v>1.0</v>
      </c>
      <c r="X244" s="83">
        <f t="shared" si="169"/>
        <v>1.000073459</v>
      </c>
      <c r="Y244" s="83">
        <f t="shared" si="170"/>
        <v>0.00589718889</v>
      </c>
    </row>
    <row r="245" ht="26.25" customHeight="1">
      <c r="A245" s="72"/>
      <c r="B245" s="73" t="s">
        <v>1074</v>
      </c>
      <c r="C245" s="87" t="s">
        <v>1092</v>
      </c>
      <c r="D245" s="75">
        <v>4279.0</v>
      </c>
      <c r="E245" s="75" t="s">
        <v>1095</v>
      </c>
      <c r="F245" s="88"/>
      <c r="G245" s="77" t="s">
        <v>658</v>
      </c>
      <c r="H245" s="77">
        <v>4279.0</v>
      </c>
      <c r="I245" s="77">
        <v>1.0</v>
      </c>
      <c r="J245" s="78">
        <f t="shared" si="153"/>
        <v>13.11889648</v>
      </c>
      <c r="K245" s="79">
        <f t="shared" si="2"/>
        <v>283.6267189</v>
      </c>
      <c r="L245" s="80" t="s">
        <v>658</v>
      </c>
      <c r="M245" s="81">
        <v>9.0</v>
      </c>
      <c r="N245" s="81" t="s">
        <v>689</v>
      </c>
      <c r="O245" s="82">
        <v>90.023753</v>
      </c>
      <c r="P245" s="82">
        <v>74.584323</v>
      </c>
      <c r="Q245" s="82">
        <f t="shared" si="166"/>
        <v>15.43943</v>
      </c>
      <c r="R245" s="78">
        <f t="shared" si="167"/>
        <v>13.11889648</v>
      </c>
      <c r="S245" s="83">
        <f t="shared" si="168"/>
        <v>284.2091535</v>
      </c>
      <c r="T245" s="84" t="s">
        <v>739</v>
      </c>
      <c r="U245" s="86">
        <v>1.0</v>
      </c>
      <c r="V245" s="73">
        <v>1.15</v>
      </c>
      <c r="W245" s="83">
        <f>4279/822</f>
        <v>5.205596107</v>
      </c>
      <c r="X245" s="83">
        <f t="shared" si="169"/>
        <v>1.002053525</v>
      </c>
      <c r="Y245" s="83">
        <f t="shared" si="170"/>
        <v>0.2673604189</v>
      </c>
    </row>
    <row r="246" ht="26.25" customHeight="1">
      <c r="A246" s="72"/>
      <c r="B246" s="73" t="s">
        <v>1074</v>
      </c>
      <c r="C246" s="87" t="s">
        <v>876</v>
      </c>
      <c r="D246" s="75">
        <v>971.0</v>
      </c>
      <c r="E246" s="75" t="s">
        <v>1096</v>
      </c>
      <c r="F246" s="75" t="s">
        <v>852</v>
      </c>
      <c r="G246" s="77" t="s">
        <v>658</v>
      </c>
      <c r="H246" s="77">
        <f>971*2</f>
        <v>1942</v>
      </c>
      <c r="I246" s="77">
        <v>1.0</v>
      </c>
      <c r="J246" s="78">
        <f t="shared" si="153"/>
        <v>13.11889648</v>
      </c>
      <c r="K246" s="79">
        <f t="shared" si="2"/>
        <v>128.7223856</v>
      </c>
      <c r="L246" s="80" t="s">
        <v>658</v>
      </c>
      <c r="M246" s="81">
        <v>15.0</v>
      </c>
      <c r="N246" s="81" t="s">
        <v>659</v>
      </c>
      <c r="O246" s="82">
        <v>90.023753</v>
      </c>
      <c r="P246" s="82">
        <v>82.779097</v>
      </c>
      <c r="Q246" s="82">
        <f t="shared" si="166"/>
        <v>7.244656</v>
      </c>
      <c r="R246" s="78">
        <f t="shared" si="167"/>
        <v>13.11889648</v>
      </c>
      <c r="S246" s="83">
        <f t="shared" si="168"/>
        <v>127.7884104</v>
      </c>
      <c r="T246" s="84" t="s">
        <v>660</v>
      </c>
      <c r="U246" s="86">
        <v>1.0</v>
      </c>
      <c r="V246" s="73">
        <v>1.15</v>
      </c>
      <c r="W246" s="83">
        <f t="shared" ref="W246:W247" si="171">971/608</f>
        <v>1.597039474</v>
      </c>
      <c r="X246" s="83">
        <f t="shared" si="169"/>
        <v>0.9927442675</v>
      </c>
      <c r="Y246" s="83">
        <f t="shared" si="170"/>
        <v>-0.71455227</v>
      </c>
    </row>
    <row r="247" ht="26.25" customHeight="1">
      <c r="A247" s="72"/>
      <c r="B247" s="73" t="s">
        <v>1074</v>
      </c>
      <c r="C247" s="87" t="s">
        <v>740</v>
      </c>
      <c r="D247" s="75">
        <v>971.0</v>
      </c>
      <c r="E247" s="75" t="s">
        <v>1096</v>
      </c>
      <c r="F247" s="88"/>
      <c r="G247" s="77" t="s">
        <v>658</v>
      </c>
      <c r="H247" s="77">
        <v>971.0</v>
      </c>
      <c r="I247" s="77">
        <v>1.0</v>
      </c>
      <c r="J247" s="78">
        <f t="shared" si="153"/>
        <v>13.11889648</v>
      </c>
      <c r="K247" s="79">
        <f t="shared" si="2"/>
        <v>64.36119281</v>
      </c>
      <c r="L247" s="80" t="s">
        <v>658</v>
      </c>
      <c r="M247" s="81">
        <v>30.0</v>
      </c>
      <c r="N247" s="81" t="s">
        <v>659</v>
      </c>
      <c r="O247" s="82">
        <v>90.023753</v>
      </c>
      <c r="P247" s="82">
        <v>82.779097</v>
      </c>
      <c r="Q247" s="82">
        <f t="shared" si="166"/>
        <v>7.244656</v>
      </c>
      <c r="R247" s="78">
        <f t="shared" si="167"/>
        <v>13.11889648</v>
      </c>
      <c r="S247" s="83">
        <f t="shared" si="168"/>
        <v>63.89420521</v>
      </c>
      <c r="T247" s="84" t="s">
        <v>660</v>
      </c>
      <c r="U247" s="86">
        <v>1.0</v>
      </c>
      <c r="V247" s="73">
        <v>1.15</v>
      </c>
      <c r="W247" s="83">
        <f t="shared" si="171"/>
        <v>1.597039474</v>
      </c>
      <c r="X247" s="83">
        <f t="shared" si="169"/>
        <v>0.9927442675</v>
      </c>
      <c r="Y247" s="83">
        <f t="shared" si="170"/>
        <v>-0.71455227</v>
      </c>
    </row>
    <row r="248" ht="26.25" customHeight="1">
      <c r="A248" s="72"/>
      <c r="B248" s="73" t="s">
        <v>1074</v>
      </c>
      <c r="C248" s="74" t="s">
        <v>822</v>
      </c>
      <c r="D248" s="75">
        <v>2464.0</v>
      </c>
      <c r="E248" s="75" t="s">
        <v>1097</v>
      </c>
      <c r="F248" s="88"/>
      <c r="G248" s="77" t="s">
        <v>658</v>
      </c>
      <c r="H248" s="77">
        <f>2464+1803</f>
        <v>4267</v>
      </c>
      <c r="I248" s="77">
        <v>1.0</v>
      </c>
      <c r="J248" s="78">
        <f t="shared" si="153"/>
        <v>13.11889648</v>
      </c>
      <c r="K248" s="79">
        <f t="shared" si="2"/>
        <v>282.8313179</v>
      </c>
      <c r="L248" s="80" t="s">
        <v>658</v>
      </c>
      <c r="M248" s="81">
        <v>4.0</v>
      </c>
      <c r="N248" s="81" t="s">
        <v>689</v>
      </c>
      <c r="O248" s="82">
        <v>90.023753</v>
      </c>
      <c r="P248" s="82">
        <v>83.135392</v>
      </c>
      <c r="Q248" s="82">
        <f t="shared" si="166"/>
        <v>6.888361</v>
      </c>
      <c r="R248" s="78">
        <f t="shared" si="167"/>
        <v>13.11889648</v>
      </c>
      <c r="S248" s="83">
        <f t="shared" si="168"/>
        <v>285.3022625</v>
      </c>
      <c r="T248" s="84" t="s">
        <v>660</v>
      </c>
      <c r="U248" s="86">
        <v>1.0</v>
      </c>
      <c r="V248" s="73">
        <v>1.15</v>
      </c>
      <c r="W248" s="83">
        <f>2464/2043</f>
        <v>1.206069506</v>
      </c>
      <c r="X248" s="83">
        <f t="shared" si="169"/>
        <v>1.00873646</v>
      </c>
      <c r="Y248" s="83">
        <f t="shared" si="170"/>
        <v>0.5041158924</v>
      </c>
    </row>
    <row r="249" ht="26.25" customHeight="1">
      <c r="A249" s="72"/>
      <c r="B249" s="73" t="s">
        <v>1074</v>
      </c>
      <c r="C249" s="87" t="s">
        <v>684</v>
      </c>
      <c r="D249" s="75">
        <v>1253.0</v>
      </c>
      <c r="E249" s="75" t="s">
        <v>1080</v>
      </c>
      <c r="F249" s="88"/>
      <c r="G249" s="77" t="s">
        <v>658</v>
      </c>
      <c r="H249" s="77">
        <v>1253.0</v>
      </c>
      <c r="I249" s="77">
        <v>1.0</v>
      </c>
      <c r="J249" s="78">
        <f t="shared" si="153"/>
        <v>13.11889648</v>
      </c>
      <c r="K249" s="79">
        <f t="shared" si="2"/>
        <v>83.05311492</v>
      </c>
      <c r="L249" s="80" t="s">
        <v>658</v>
      </c>
      <c r="M249" s="81">
        <v>23.0</v>
      </c>
      <c r="N249" s="81" t="s">
        <v>659</v>
      </c>
      <c r="O249" s="82">
        <v>90.023753</v>
      </c>
      <c r="P249" s="82">
        <v>82.779097</v>
      </c>
      <c r="Q249" s="82">
        <f t="shared" si="166"/>
        <v>7.244656</v>
      </c>
      <c r="R249" s="78">
        <f t="shared" si="167"/>
        <v>13.11889648</v>
      </c>
      <c r="S249" s="83">
        <f t="shared" si="168"/>
        <v>83.40157432</v>
      </c>
      <c r="T249" s="84" t="s">
        <v>660</v>
      </c>
      <c r="U249" s="86">
        <v>1.0</v>
      </c>
      <c r="V249" s="73">
        <v>1.15</v>
      </c>
      <c r="W249" s="83">
        <f>1253/784</f>
        <v>1.598214286</v>
      </c>
      <c r="X249" s="83">
        <f t="shared" si="169"/>
        <v>1.004195621</v>
      </c>
      <c r="Y249" s="83">
        <f t="shared" si="170"/>
        <v>0.4087779117</v>
      </c>
    </row>
    <row r="250" ht="26.25" customHeight="1">
      <c r="A250" s="72"/>
      <c r="B250" s="73" t="s">
        <v>1074</v>
      </c>
      <c r="C250" s="87" t="s">
        <v>692</v>
      </c>
      <c r="D250" s="75">
        <v>783.0</v>
      </c>
      <c r="E250" s="75" t="s">
        <v>1098</v>
      </c>
      <c r="F250" s="88"/>
      <c r="G250" s="77" t="s">
        <v>658</v>
      </c>
      <c r="H250" s="77">
        <v>783.0</v>
      </c>
      <c r="I250" s="77">
        <v>1.0</v>
      </c>
      <c r="J250" s="78">
        <f t="shared" si="153"/>
        <v>13.11889648</v>
      </c>
      <c r="K250" s="79">
        <f t="shared" si="2"/>
        <v>51.8999114</v>
      </c>
      <c r="L250" s="80" t="s">
        <v>658</v>
      </c>
      <c r="M250" s="81">
        <v>44.0</v>
      </c>
      <c r="N250" s="81" t="s">
        <v>659</v>
      </c>
      <c r="O250" s="82">
        <v>90.023753</v>
      </c>
      <c r="P250" s="82">
        <v>81.353919</v>
      </c>
      <c r="Q250" s="82">
        <f t="shared" si="166"/>
        <v>8.669834</v>
      </c>
      <c r="R250" s="78">
        <f t="shared" si="167"/>
        <v>13.11889648</v>
      </c>
      <c r="S250" s="83">
        <f t="shared" si="168"/>
        <v>52.16426536</v>
      </c>
      <c r="T250" s="84" t="s">
        <v>896</v>
      </c>
      <c r="U250" s="86">
        <v>1.0</v>
      </c>
      <c r="V250" s="73">
        <v>1.15</v>
      </c>
      <c r="W250" s="83">
        <f>783/490</f>
        <v>1.597959184</v>
      </c>
      <c r="X250" s="83">
        <f t="shared" si="169"/>
        <v>1.005093534</v>
      </c>
      <c r="Y250" s="83">
        <f t="shared" si="170"/>
        <v>0.5932611328</v>
      </c>
    </row>
    <row r="251" ht="26.25" customHeight="1">
      <c r="A251" s="72"/>
      <c r="B251" s="73" t="s">
        <v>1074</v>
      </c>
      <c r="C251" s="74" t="s">
        <v>1099</v>
      </c>
      <c r="D251" s="75">
        <v>1128.0</v>
      </c>
      <c r="E251" s="75" t="s">
        <v>1076</v>
      </c>
      <c r="F251" s="88"/>
      <c r="G251" s="77" t="s">
        <v>658</v>
      </c>
      <c r="H251" s="77">
        <v>1128.0</v>
      </c>
      <c r="I251" s="77">
        <v>1.0</v>
      </c>
      <c r="J251" s="78">
        <f t="shared" si="153"/>
        <v>13.11889648</v>
      </c>
      <c r="K251" s="79">
        <f t="shared" si="2"/>
        <v>74.76768846</v>
      </c>
      <c r="L251" s="80" t="s">
        <v>658</v>
      </c>
      <c r="M251" s="81">
        <v>27.0</v>
      </c>
      <c r="N251" s="81" t="s">
        <v>659</v>
      </c>
      <c r="O251" s="82">
        <v>90.023753</v>
      </c>
      <c r="P251" s="82">
        <v>82.304038</v>
      </c>
      <c r="Q251" s="82">
        <f t="shared" si="166"/>
        <v>7.719715</v>
      </c>
      <c r="R251" s="78">
        <f t="shared" si="167"/>
        <v>13.11889648</v>
      </c>
      <c r="S251" s="83">
        <f t="shared" si="168"/>
        <v>75.6817576</v>
      </c>
      <c r="T251" s="84" t="s">
        <v>739</v>
      </c>
      <c r="U251" s="86">
        <v>1.0</v>
      </c>
      <c r="V251" s="73">
        <v>1.15</v>
      </c>
      <c r="W251" s="83">
        <f t="shared" ref="W251:W252" si="172">1128/706</f>
        <v>1.597733711</v>
      </c>
      <c r="X251" s="83">
        <f t="shared" si="169"/>
        <v>1.012225457</v>
      </c>
      <c r="Y251" s="83">
        <f t="shared" si="170"/>
        <v>1.258781099</v>
      </c>
    </row>
    <row r="252" ht="26.25" customHeight="1">
      <c r="A252" s="72"/>
      <c r="B252" s="73" t="s">
        <v>1074</v>
      </c>
      <c r="C252" s="87" t="s">
        <v>1100</v>
      </c>
      <c r="D252" s="75">
        <v>1128.0</v>
      </c>
      <c r="E252" s="75" t="s">
        <v>1076</v>
      </c>
      <c r="F252" s="88"/>
      <c r="G252" s="77" t="s">
        <v>658</v>
      </c>
      <c r="H252" s="77">
        <v>1128.0</v>
      </c>
      <c r="I252" s="77">
        <v>1.0</v>
      </c>
      <c r="J252" s="78">
        <f t="shared" si="153"/>
        <v>13.11889648</v>
      </c>
      <c r="K252" s="79">
        <f t="shared" si="2"/>
        <v>74.76768846</v>
      </c>
      <c r="L252" s="80" t="s">
        <v>658</v>
      </c>
      <c r="M252" s="81">
        <v>26.0</v>
      </c>
      <c r="N252" s="81" t="s">
        <v>659</v>
      </c>
      <c r="O252" s="82">
        <v>90.023753</v>
      </c>
      <c r="P252" s="82">
        <v>82.660333</v>
      </c>
      <c r="Q252" s="82">
        <f t="shared" si="166"/>
        <v>7.36342</v>
      </c>
      <c r="R252" s="78">
        <f t="shared" si="167"/>
        <v>13.11889648</v>
      </c>
      <c r="S252" s="83">
        <f t="shared" si="168"/>
        <v>74.96523922</v>
      </c>
      <c r="T252" s="84" t="s">
        <v>739</v>
      </c>
      <c r="U252" s="86">
        <v>1.0</v>
      </c>
      <c r="V252" s="73">
        <v>1.15</v>
      </c>
      <c r="W252" s="83">
        <f t="shared" si="172"/>
        <v>1.597733711</v>
      </c>
      <c r="X252" s="83">
        <f t="shared" si="169"/>
        <v>1.002642194</v>
      </c>
      <c r="Y252" s="83">
        <f t="shared" si="170"/>
        <v>0.2619747643</v>
      </c>
    </row>
    <row r="253" ht="26.25" customHeight="1">
      <c r="A253" s="72"/>
      <c r="B253" s="73" t="s">
        <v>1074</v>
      </c>
      <c r="C253" s="74" t="s">
        <v>1101</v>
      </c>
      <c r="D253" s="75">
        <v>727.0</v>
      </c>
      <c r="E253" s="75" t="s">
        <v>1102</v>
      </c>
      <c r="F253" s="88"/>
      <c r="G253" s="77" t="s">
        <v>658</v>
      </c>
      <c r="H253" s="77">
        <f>727*3</f>
        <v>2181</v>
      </c>
      <c r="I253" s="77">
        <v>1.0</v>
      </c>
      <c r="J253" s="78">
        <f t="shared" si="153"/>
        <v>13.11889648</v>
      </c>
      <c r="K253" s="79">
        <f t="shared" si="2"/>
        <v>144.564121</v>
      </c>
      <c r="L253" s="80" t="s">
        <v>658</v>
      </c>
      <c r="M253" s="81">
        <v>15.0</v>
      </c>
      <c r="N253" s="81" t="s">
        <v>659</v>
      </c>
      <c r="O253" s="82">
        <v>90.023753</v>
      </c>
      <c r="P253" s="82">
        <v>82.897862</v>
      </c>
      <c r="Q253" s="82">
        <f t="shared" si="166"/>
        <v>7.125891</v>
      </c>
      <c r="R253" s="78">
        <f t="shared" si="167"/>
        <v>13.11889648</v>
      </c>
      <c r="S253" s="83">
        <f t="shared" si="168"/>
        <v>145.9639366</v>
      </c>
      <c r="T253" s="84" t="s">
        <v>739</v>
      </c>
      <c r="U253" s="86">
        <v>1.0</v>
      </c>
      <c r="V253" s="73">
        <v>1.15</v>
      </c>
      <c r="W253" s="83">
        <f>727/392</f>
        <v>1.854591837</v>
      </c>
      <c r="X253" s="83">
        <f t="shared" si="169"/>
        <v>1.009683008</v>
      </c>
      <c r="Y253" s="83">
        <f t="shared" si="170"/>
        <v>1.070950673</v>
      </c>
    </row>
    <row r="254" ht="26.25" customHeight="1">
      <c r="A254" s="72"/>
      <c r="B254" s="73" t="s">
        <v>1103</v>
      </c>
      <c r="C254" s="87" t="s">
        <v>656</v>
      </c>
      <c r="D254" s="76"/>
      <c r="E254" s="76"/>
      <c r="F254" s="76" t="s">
        <v>1104</v>
      </c>
      <c r="G254" s="77" t="s">
        <v>689</v>
      </c>
      <c r="H254" s="77">
        <v>74038.0</v>
      </c>
      <c r="I254" s="77">
        <f>20*42</f>
        <v>840</v>
      </c>
      <c r="J254" s="78">
        <f t="shared" ref="J254:J255" si="173">1.15*2*1.22</f>
        <v>2.806</v>
      </c>
      <c r="K254" s="79">
        <f t="shared" ref="K254:K255" si="174">H254/I254/J254/V254/U254*W254</f>
        <v>45.21386409</v>
      </c>
      <c r="L254" s="89" t="s">
        <v>303</v>
      </c>
      <c r="M254" s="85" t="s">
        <v>303</v>
      </c>
      <c r="N254" s="85" t="s">
        <v>303</v>
      </c>
      <c r="O254" s="82" t="s">
        <v>303</v>
      </c>
      <c r="P254" s="82" t="s">
        <v>303</v>
      </c>
      <c r="Q254" s="82" t="s">
        <v>303</v>
      </c>
      <c r="R254" s="78" t="s">
        <v>303</v>
      </c>
      <c r="S254" s="79" t="s">
        <v>303</v>
      </c>
      <c r="T254" s="84" t="s">
        <v>867</v>
      </c>
      <c r="U254" s="86">
        <v>1.0</v>
      </c>
      <c r="V254" s="73">
        <v>1.15</v>
      </c>
      <c r="W254" s="83">
        <f t="shared" ref="W254:W256" si="175">389/235</f>
        <v>1.655319149</v>
      </c>
      <c r="X254" s="83">
        <f>74556/74038</f>
        <v>1.006996407</v>
      </c>
      <c r="Y254" s="83">
        <f>(74556-74038)/(1500000/845)</f>
        <v>0.2918066667</v>
      </c>
    </row>
    <row r="255" ht="26.25" customHeight="1">
      <c r="A255" s="72"/>
      <c r="B255" s="73" t="s">
        <v>1103</v>
      </c>
      <c r="C255" s="87" t="s">
        <v>656</v>
      </c>
      <c r="D255" s="76"/>
      <c r="E255" s="76"/>
      <c r="F255" s="76" t="s">
        <v>1105</v>
      </c>
      <c r="G255" s="77" t="s">
        <v>689</v>
      </c>
      <c r="H255" s="77">
        <v>76794.0</v>
      </c>
      <c r="I255" s="77">
        <f>6*(47+33+13)</f>
        <v>558</v>
      </c>
      <c r="J255" s="78">
        <f t="shared" si="173"/>
        <v>2.806</v>
      </c>
      <c r="K255" s="79">
        <f t="shared" si="174"/>
        <v>67.23571435</v>
      </c>
      <c r="L255" s="89" t="s">
        <v>303</v>
      </c>
      <c r="M255" s="85" t="s">
        <v>303</v>
      </c>
      <c r="N255" s="85" t="s">
        <v>303</v>
      </c>
      <c r="O255" s="82" t="s">
        <v>303</v>
      </c>
      <c r="P255" s="82" t="s">
        <v>303</v>
      </c>
      <c r="Q255" s="82" t="s">
        <v>303</v>
      </c>
      <c r="R255" s="78" t="s">
        <v>303</v>
      </c>
      <c r="S255" s="79" t="s">
        <v>303</v>
      </c>
      <c r="T255" s="84" t="s">
        <v>867</v>
      </c>
      <c r="U255" s="78">
        <v>1.05</v>
      </c>
      <c r="V255" s="73">
        <v>1.15</v>
      </c>
      <c r="W255" s="83">
        <f t="shared" si="175"/>
        <v>1.655319149</v>
      </c>
      <c r="X255" s="83">
        <f>76331/76794</f>
        <v>0.9939708831</v>
      </c>
      <c r="Y255" s="83">
        <f>(76331-76794)/(1500000/845)</f>
        <v>-0.2608233333</v>
      </c>
    </row>
    <row r="256" ht="26.25" customHeight="1">
      <c r="A256" s="72"/>
      <c r="B256" s="73" t="s">
        <v>1103</v>
      </c>
      <c r="C256" s="87" t="s">
        <v>656</v>
      </c>
      <c r="D256" s="75">
        <v>389.0</v>
      </c>
      <c r="E256" s="75" t="s">
        <v>1106</v>
      </c>
      <c r="F256" s="76"/>
      <c r="G256" s="77" t="s">
        <v>658</v>
      </c>
      <c r="H256" s="77">
        <v>389.0</v>
      </c>
      <c r="I256" s="77">
        <v>1.0</v>
      </c>
      <c r="J256" s="78">
        <f t="shared" ref="J256:J257" si="176">IFS(G256="S",21494/2048*1.25,G256="C",1.25*2*1.22,OR(G256="R",G256="T"),1.25*1.22)</f>
        <v>13.11889648</v>
      </c>
      <c r="K256" s="79">
        <f t="shared" ref="K256:K257" si="177">H256/I256/J256/V256/U256</f>
        <v>25.78424717</v>
      </c>
      <c r="L256" s="80" t="s">
        <v>658</v>
      </c>
      <c r="M256" s="92">
        <v>69.0</v>
      </c>
      <c r="N256" s="92" t="s">
        <v>659</v>
      </c>
      <c r="O256" s="82">
        <v>90.023753</v>
      </c>
      <c r="P256" s="82">
        <v>83.491686</v>
      </c>
      <c r="Q256" s="82">
        <f t="shared" ref="Q256:Q257" si="178">O256-P256</f>
        <v>6.532067</v>
      </c>
      <c r="R256" s="78">
        <f t="shared" ref="R256:R257" si="179">IFS(L256="S",21494/2048*1.25)</f>
        <v>13.11889648</v>
      </c>
      <c r="S256" s="83">
        <f t="shared" ref="S256:S257" si="180">IFS(N256="B",Q256/M256/100*249945/R256/V256/U256
*W256,N256="C",Q256/M256/100*249945/R256/V256/U256
)</f>
        <v>25.9616677</v>
      </c>
      <c r="T256" s="84" t="s">
        <v>660</v>
      </c>
      <c r="U256" s="86">
        <v>1.0</v>
      </c>
      <c r="V256" s="73">
        <v>1.15</v>
      </c>
      <c r="W256" s="83">
        <f t="shared" si="175"/>
        <v>1.655319149</v>
      </c>
      <c r="X256" s="83">
        <f t="shared" ref="X256:X257" si="181">S256/K256</f>
        <v>1.006880966</v>
      </c>
      <c r="Y256" s="83">
        <f t="shared" ref="Y256:Y257" si="182">(S256-K256)*M256*U256*V256*J256/(249945/845)</f>
        <v>0.6243963526</v>
      </c>
    </row>
    <row r="257" ht="26.25" customHeight="1">
      <c r="A257" s="85"/>
      <c r="B257" s="85" t="s">
        <v>1103</v>
      </c>
      <c r="C257" s="74" t="s">
        <v>947</v>
      </c>
      <c r="D257" s="75">
        <v>564.0</v>
      </c>
      <c r="E257" s="75" t="s">
        <v>1107</v>
      </c>
      <c r="F257" s="76"/>
      <c r="G257" s="77" t="s">
        <v>658</v>
      </c>
      <c r="H257" s="77">
        <v>564.0</v>
      </c>
      <c r="I257" s="77">
        <v>1.0</v>
      </c>
      <c r="J257" s="78">
        <f t="shared" si="176"/>
        <v>13.11889648</v>
      </c>
      <c r="K257" s="79">
        <f t="shared" si="177"/>
        <v>35.60366117</v>
      </c>
      <c r="L257" s="80" t="s">
        <v>658</v>
      </c>
      <c r="M257" s="81">
        <v>56.0</v>
      </c>
      <c r="N257" s="81" t="s">
        <v>659</v>
      </c>
      <c r="O257" s="82">
        <v>90.023753</v>
      </c>
      <c r="P257" s="82">
        <v>82.779097</v>
      </c>
      <c r="Q257" s="82">
        <f t="shared" si="178"/>
        <v>7.244656</v>
      </c>
      <c r="R257" s="78">
        <f t="shared" si="179"/>
        <v>13.11889648</v>
      </c>
      <c r="S257" s="83">
        <f t="shared" si="180"/>
        <v>35.75304064</v>
      </c>
      <c r="T257" s="84" t="s">
        <v>757</v>
      </c>
      <c r="U257" s="78">
        <v>1.05</v>
      </c>
      <c r="V257" s="85">
        <v>1.15</v>
      </c>
      <c r="W257" s="83">
        <f>564/322</f>
        <v>1.751552795</v>
      </c>
      <c r="X257" s="83">
        <f t="shared" si="181"/>
        <v>1.004195621</v>
      </c>
      <c r="Y257" s="83">
        <f t="shared" si="182"/>
        <v>0.4479975559</v>
      </c>
    </row>
    <row r="258" ht="26.25" customHeight="1">
      <c r="A258" s="72"/>
      <c r="B258" s="85" t="s">
        <v>1103</v>
      </c>
      <c r="C258" s="74" t="s">
        <v>947</v>
      </c>
      <c r="D258" s="76"/>
      <c r="E258" s="76"/>
      <c r="F258" s="76" t="s">
        <v>1108</v>
      </c>
      <c r="G258" s="77" t="s">
        <v>689</v>
      </c>
      <c r="H258" s="77">
        <v>56749.0</v>
      </c>
      <c r="I258" s="77">
        <f>7*64</f>
        <v>448</v>
      </c>
      <c r="J258" s="78">
        <f t="shared" ref="J258:J259" si="183">1.15*2*1.22</f>
        <v>2.806</v>
      </c>
      <c r="K258" s="79">
        <f t="shared" ref="K258:K259" si="184">H258/I258/J258/V258/U258*W258</f>
        <v>65.4921968</v>
      </c>
      <c r="L258" s="89" t="s">
        <v>303</v>
      </c>
      <c r="M258" s="85" t="s">
        <v>303</v>
      </c>
      <c r="N258" s="85" t="s">
        <v>303</v>
      </c>
      <c r="O258" s="82" t="s">
        <v>303</v>
      </c>
      <c r="P258" s="82" t="s">
        <v>303</v>
      </c>
      <c r="Q258" s="82" t="s">
        <v>303</v>
      </c>
      <c r="R258" s="78" t="s">
        <v>303</v>
      </c>
      <c r="S258" s="79" t="s">
        <v>303</v>
      </c>
      <c r="T258" s="84" t="s">
        <v>867</v>
      </c>
      <c r="U258" s="78">
        <v>1.05</v>
      </c>
      <c r="V258" s="85">
        <v>1.15</v>
      </c>
      <c r="W258" s="83">
        <f t="shared" ref="W258:W260" si="185">487/278</f>
        <v>1.751798561</v>
      </c>
      <c r="X258" s="83">
        <f>56805/56749</f>
        <v>1.000986802</v>
      </c>
      <c r="Y258" s="83">
        <f>(56805-56749)/(1500000/845)</f>
        <v>0.03154666667</v>
      </c>
    </row>
    <row r="259" ht="26.25" customHeight="1">
      <c r="A259" s="72"/>
      <c r="B259" s="73" t="s">
        <v>1103</v>
      </c>
      <c r="C259" s="87" t="s">
        <v>758</v>
      </c>
      <c r="D259" s="76"/>
      <c r="E259" s="76"/>
      <c r="F259" s="76" t="s">
        <v>1109</v>
      </c>
      <c r="G259" s="77" t="s">
        <v>689</v>
      </c>
      <c r="H259" s="77">
        <v>44512.0</v>
      </c>
      <c r="I259" s="77">
        <f>34*13</f>
        <v>442</v>
      </c>
      <c r="J259" s="78">
        <f t="shared" si="183"/>
        <v>2.806</v>
      </c>
      <c r="K259" s="79">
        <f t="shared" si="184"/>
        <v>54.67055682</v>
      </c>
      <c r="L259" s="89" t="s">
        <v>303</v>
      </c>
      <c r="M259" s="85" t="s">
        <v>303</v>
      </c>
      <c r="N259" s="85" t="s">
        <v>303</v>
      </c>
      <c r="O259" s="82" t="s">
        <v>303</v>
      </c>
      <c r="P259" s="82" t="s">
        <v>303</v>
      </c>
      <c r="Q259" s="82" t="s">
        <v>303</v>
      </c>
      <c r="R259" s="78" t="s">
        <v>303</v>
      </c>
      <c r="S259" s="79" t="s">
        <v>303</v>
      </c>
      <c r="T259" s="84" t="s">
        <v>867</v>
      </c>
      <c r="U259" s="86">
        <v>1.0</v>
      </c>
      <c r="V259" s="73">
        <v>1.15</v>
      </c>
      <c r="W259" s="83">
        <f t="shared" si="185"/>
        <v>1.751798561</v>
      </c>
      <c r="X259" s="83">
        <f>44379/44512</f>
        <v>0.9970120417</v>
      </c>
      <c r="Y259" s="83">
        <f>(44379-44512)/(1500000/845)</f>
        <v>-0.07492333333</v>
      </c>
    </row>
    <row r="260" ht="26.25" customHeight="1">
      <c r="A260" s="72"/>
      <c r="B260" s="73" t="s">
        <v>1103</v>
      </c>
      <c r="C260" s="87" t="s">
        <v>758</v>
      </c>
      <c r="D260" s="75">
        <v>487.0</v>
      </c>
      <c r="E260" s="75" t="s">
        <v>1110</v>
      </c>
      <c r="F260" s="76"/>
      <c r="G260" s="77" t="s">
        <v>658</v>
      </c>
      <c r="H260" s="77">
        <v>487.0</v>
      </c>
      <c r="I260" s="77">
        <v>1.0</v>
      </c>
      <c r="J260" s="78">
        <f t="shared" ref="J260:J263" si="186">IFS(G260="S",21494/2048*1.25,G260="C",1.25*2*1.22,OR(G260="R",G260="T"),1.25*1.22)</f>
        <v>13.11889648</v>
      </c>
      <c r="K260" s="79">
        <f t="shared" ref="K260:K263" si="187">H260/I260/J260/V260/U260</f>
        <v>32.28002152</v>
      </c>
      <c r="L260" s="80" t="s">
        <v>658</v>
      </c>
      <c r="M260" s="81">
        <v>63.0</v>
      </c>
      <c r="N260" s="81" t="s">
        <v>659</v>
      </c>
      <c r="O260" s="82">
        <v>90.023753</v>
      </c>
      <c r="P260" s="82">
        <v>83.016627</v>
      </c>
      <c r="Q260" s="82">
        <f t="shared" ref="Q260:Q261" si="188">O260-P260</f>
        <v>7.007126</v>
      </c>
      <c r="R260" s="78">
        <f t="shared" ref="R260:R261" si="189">IFS(L260="S",21494/2048*1.25)</f>
        <v>13.11889648</v>
      </c>
      <c r="S260" s="83">
        <f t="shared" ref="S260:S261" si="190">IFS(N260="B",Q260/M260/100*249945/R260/V260/U260
*W260,N260="C",Q260/M260/100*249945/R260/V260/U260
)</f>
        <v>32.27994979</v>
      </c>
      <c r="T260" s="84" t="s">
        <v>896</v>
      </c>
      <c r="U260" s="86">
        <v>1.0</v>
      </c>
      <c r="V260" s="73">
        <v>1.15</v>
      </c>
      <c r="W260" s="83">
        <f t="shared" si="185"/>
        <v>1.751798561</v>
      </c>
      <c r="X260" s="83">
        <f t="shared" ref="X260:X261" si="191">S260/K260</f>
        <v>0.9999977778</v>
      </c>
      <c r="Y260" s="83">
        <f t="shared" ref="Y260:Y261" si="192">(S260-K260)*M260*U260*V260*J260/(249945/845)</f>
        <v>-0.0002304949642</v>
      </c>
    </row>
    <row r="261" ht="26.25" customHeight="1">
      <c r="A261" s="85"/>
      <c r="B261" s="85" t="s">
        <v>1103</v>
      </c>
      <c r="C261" s="74" t="s">
        <v>1111</v>
      </c>
      <c r="D261" s="75">
        <v>494.0</v>
      </c>
      <c r="E261" s="75" t="s">
        <v>1112</v>
      </c>
      <c r="F261" s="76"/>
      <c r="G261" s="77" t="s">
        <v>658</v>
      </c>
      <c r="H261" s="77">
        <v>494.0</v>
      </c>
      <c r="I261" s="77">
        <v>1.0</v>
      </c>
      <c r="J261" s="78">
        <f t="shared" si="186"/>
        <v>13.11889648</v>
      </c>
      <c r="K261" s="79">
        <f t="shared" si="187"/>
        <v>31.18476705</v>
      </c>
      <c r="L261" s="80" t="s">
        <v>658</v>
      </c>
      <c r="M261" s="81">
        <v>52.0</v>
      </c>
      <c r="N261" s="81" t="s">
        <v>659</v>
      </c>
      <c r="O261" s="82">
        <v>90.023753</v>
      </c>
      <c r="P261" s="82">
        <v>84.56057</v>
      </c>
      <c r="Q261" s="82">
        <f t="shared" si="188"/>
        <v>5.463183</v>
      </c>
      <c r="R261" s="78">
        <f t="shared" si="189"/>
        <v>13.11889648</v>
      </c>
      <c r="S261" s="83">
        <f t="shared" si="190"/>
        <v>31.37536992</v>
      </c>
      <c r="T261" s="84" t="s">
        <v>757</v>
      </c>
      <c r="U261" s="78">
        <v>1.05</v>
      </c>
      <c r="V261" s="85">
        <v>1.15</v>
      </c>
      <c r="W261" s="83">
        <f>494/261</f>
        <v>1.892720307</v>
      </c>
      <c r="X261" s="83">
        <f t="shared" si="191"/>
        <v>1.00611205</v>
      </c>
      <c r="Y261" s="83">
        <f t="shared" si="192"/>
        <v>0.5307982493</v>
      </c>
    </row>
    <row r="262" ht="26.25" customHeight="1">
      <c r="A262" s="72"/>
      <c r="B262" s="73" t="s">
        <v>1103</v>
      </c>
      <c r="C262" s="87" t="s">
        <v>435</v>
      </c>
      <c r="D262" s="76"/>
      <c r="E262" s="76"/>
      <c r="F262" s="76" t="s">
        <v>1113</v>
      </c>
      <c r="G262" s="77" t="s">
        <v>704</v>
      </c>
      <c r="H262" s="77">
        <f>11393*1.5</f>
        <v>17089.5</v>
      </c>
      <c r="I262" s="77">
        <f t="shared" ref="I262:I263" si="193">36+36+6</f>
        <v>78</v>
      </c>
      <c r="J262" s="78">
        <f t="shared" si="186"/>
        <v>1.525</v>
      </c>
      <c r="K262" s="79">
        <f t="shared" si="187"/>
        <v>113.5728135</v>
      </c>
      <c r="L262" s="89" t="s">
        <v>303</v>
      </c>
      <c r="M262" s="85" t="s">
        <v>303</v>
      </c>
      <c r="N262" s="85" t="s">
        <v>303</v>
      </c>
      <c r="O262" s="82" t="s">
        <v>303</v>
      </c>
      <c r="P262" s="82" t="s">
        <v>303</v>
      </c>
      <c r="Q262" s="82" t="s">
        <v>303</v>
      </c>
      <c r="R262" s="78" t="s">
        <v>303</v>
      </c>
      <c r="S262" s="79" t="s">
        <v>303</v>
      </c>
      <c r="T262" s="84" t="s">
        <v>705</v>
      </c>
      <c r="U262" s="86">
        <v>1.1</v>
      </c>
      <c r="V262" s="73">
        <v>1.15</v>
      </c>
      <c r="W262" s="79">
        <f t="shared" ref="W262:W263" si="194">535/309</f>
        <v>1.731391586</v>
      </c>
      <c r="X262" s="83">
        <f>124260/119624</f>
        <v>1.038754765</v>
      </c>
      <c r="Y262" s="83">
        <f>(124260-119624)/(1500000/845)</f>
        <v>2.611613333</v>
      </c>
    </row>
    <row r="263" ht="26.25" customHeight="1">
      <c r="A263" s="72"/>
      <c r="B263" s="73" t="s">
        <v>1103</v>
      </c>
      <c r="C263" s="87" t="s">
        <v>435</v>
      </c>
      <c r="D263" s="75">
        <v>535.0</v>
      </c>
      <c r="E263" s="75" t="s">
        <v>1114</v>
      </c>
      <c r="F263" s="76" t="s">
        <v>1115</v>
      </c>
      <c r="G263" s="77" t="s">
        <v>704</v>
      </c>
      <c r="H263" s="77">
        <f>5774*1.5</f>
        <v>8661</v>
      </c>
      <c r="I263" s="77">
        <f t="shared" si="193"/>
        <v>78</v>
      </c>
      <c r="J263" s="78">
        <f t="shared" si="186"/>
        <v>1.525</v>
      </c>
      <c r="K263" s="79">
        <f t="shared" si="187"/>
        <v>57.55897702</v>
      </c>
      <c r="L263" s="80" t="s">
        <v>704</v>
      </c>
      <c r="M263" s="81">
        <v>78.0</v>
      </c>
      <c r="N263" s="79" t="s">
        <v>689</v>
      </c>
      <c r="O263" s="82">
        <v>99.526627</v>
      </c>
      <c r="P263" s="82">
        <v>94.911243</v>
      </c>
      <c r="Q263" s="82">
        <f>O263-P263</f>
        <v>4.615384</v>
      </c>
      <c r="R263" s="78">
        <f>1.25*1.22</f>
        <v>1.525</v>
      </c>
      <c r="S263" s="83">
        <f>IFS(N263="B",Q263/M263/100*182596/R263/V263/U263
*W263,N263="C",Q263/M263/100*182596/R263/V263/U263
)</f>
        <v>56.00723437</v>
      </c>
      <c r="T263" s="84" t="s">
        <v>705</v>
      </c>
      <c r="U263" s="86">
        <v>1.1</v>
      </c>
      <c r="V263" s="73">
        <v>1.15</v>
      </c>
      <c r="W263" s="79">
        <f t="shared" si="194"/>
        <v>1.731391586</v>
      </c>
      <c r="X263" s="83">
        <f>S263/K263</f>
        <v>0.9730408231</v>
      </c>
      <c r="Y263" s="83">
        <f>(S263-K263)*M263*U263*V263*J263/(249945/845)</f>
        <v>-0.7893814619</v>
      </c>
    </row>
    <row r="264" ht="26.25" customHeight="1">
      <c r="A264" s="72"/>
      <c r="B264" s="73" t="s">
        <v>1103</v>
      </c>
      <c r="C264" s="87" t="s">
        <v>740</v>
      </c>
      <c r="D264" s="76"/>
      <c r="E264" s="76"/>
      <c r="F264" s="76" t="s">
        <v>1116</v>
      </c>
      <c r="G264" s="77" t="s">
        <v>689</v>
      </c>
      <c r="H264" s="77">
        <v>48061.0</v>
      </c>
      <c r="I264" s="77">
        <f>45*13</f>
        <v>585</v>
      </c>
      <c r="J264" s="78">
        <f>1.15*2*1.22</f>
        <v>2.806</v>
      </c>
      <c r="K264" s="79">
        <f>H264/I264/J264/V264/U264*W264</f>
        <v>48.20820783</v>
      </c>
      <c r="L264" s="89" t="s">
        <v>303</v>
      </c>
      <c r="M264" s="85" t="s">
        <v>303</v>
      </c>
      <c r="N264" s="85" t="s">
        <v>303</v>
      </c>
      <c r="O264" s="82" t="s">
        <v>303</v>
      </c>
      <c r="P264" s="82" t="s">
        <v>303</v>
      </c>
      <c r="Q264" s="82" t="s">
        <v>303</v>
      </c>
      <c r="R264" s="78" t="s">
        <v>303</v>
      </c>
      <c r="S264" s="79" t="s">
        <v>303</v>
      </c>
      <c r="T264" s="84" t="s">
        <v>867</v>
      </c>
      <c r="U264" s="86">
        <v>1.0</v>
      </c>
      <c r="V264" s="73">
        <v>1.15</v>
      </c>
      <c r="W264" s="83">
        <f t="shared" ref="W264:W265" si="195">409/216</f>
        <v>1.893518519</v>
      </c>
      <c r="X264" s="83">
        <f>47929/48061</f>
        <v>0.9972534904</v>
      </c>
      <c r="Y264" s="83">
        <f>(47929-48061)/(1500000/845)</f>
        <v>-0.07436</v>
      </c>
    </row>
    <row r="265" ht="26.25" customHeight="1">
      <c r="A265" s="72"/>
      <c r="B265" s="73" t="s">
        <v>1103</v>
      </c>
      <c r="C265" s="87" t="s">
        <v>740</v>
      </c>
      <c r="D265" s="75">
        <v>409.0</v>
      </c>
      <c r="E265" s="75" t="s">
        <v>1117</v>
      </c>
      <c r="F265" s="76"/>
      <c r="G265" s="77" t="s">
        <v>658</v>
      </c>
      <c r="H265" s="77">
        <v>409.0</v>
      </c>
      <c r="I265" s="77">
        <v>1.0</v>
      </c>
      <c r="J265" s="78">
        <f t="shared" ref="J265:J267" si="196">IFS(G265="S",21494/2048*1.25,G265="C",1.25*2*1.22,OR(G265="R",G265="T"),1.25*1.22)</f>
        <v>13.11889648</v>
      </c>
      <c r="K265" s="79">
        <f t="shared" ref="K265:K267" si="197">H265/I265/J265/V265/U265</f>
        <v>27.10991541</v>
      </c>
      <c r="L265" s="80" t="s">
        <v>658</v>
      </c>
      <c r="M265" s="92">
        <v>67.0</v>
      </c>
      <c r="N265" s="92" t="s">
        <v>659</v>
      </c>
      <c r="O265" s="82">
        <v>90.023753</v>
      </c>
      <c r="P265" s="82">
        <v>84.204276</v>
      </c>
      <c r="Q265" s="82">
        <f>O265-P265</f>
        <v>5.819477</v>
      </c>
      <c r="R265" s="78">
        <f>IFS(L265="S",21494/2048*1.25)</f>
        <v>13.11889648</v>
      </c>
      <c r="S265" s="83">
        <f>IFS(N265="B",Q265/M265/100*249945/R265/V265/U265
*W265,N265="C",Q265/M265/100*249945/R265/V265/U265
)</f>
        <v>27.24758512</v>
      </c>
      <c r="T265" s="84" t="s">
        <v>660</v>
      </c>
      <c r="U265" s="86">
        <v>1.0</v>
      </c>
      <c r="V265" s="73">
        <v>1.15</v>
      </c>
      <c r="W265" s="83">
        <f t="shared" si="195"/>
        <v>1.893518519</v>
      </c>
      <c r="X265" s="83">
        <f>S265/K265</f>
        <v>1.005078205</v>
      </c>
      <c r="Y265" s="83">
        <f>(S265-K265)*M265*U265*V265*J265/(249945/845)</f>
        <v>0.4704577465</v>
      </c>
    </row>
    <row r="266" ht="26.25" customHeight="1">
      <c r="A266" s="72"/>
      <c r="B266" s="73" t="s">
        <v>1103</v>
      </c>
      <c r="C266" s="87" t="s">
        <v>1118</v>
      </c>
      <c r="D266" s="76"/>
      <c r="E266" s="76"/>
      <c r="F266" s="76" t="s">
        <v>1119</v>
      </c>
      <c r="G266" s="77" t="s">
        <v>704</v>
      </c>
      <c r="H266" s="77">
        <f>6607*1.5</f>
        <v>9910.5</v>
      </c>
      <c r="I266" s="77">
        <v>90.0</v>
      </c>
      <c r="J266" s="78">
        <f t="shared" si="196"/>
        <v>1.525</v>
      </c>
      <c r="K266" s="79">
        <f t="shared" si="197"/>
        <v>62.78926111</v>
      </c>
      <c r="L266" s="89" t="s">
        <v>303</v>
      </c>
      <c r="M266" s="85" t="s">
        <v>303</v>
      </c>
      <c r="N266" s="85" t="s">
        <v>303</v>
      </c>
      <c r="O266" s="82" t="s">
        <v>303</v>
      </c>
      <c r="P266" s="82" t="s">
        <v>303</v>
      </c>
      <c r="Q266" s="82" t="s">
        <v>303</v>
      </c>
      <c r="R266" s="78" t="s">
        <v>303</v>
      </c>
      <c r="S266" s="79" t="s">
        <v>303</v>
      </c>
      <c r="T266" s="84" t="s">
        <v>705</v>
      </c>
      <c r="U266" s="86">
        <v>1.0</v>
      </c>
      <c r="V266" s="73">
        <v>1.15</v>
      </c>
      <c r="W266" s="83">
        <f t="shared" ref="W266:W269" si="198">544/341</f>
        <v>1.595307918</v>
      </c>
      <c r="X266" s="83">
        <f>42604/41513</f>
        <v>1.026280924</v>
      </c>
      <c r="Y266" s="83">
        <f>(42604-41513)/(1500000/845)</f>
        <v>0.6145966667</v>
      </c>
    </row>
    <row r="267" ht="26.25" customHeight="1">
      <c r="A267" s="72"/>
      <c r="B267" s="73" t="s">
        <v>1103</v>
      </c>
      <c r="C267" s="87" t="s">
        <v>1118</v>
      </c>
      <c r="D267" s="75"/>
      <c r="E267" s="75"/>
      <c r="F267" s="76" t="s">
        <v>1120</v>
      </c>
      <c r="G267" s="77" t="s">
        <v>704</v>
      </c>
      <c r="H267" s="77">
        <v>14839.0</v>
      </c>
      <c r="I267" s="77">
        <f>5*30</f>
        <v>150</v>
      </c>
      <c r="J267" s="78">
        <f t="shared" si="196"/>
        <v>1.525</v>
      </c>
      <c r="K267" s="79">
        <f t="shared" si="197"/>
        <v>56.40864813</v>
      </c>
      <c r="L267" s="89" t="s">
        <v>303</v>
      </c>
      <c r="M267" s="85" t="s">
        <v>303</v>
      </c>
      <c r="N267" s="85" t="s">
        <v>303</v>
      </c>
      <c r="O267" s="82" t="s">
        <v>303</v>
      </c>
      <c r="P267" s="82" t="s">
        <v>303</v>
      </c>
      <c r="Q267" s="82" t="s">
        <v>303</v>
      </c>
      <c r="R267" s="78" t="s">
        <v>303</v>
      </c>
      <c r="S267" s="79" t="s">
        <v>303</v>
      </c>
      <c r="T267" s="84" t="s">
        <v>705</v>
      </c>
      <c r="U267" s="86">
        <v>1.0</v>
      </c>
      <c r="V267" s="73">
        <v>1.15</v>
      </c>
      <c r="W267" s="83">
        <f t="shared" si="198"/>
        <v>1.595307918</v>
      </c>
      <c r="X267" s="83">
        <f>71006/71586</f>
        <v>0.9918978571</v>
      </c>
      <c r="Y267" s="83">
        <f>(71006-71586)/(1500000/845)</f>
        <v>-0.3267333333</v>
      </c>
    </row>
    <row r="268" ht="26.25" customHeight="1">
      <c r="A268" s="72"/>
      <c r="B268" s="73" t="s">
        <v>1103</v>
      </c>
      <c r="C268" s="87" t="s">
        <v>684</v>
      </c>
      <c r="D268" s="76"/>
      <c r="E268" s="76"/>
      <c r="F268" s="76" t="s">
        <v>1109</v>
      </c>
      <c r="G268" s="77" t="s">
        <v>689</v>
      </c>
      <c r="H268" s="77">
        <v>62985.0</v>
      </c>
      <c r="I268" s="77">
        <f>34*15</f>
        <v>510</v>
      </c>
      <c r="J268" s="78">
        <f>1.15*2*1.22</f>
        <v>2.806</v>
      </c>
      <c r="K268" s="79">
        <f>H268/I268/J268/V268/U268*W268</f>
        <v>61.05566577</v>
      </c>
      <c r="L268" s="89" t="s">
        <v>303</v>
      </c>
      <c r="M268" s="85" t="s">
        <v>303</v>
      </c>
      <c r="N268" s="85" t="s">
        <v>303</v>
      </c>
      <c r="O268" s="82" t="s">
        <v>303</v>
      </c>
      <c r="P268" s="82" t="s">
        <v>303</v>
      </c>
      <c r="Q268" s="82" t="s">
        <v>303</v>
      </c>
      <c r="R268" s="78" t="s">
        <v>303</v>
      </c>
      <c r="S268" s="79" t="s">
        <v>303</v>
      </c>
      <c r="T268" s="84" t="s">
        <v>867</v>
      </c>
      <c r="U268" s="86">
        <v>1.0</v>
      </c>
      <c r="V268" s="73">
        <v>1.15</v>
      </c>
      <c r="W268" s="83">
        <f t="shared" si="198"/>
        <v>1.595307918</v>
      </c>
      <c r="X268" s="83">
        <f>63905/62985</f>
        <v>1.014606652</v>
      </c>
      <c r="Y268" s="83">
        <f>(63905-62985)/(1500000/845)</f>
        <v>0.5182666667</v>
      </c>
    </row>
    <row r="269" ht="26.25" customHeight="1">
      <c r="A269" s="72"/>
      <c r="B269" s="73" t="s">
        <v>1103</v>
      </c>
      <c r="C269" s="87" t="s">
        <v>684</v>
      </c>
      <c r="D269" s="75">
        <v>544.0</v>
      </c>
      <c r="E269" s="75" t="s">
        <v>1121</v>
      </c>
      <c r="F269" s="76"/>
      <c r="G269" s="77" t="s">
        <v>658</v>
      </c>
      <c r="H269" s="77">
        <v>544.0</v>
      </c>
      <c r="I269" s="77">
        <v>1.0</v>
      </c>
      <c r="J269" s="78">
        <f t="shared" ref="J269:J272" si="199">IFS(G269="S",21494/2048*1.25,G269="C",1.25*2*1.22,OR(G269="R",G269="T"),1.25*1.22)</f>
        <v>13.11889648</v>
      </c>
      <c r="K269" s="79">
        <f t="shared" ref="K269:K272" si="200">H269/I269/J269/V269/U269</f>
        <v>36.05817599</v>
      </c>
      <c r="L269" s="80" t="s">
        <v>658</v>
      </c>
      <c r="M269" s="81">
        <v>34.0</v>
      </c>
      <c r="N269" s="81" t="s">
        <v>659</v>
      </c>
      <c r="O269" s="82">
        <v>90.023753</v>
      </c>
      <c r="P269" s="82">
        <v>85.391924</v>
      </c>
      <c r="Q269" s="82">
        <f t="shared" ref="Q269:Q272" si="201">O269-P269</f>
        <v>4.631829</v>
      </c>
      <c r="R269" s="78">
        <f t="shared" ref="R269:R270" si="202">IFS(L269="S",21494/2048*1.25)</f>
        <v>13.11889648</v>
      </c>
      <c r="S269" s="83">
        <f t="shared" ref="S269:S270" si="203">IFS(N269="B",Q269/M269/100*249945/R269/V269/U269
*W269,N269="C",Q269/M269/100*249945/R269/V269/U269
)</f>
        <v>36.0053825</v>
      </c>
      <c r="T269" s="84" t="s">
        <v>660</v>
      </c>
      <c r="U269" s="86">
        <v>1.0</v>
      </c>
      <c r="V269" s="73">
        <v>1.15</v>
      </c>
      <c r="W269" s="83">
        <f t="shared" si="198"/>
        <v>1.595307918</v>
      </c>
      <c r="X269" s="83">
        <f t="shared" ref="X269:X272" si="204">S269/K269</f>
        <v>0.9985358801</v>
      </c>
      <c r="Y269" s="83">
        <f t="shared" ref="Y269:Y270" si="205">(S269-K269)*M269*U269*V269*J269/(249945/845)</f>
        <v>-0.09155176291</v>
      </c>
    </row>
    <row r="270" ht="26.25" customHeight="1">
      <c r="A270" s="72"/>
      <c r="B270" s="73" t="s">
        <v>1103</v>
      </c>
      <c r="C270" s="87" t="s">
        <v>1122</v>
      </c>
      <c r="D270" s="75">
        <v>428.0</v>
      </c>
      <c r="E270" s="75" t="s">
        <v>1123</v>
      </c>
      <c r="F270" s="76" t="s">
        <v>1124</v>
      </c>
      <c r="G270" s="77" t="s">
        <v>658</v>
      </c>
      <c r="H270" s="77">
        <v>428.0</v>
      </c>
      <c r="I270" s="77">
        <v>1.0</v>
      </c>
      <c r="J270" s="78">
        <f t="shared" si="199"/>
        <v>13.11889648</v>
      </c>
      <c r="K270" s="79">
        <f t="shared" si="200"/>
        <v>28.36930023</v>
      </c>
      <c r="L270" s="80" t="s">
        <v>658</v>
      </c>
      <c r="M270" s="81">
        <v>60.0</v>
      </c>
      <c r="N270" s="81" t="s">
        <v>659</v>
      </c>
      <c r="O270" s="82">
        <v>90.023753</v>
      </c>
      <c r="P270" s="82">
        <v>83.729216</v>
      </c>
      <c r="Q270" s="82">
        <f t="shared" si="201"/>
        <v>6.294537</v>
      </c>
      <c r="R270" s="78">
        <f t="shared" si="202"/>
        <v>13.11889648</v>
      </c>
      <c r="S270" s="83">
        <f t="shared" si="203"/>
        <v>28.8327397</v>
      </c>
      <c r="T270" s="84" t="s">
        <v>739</v>
      </c>
      <c r="U270" s="86">
        <v>1.0</v>
      </c>
      <c r="V270" s="73">
        <v>1.15</v>
      </c>
      <c r="W270" s="83">
        <f t="shared" ref="W270:W271" si="206">428/258</f>
        <v>1.658914729</v>
      </c>
      <c r="X270" s="83">
        <f t="shared" si="204"/>
        <v>1.01633595</v>
      </c>
      <c r="Y270" s="83">
        <f t="shared" si="205"/>
        <v>1.418246329</v>
      </c>
    </row>
    <row r="271" ht="26.25" customHeight="1">
      <c r="A271" s="72"/>
      <c r="B271" s="73" t="s">
        <v>1103</v>
      </c>
      <c r="C271" s="87" t="s">
        <v>1122</v>
      </c>
      <c r="D271" s="76"/>
      <c r="E271" s="76"/>
      <c r="F271" s="76" t="s">
        <v>1125</v>
      </c>
      <c r="G271" s="77" t="s">
        <v>704</v>
      </c>
      <c r="H271" s="77">
        <f>4671*1.5</f>
        <v>7006.5</v>
      </c>
      <c r="I271" s="77">
        <v>55.0</v>
      </c>
      <c r="J271" s="78">
        <f t="shared" si="199"/>
        <v>1.525</v>
      </c>
      <c r="K271" s="79">
        <f t="shared" si="200"/>
        <v>72.63914987</v>
      </c>
      <c r="L271" s="80" t="s">
        <v>704</v>
      </c>
      <c r="M271" s="81">
        <v>55.0</v>
      </c>
      <c r="N271" s="81" t="s">
        <v>689</v>
      </c>
      <c r="O271" s="82">
        <v>99.526627</v>
      </c>
      <c r="P271" s="82">
        <v>95.857988</v>
      </c>
      <c r="Q271" s="82">
        <f t="shared" si="201"/>
        <v>3.668639</v>
      </c>
      <c r="R271" s="78">
        <f>1.25*1.22</f>
        <v>1.525</v>
      </c>
      <c r="S271" s="83">
        <f>IFS(N271="B",Q271/M271/100*182596/R271/V271/U271
*W271,N271="C",Q271/M271/100*182596/R271/V271/U271
)</f>
        <v>69.44897887</v>
      </c>
      <c r="T271" s="84" t="s">
        <v>705</v>
      </c>
      <c r="U271" s="86">
        <v>1.0</v>
      </c>
      <c r="V271" s="73">
        <v>1.15</v>
      </c>
      <c r="W271" s="83">
        <f t="shared" si="206"/>
        <v>1.658914729</v>
      </c>
      <c r="X271" s="83">
        <f t="shared" si="204"/>
        <v>0.9560819337</v>
      </c>
      <c r="Y271" s="83">
        <f>(S271-K271)*M271*U271*V271*J271/(182596/845)</f>
        <v>-1.423999333</v>
      </c>
    </row>
    <row r="272" ht="26.25" customHeight="1">
      <c r="A272" s="72"/>
      <c r="B272" s="73" t="s">
        <v>1103</v>
      </c>
      <c r="C272" s="87" t="s">
        <v>1122</v>
      </c>
      <c r="D272" s="75">
        <v>389.0</v>
      </c>
      <c r="E272" s="75" t="s">
        <v>1106</v>
      </c>
      <c r="F272" s="76"/>
      <c r="G272" s="77" t="s">
        <v>658</v>
      </c>
      <c r="H272" s="77">
        <v>389.0</v>
      </c>
      <c r="I272" s="77">
        <v>1.0</v>
      </c>
      <c r="J272" s="78">
        <f t="shared" si="199"/>
        <v>13.11889648</v>
      </c>
      <c r="K272" s="79">
        <f t="shared" si="200"/>
        <v>25.78424717</v>
      </c>
      <c r="L272" s="80" t="s">
        <v>658</v>
      </c>
      <c r="M272" s="81">
        <v>47.0</v>
      </c>
      <c r="N272" s="81" t="s">
        <v>659</v>
      </c>
      <c r="O272" s="82">
        <v>90.023753</v>
      </c>
      <c r="P272" s="82">
        <v>85.510689</v>
      </c>
      <c r="Q272" s="82">
        <f t="shared" si="201"/>
        <v>4.513064</v>
      </c>
      <c r="R272" s="78">
        <f>IFS(L272="S",21494/2048*1.25)</f>
        <v>13.11889648</v>
      </c>
      <c r="S272" s="83">
        <f>IFS(N272="B",Q272/M272/100*249945/R272/V272/U272
*W272,N272="C",Q272/M272/100*249945/R272/V272/U272
)</f>
        <v>26.33326328</v>
      </c>
      <c r="T272" s="84" t="s">
        <v>739</v>
      </c>
      <c r="U272" s="86">
        <v>1.0</v>
      </c>
      <c r="V272" s="73">
        <v>1.15</v>
      </c>
      <c r="W272" s="83">
        <f>389/235</f>
        <v>1.655319149</v>
      </c>
      <c r="X272" s="83">
        <f t="shared" si="204"/>
        <v>1.021292695</v>
      </c>
      <c r="Y272" s="83">
        <f>(S272-K272)*M272*U272*V272*J272/(249945/845)</f>
        <v>1.316104413</v>
      </c>
    </row>
    <row r="273" ht="26.25" customHeight="1">
      <c r="A273" s="72"/>
      <c r="B273" s="73" t="s">
        <v>1103</v>
      </c>
      <c r="C273" s="87" t="s">
        <v>1126</v>
      </c>
      <c r="D273" s="76"/>
      <c r="E273" s="76"/>
      <c r="F273" s="76" t="s">
        <v>1127</v>
      </c>
      <c r="G273" s="77" t="s">
        <v>689</v>
      </c>
      <c r="H273" s="77">
        <v>65506.0</v>
      </c>
      <c r="I273" s="77">
        <f>35*7</f>
        <v>245</v>
      </c>
      <c r="J273" s="78">
        <f>1.15*2*1.22</f>
        <v>2.806</v>
      </c>
      <c r="K273" s="79">
        <f>H273/I273/J273/V273/U273*W273</f>
        <v>79.70257284</v>
      </c>
      <c r="L273" s="89" t="s">
        <v>303</v>
      </c>
      <c r="M273" s="85" t="s">
        <v>303</v>
      </c>
      <c r="N273" s="85" t="s">
        <v>303</v>
      </c>
      <c r="O273" s="82" t="s">
        <v>303</v>
      </c>
      <c r="P273" s="82" t="s">
        <v>303</v>
      </c>
      <c r="Q273" s="82" t="s">
        <v>303</v>
      </c>
      <c r="R273" s="78" t="s">
        <v>303</v>
      </c>
      <c r="S273" s="79" t="s">
        <v>303</v>
      </c>
      <c r="T273" s="84" t="s">
        <v>867</v>
      </c>
      <c r="U273" s="78">
        <v>1.05</v>
      </c>
      <c r="V273" s="73">
        <v>1.15</v>
      </c>
      <c r="W273" s="83">
        <f t="shared" ref="W273:W274" si="207">806/798</f>
        <v>1.010025063</v>
      </c>
      <c r="X273" s="83">
        <f>65680/65506</f>
        <v>1.002656245</v>
      </c>
      <c r="Y273" s="83">
        <f>(65680-65506)/(1500000/845)</f>
        <v>0.09802</v>
      </c>
    </row>
    <row r="274" ht="26.25" customHeight="1">
      <c r="A274" s="72"/>
      <c r="B274" s="73" t="s">
        <v>1103</v>
      </c>
      <c r="C274" s="87" t="s">
        <v>1126</v>
      </c>
      <c r="D274" s="75">
        <v>806.0</v>
      </c>
      <c r="E274" s="75" t="s">
        <v>1128</v>
      </c>
      <c r="F274" s="76" t="s">
        <v>1129</v>
      </c>
      <c r="G274" s="77" t="s">
        <v>658</v>
      </c>
      <c r="H274" s="77">
        <v>806.0</v>
      </c>
      <c r="I274" s="77">
        <v>1.0</v>
      </c>
      <c r="J274" s="78">
        <f t="shared" ref="J274:J296" si="208">IFS(G274="S",21494/2048*1.25,G274="C",1.25*2*1.22,OR(G274="R",G274="T"),1.25*1.22)</f>
        <v>13.11889648</v>
      </c>
      <c r="K274" s="79">
        <f t="shared" ref="K274:K308" si="209">H274/I274/J274/V274/U274</f>
        <v>53.42442987</v>
      </c>
      <c r="L274" s="80" t="s">
        <v>658</v>
      </c>
      <c r="M274" s="81">
        <v>35.0</v>
      </c>
      <c r="N274" s="81" t="s">
        <v>659</v>
      </c>
      <c r="O274" s="82">
        <v>81.11639</v>
      </c>
      <c r="P274" s="82">
        <v>69.833729</v>
      </c>
      <c r="Q274" s="82">
        <f t="shared" ref="Q274:Q275" si="210">O274-P274</f>
        <v>11.282661</v>
      </c>
      <c r="R274" s="78">
        <f t="shared" ref="R274:R275" si="211">IFS(L274="S",21494/2048*1.25)</f>
        <v>13.11889648</v>
      </c>
      <c r="S274" s="83">
        <f t="shared" ref="S274:S275" si="212">IFS(N274="B",Q274/M274/100*249945/R274/V274/U274
*W274,N274="C",Q274/M274/100*249945/R274/V274/U274
)</f>
        <v>53.94174024</v>
      </c>
      <c r="T274" s="84" t="s">
        <v>739</v>
      </c>
      <c r="U274" s="86">
        <v>1.0</v>
      </c>
      <c r="V274" s="73">
        <v>1.15</v>
      </c>
      <c r="W274" s="83">
        <f t="shared" si="207"/>
        <v>1.010025063</v>
      </c>
      <c r="X274" s="83">
        <f t="shared" ref="X274:X275" si="213">S274/K274</f>
        <v>1.00968303</v>
      </c>
      <c r="Y274" s="83">
        <f t="shared" ref="Y274:Y275" si="214">(S274-K274)*M274*U274*V274*J274/(249945/845)</f>
        <v>0.9234781683</v>
      </c>
    </row>
    <row r="275" ht="26.25" customHeight="1">
      <c r="A275" s="72"/>
      <c r="B275" s="73" t="s">
        <v>1103</v>
      </c>
      <c r="C275" s="87" t="s">
        <v>1126</v>
      </c>
      <c r="D275" s="75">
        <v>487.0</v>
      </c>
      <c r="E275" s="75" t="s">
        <v>1110</v>
      </c>
      <c r="F275" s="76"/>
      <c r="G275" s="77" t="s">
        <v>658</v>
      </c>
      <c r="H275" s="77">
        <v>487.0</v>
      </c>
      <c r="I275" s="77">
        <v>1.0</v>
      </c>
      <c r="J275" s="78">
        <f t="shared" si="208"/>
        <v>13.11889648</v>
      </c>
      <c r="K275" s="79">
        <f t="shared" si="209"/>
        <v>32.28002152</v>
      </c>
      <c r="L275" s="80" t="s">
        <v>658</v>
      </c>
      <c r="M275" s="81">
        <v>70.0</v>
      </c>
      <c r="N275" s="81" t="s">
        <v>659</v>
      </c>
      <c r="O275" s="82">
        <v>90.023753</v>
      </c>
      <c r="P275" s="82">
        <v>82.304038</v>
      </c>
      <c r="Q275" s="82">
        <f t="shared" si="210"/>
        <v>7.719715</v>
      </c>
      <c r="R275" s="78">
        <f t="shared" si="211"/>
        <v>13.11889648</v>
      </c>
      <c r="S275" s="83">
        <f t="shared" si="212"/>
        <v>32.00639054</v>
      </c>
      <c r="T275" s="84" t="s">
        <v>739</v>
      </c>
      <c r="U275" s="86">
        <v>1.0</v>
      </c>
      <c r="V275" s="73">
        <v>1.15</v>
      </c>
      <c r="W275" s="83">
        <f>487/278</f>
        <v>1.751798561</v>
      </c>
      <c r="X275" s="83">
        <f t="shared" si="213"/>
        <v>0.9915232095</v>
      </c>
      <c r="Y275" s="83">
        <f t="shared" si="214"/>
        <v>-0.9769463328</v>
      </c>
    </row>
    <row r="276" ht="26.25" customHeight="1">
      <c r="A276" s="72"/>
      <c r="B276" s="73" t="s">
        <v>1103</v>
      </c>
      <c r="C276" s="87" t="s">
        <v>1130</v>
      </c>
      <c r="D276" s="75">
        <v>487.0</v>
      </c>
      <c r="E276" s="75" t="s">
        <v>1131</v>
      </c>
      <c r="F276" s="76" t="s">
        <v>1132</v>
      </c>
      <c r="G276" s="77" t="s">
        <v>658</v>
      </c>
      <c r="H276" s="77">
        <f>487*70+2445*6</f>
        <v>48760</v>
      </c>
      <c r="I276" s="77">
        <v>70.0</v>
      </c>
      <c r="J276" s="78">
        <f t="shared" si="208"/>
        <v>13.11889648</v>
      </c>
      <c r="K276" s="79">
        <f t="shared" si="209"/>
        <v>46.17113081</v>
      </c>
      <c r="L276" s="89" t="s">
        <v>303</v>
      </c>
      <c r="M276" s="85" t="s">
        <v>303</v>
      </c>
      <c r="N276" s="85" t="s">
        <v>303</v>
      </c>
      <c r="O276" s="82" t="s">
        <v>303</v>
      </c>
      <c r="P276" s="82" t="s">
        <v>303</v>
      </c>
      <c r="Q276" s="82" t="s">
        <v>303</v>
      </c>
      <c r="R276" s="78" t="s">
        <v>303</v>
      </c>
      <c r="S276" s="79" t="s">
        <v>303</v>
      </c>
      <c r="T276" s="84" t="s">
        <v>739</v>
      </c>
      <c r="U276" s="86">
        <v>1.0</v>
      </c>
      <c r="V276" s="73">
        <v>1.15</v>
      </c>
      <c r="W276" s="83">
        <f t="shared" ref="W276:W277" si="215">(35*487+2445*3)/(35*278+2445*3)</f>
        <v>1.428655142</v>
      </c>
      <c r="X276" s="83">
        <f>46154/45753</f>
        <v>1.008764453</v>
      </c>
      <c r="Y276" s="83">
        <f>(46154-45753)/(1500000/845)</f>
        <v>0.2258966667</v>
      </c>
    </row>
    <row r="277" ht="26.25" customHeight="1">
      <c r="A277" s="72"/>
      <c r="B277" s="73" t="s">
        <v>1103</v>
      </c>
      <c r="C277" s="87" t="s">
        <v>1130</v>
      </c>
      <c r="D277" s="76"/>
      <c r="E277" s="76"/>
      <c r="F277" s="76" t="s">
        <v>1133</v>
      </c>
      <c r="G277" s="77" t="s">
        <v>704</v>
      </c>
      <c r="H277" s="77">
        <f>8493*1.5</f>
        <v>12739.5</v>
      </c>
      <c r="I277" s="77">
        <f>35*3</f>
        <v>105</v>
      </c>
      <c r="J277" s="78">
        <f t="shared" si="208"/>
        <v>1.525</v>
      </c>
      <c r="K277" s="79">
        <f t="shared" si="209"/>
        <v>69.18236432</v>
      </c>
      <c r="L277" s="80" t="s">
        <v>704</v>
      </c>
      <c r="M277" s="81">
        <v>105.0</v>
      </c>
      <c r="N277" s="81" t="s">
        <v>689</v>
      </c>
      <c r="O277" s="82">
        <v>99.526627</v>
      </c>
      <c r="P277" s="82">
        <v>92.662722</v>
      </c>
      <c r="Q277" s="82">
        <f>O277-P277</f>
        <v>6.863905</v>
      </c>
      <c r="R277" s="78">
        <f>1.25*1.22</f>
        <v>1.525</v>
      </c>
      <c r="S277" s="83">
        <f>IFS(N277="B",Q277/M277/100*182596/R277/V277/U277
*W277,N277="C",Q277/M277/100*182596/R277/V277/U277
)</f>
        <v>68.06213067</v>
      </c>
      <c r="T277" s="84" t="s">
        <v>705</v>
      </c>
      <c r="U277" s="86">
        <v>1.0</v>
      </c>
      <c r="V277" s="73">
        <v>1.15</v>
      </c>
      <c r="W277" s="83">
        <f t="shared" si="215"/>
        <v>1.428655142</v>
      </c>
      <c r="X277" s="83">
        <f>S277/K277</f>
        <v>0.9838075257</v>
      </c>
      <c r="Y277" s="83">
        <f>(S277-K277)*M277*U277*V277*J277/(182596/845)</f>
        <v>-0.9546211425</v>
      </c>
    </row>
    <row r="278" ht="26.25" customHeight="1">
      <c r="A278" s="72"/>
      <c r="B278" s="73" t="s">
        <v>1103</v>
      </c>
      <c r="C278" s="87" t="s">
        <v>1134</v>
      </c>
      <c r="D278" s="75">
        <v>409.0</v>
      </c>
      <c r="E278" s="75" t="s">
        <v>1117</v>
      </c>
      <c r="F278" s="76" t="s">
        <v>770</v>
      </c>
      <c r="G278" s="77" t="s">
        <v>658</v>
      </c>
      <c r="H278" s="77">
        <v>409.0</v>
      </c>
      <c r="I278" s="77">
        <v>1.0</v>
      </c>
      <c r="J278" s="78">
        <f t="shared" si="208"/>
        <v>13.11889648</v>
      </c>
      <c r="K278" s="79">
        <f t="shared" si="209"/>
        <v>27.10991541</v>
      </c>
      <c r="L278" s="89" t="s">
        <v>303</v>
      </c>
      <c r="M278" s="85" t="s">
        <v>303</v>
      </c>
      <c r="N278" s="85" t="s">
        <v>303</v>
      </c>
      <c r="O278" s="82" t="s">
        <v>303</v>
      </c>
      <c r="P278" s="82" t="s">
        <v>303</v>
      </c>
      <c r="Q278" s="82" t="s">
        <v>303</v>
      </c>
      <c r="R278" s="78" t="s">
        <v>303</v>
      </c>
      <c r="S278" s="79" t="s">
        <v>303</v>
      </c>
      <c r="T278" s="84" t="s">
        <v>739</v>
      </c>
      <c r="U278" s="86">
        <v>1.0</v>
      </c>
      <c r="V278" s="73">
        <v>1.15</v>
      </c>
      <c r="W278" s="83">
        <f t="shared" ref="W278:W280" si="216">409/216</f>
        <v>1.893518519</v>
      </c>
      <c r="X278" s="83">
        <f>58580/58560</f>
        <v>1.00034153</v>
      </c>
      <c r="Y278" s="83">
        <f>(58580-58560)/(1500000/845)</f>
        <v>0.01126666667</v>
      </c>
    </row>
    <row r="279" ht="26.25" customHeight="1">
      <c r="A279" s="72"/>
      <c r="B279" s="73" t="s">
        <v>1103</v>
      </c>
      <c r="C279" s="87" t="s">
        <v>1134</v>
      </c>
      <c r="D279" s="75">
        <v>409.0</v>
      </c>
      <c r="E279" s="75" t="s">
        <v>1135</v>
      </c>
      <c r="F279" s="76" t="s">
        <v>1136</v>
      </c>
      <c r="G279" s="77" t="s">
        <v>704</v>
      </c>
      <c r="H279" s="77">
        <f>4784*1.5</f>
        <v>7176</v>
      </c>
      <c r="I279" s="77">
        <v>108.0</v>
      </c>
      <c r="J279" s="78">
        <f t="shared" si="208"/>
        <v>1.525</v>
      </c>
      <c r="K279" s="79">
        <f t="shared" si="209"/>
        <v>37.8870674</v>
      </c>
      <c r="L279" s="80" t="s">
        <v>704</v>
      </c>
      <c r="M279" s="81">
        <v>108.0</v>
      </c>
      <c r="N279" s="79" t="s">
        <v>689</v>
      </c>
      <c r="O279" s="82">
        <v>99.526627</v>
      </c>
      <c r="P279" s="82">
        <v>95.739645</v>
      </c>
      <c r="Q279" s="82">
        <f t="shared" ref="Q279:Q283" si="217">O279-P279</f>
        <v>3.786982</v>
      </c>
      <c r="R279" s="78">
        <f t="shared" ref="R279:R280" si="218">1.25*1.22</f>
        <v>1.525</v>
      </c>
      <c r="S279" s="83">
        <f t="shared" ref="S279:S280" si="219">IFS(N279="B",Q279/M279/100*182596/R279/V279/U279
*W279,N279="C",Q279/M279/100*182596/R279/V279/U279
)</f>
        <v>36.50842191</v>
      </c>
      <c r="T279" s="84" t="s">
        <v>705</v>
      </c>
      <c r="U279" s="86">
        <v>1.0</v>
      </c>
      <c r="V279" s="73">
        <v>1.15</v>
      </c>
      <c r="W279" s="83">
        <f t="shared" si="216"/>
        <v>1.893518519</v>
      </c>
      <c r="X279" s="83">
        <f t="shared" ref="X279:X283" si="220">S279/K279</f>
        <v>0.963611713</v>
      </c>
      <c r="Y279" s="83">
        <f t="shared" ref="Y279:Y280" si="221">(S279-K279)*M279*U279*V279*J279/(182596/845)</f>
        <v>-1.208396588</v>
      </c>
    </row>
    <row r="280" ht="26.25" customHeight="1">
      <c r="A280" s="72"/>
      <c r="B280" s="73" t="s">
        <v>1103</v>
      </c>
      <c r="C280" s="87" t="s">
        <v>1134</v>
      </c>
      <c r="D280" s="76"/>
      <c r="E280" s="76"/>
      <c r="F280" s="76" t="s">
        <v>1137</v>
      </c>
      <c r="G280" s="77" t="s">
        <v>704</v>
      </c>
      <c r="H280" s="77">
        <f>9271*1.5</f>
        <v>13906.5</v>
      </c>
      <c r="I280" s="77">
        <v>108.0</v>
      </c>
      <c r="J280" s="78">
        <f t="shared" si="208"/>
        <v>1.525</v>
      </c>
      <c r="K280" s="79">
        <f t="shared" si="209"/>
        <v>73.42203215</v>
      </c>
      <c r="L280" s="80" t="s">
        <v>704</v>
      </c>
      <c r="M280" s="81">
        <v>108.0</v>
      </c>
      <c r="N280" s="81" t="s">
        <v>689</v>
      </c>
      <c r="O280" s="82">
        <v>99.526627</v>
      </c>
      <c r="P280" s="82">
        <v>92.071006</v>
      </c>
      <c r="Q280" s="82">
        <f t="shared" si="217"/>
        <v>7.455621</v>
      </c>
      <c r="R280" s="78">
        <f t="shared" si="218"/>
        <v>1.525</v>
      </c>
      <c r="S280" s="83">
        <f t="shared" si="219"/>
        <v>71.87595745</v>
      </c>
      <c r="T280" s="84" t="s">
        <v>705</v>
      </c>
      <c r="U280" s="86">
        <v>1.0</v>
      </c>
      <c r="V280" s="73">
        <v>1.15</v>
      </c>
      <c r="W280" s="83">
        <f t="shared" si="216"/>
        <v>1.893518519</v>
      </c>
      <c r="X280" s="83">
        <f t="shared" si="220"/>
        <v>0.9789426327</v>
      </c>
      <c r="Y280" s="83">
        <f t="shared" si="221"/>
        <v>-1.355149979</v>
      </c>
    </row>
    <row r="281" ht="26.25" customHeight="1">
      <c r="A281" s="72"/>
      <c r="B281" s="73" t="s">
        <v>1138</v>
      </c>
      <c r="C281" s="87" t="s">
        <v>656</v>
      </c>
      <c r="D281" s="75">
        <v>8523.0</v>
      </c>
      <c r="E281" s="75" t="s">
        <v>892</v>
      </c>
      <c r="F281" s="88"/>
      <c r="G281" s="77" t="s">
        <v>658</v>
      </c>
      <c r="H281" s="77">
        <v>8523.0</v>
      </c>
      <c r="I281" s="77">
        <v>1.0</v>
      </c>
      <c r="J281" s="78">
        <f t="shared" si="208"/>
        <v>13.11889648</v>
      </c>
      <c r="K281" s="79">
        <f t="shared" si="209"/>
        <v>564.9335184</v>
      </c>
      <c r="L281" s="80" t="s">
        <v>658</v>
      </c>
      <c r="M281" s="81">
        <v>7.0</v>
      </c>
      <c r="N281" s="81" t="s">
        <v>659</v>
      </c>
      <c r="O281" s="82">
        <v>90.023753</v>
      </c>
      <c r="P281" s="82">
        <v>82.660333</v>
      </c>
      <c r="Q281" s="82">
        <f t="shared" si="217"/>
        <v>7.36342</v>
      </c>
      <c r="R281" s="78">
        <f t="shared" ref="R281:R283" si="222">IFS(L281="S",21494/2048*1.25)</f>
        <v>13.11889648</v>
      </c>
      <c r="S281" s="83">
        <f t="shared" ref="S281:S283" si="223">IFS(N281="B",Q281/M281/100*249945/R281/V281/U281
*W281,N281="C",Q281/M281/100*249945/R281/V281/U281
)</f>
        <v>565.4097018</v>
      </c>
      <c r="T281" s="84" t="s">
        <v>660</v>
      </c>
      <c r="U281" s="86">
        <v>1.0</v>
      </c>
      <c r="V281" s="73">
        <v>1.15</v>
      </c>
      <c r="W281" s="83">
        <f>8523/2627</f>
        <v>3.24438523</v>
      </c>
      <c r="X281" s="83">
        <f t="shared" si="220"/>
        <v>1.000842902</v>
      </c>
      <c r="Y281" s="83">
        <f t="shared" ref="Y281:Y283" si="224">(S281-K281)*M281*U281*V281*J281/(249945/845)</f>
        <v>0.1700120498</v>
      </c>
    </row>
    <row r="282" ht="26.25" customHeight="1">
      <c r="A282" s="72"/>
      <c r="B282" s="73" t="s">
        <v>1138</v>
      </c>
      <c r="C282" s="87" t="s">
        <v>758</v>
      </c>
      <c r="D282" s="75">
        <v>10429.0</v>
      </c>
      <c r="E282" s="75" t="s">
        <v>1139</v>
      </c>
      <c r="F282" s="88"/>
      <c r="G282" s="77" t="s">
        <v>658</v>
      </c>
      <c r="H282" s="77">
        <v>10429.0</v>
      </c>
      <c r="I282" s="77">
        <v>1.0</v>
      </c>
      <c r="J282" s="78">
        <f t="shared" si="208"/>
        <v>13.11889648</v>
      </c>
      <c r="K282" s="79">
        <f t="shared" si="209"/>
        <v>691.2697012</v>
      </c>
      <c r="L282" s="80" t="s">
        <v>658</v>
      </c>
      <c r="M282" s="81">
        <v>8.0</v>
      </c>
      <c r="N282" s="81" t="s">
        <v>659</v>
      </c>
      <c r="O282" s="82">
        <v>90.023753</v>
      </c>
      <c r="P282" s="82">
        <v>80.522565</v>
      </c>
      <c r="Q282" s="82">
        <f t="shared" si="217"/>
        <v>9.501188</v>
      </c>
      <c r="R282" s="78">
        <f t="shared" si="222"/>
        <v>13.11889648</v>
      </c>
      <c r="S282" s="83">
        <f t="shared" si="223"/>
        <v>688.5946366</v>
      </c>
      <c r="T282" s="84" t="s">
        <v>660</v>
      </c>
      <c r="U282" s="86">
        <v>1.0</v>
      </c>
      <c r="V282" s="73">
        <v>1.15</v>
      </c>
      <c r="W282" s="83">
        <f t="shared" ref="W282:W283" si="225">10429/2980</f>
        <v>3.49966443</v>
      </c>
      <c r="X282" s="83">
        <f t="shared" si="220"/>
        <v>0.9961302159</v>
      </c>
      <c r="Y282" s="83">
        <f t="shared" si="224"/>
        <v>-1.091519875</v>
      </c>
    </row>
    <row r="283" ht="26.25" customHeight="1">
      <c r="A283" s="72"/>
      <c r="B283" s="73" t="s">
        <v>1138</v>
      </c>
      <c r="C283" s="87" t="s">
        <v>1140</v>
      </c>
      <c r="D283" s="75">
        <v>10429.0</v>
      </c>
      <c r="E283" s="75" t="s">
        <v>1141</v>
      </c>
      <c r="F283" s="76"/>
      <c r="G283" s="77" t="s">
        <v>658</v>
      </c>
      <c r="H283" s="77">
        <v>10429.0</v>
      </c>
      <c r="I283" s="77">
        <v>1.0</v>
      </c>
      <c r="J283" s="78">
        <f t="shared" si="208"/>
        <v>13.11889648</v>
      </c>
      <c r="K283" s="79">
        <f t="shared" si="209"/>
        <v>691.2697012</v>
      </c>
      <c r="L283" s="80" t="s">
        <v>658</v>
      </c>
      <c r="M283" s="81">
        <v>5.0</v>
      </c>
      <c r="N283" s="81" t="s">
        <v>689</v>
      </c>
      <c r="O283" s="82">
        <v>90.023753</v>
      </c>
      <c r="P283" s="82">
        <v>69.12114</v>
      </c>
      <c r="Q283" s="82">
        <f t="shared" si="217"/>
        <v>20.902613</v>
      </c>
      <c r="R283" s="78">
        <f t="shared" si="222"/>
        <v>13.11889648</v>
      </c>
      <c r="S283" s="83">
        <f t="shared" si="223"/>
        <v>692.5958475</v>
      </c>
      <c r="T283" s="84" t="s">
        <v>739</v>
      </c>
      <c r="U283" s="86">
        <v>1.0</v>
      </c>
      <c r="V283" s="73">
        <v>1.15</v>
      </c>
      <c r="W283" s="83">
        <f t="shared" si="225"/>
        <v>3.49966443</v>
      </c>
      <c r="X283" s="83">
        <f t="shared" si="220"/>
        <v>1.001918421</v>
      </c>
      <c r="Y283" s="83">
        <f t="shared" si="224"/>
        <v>0.3381962956</v>
      </c>
    </row>
    <row r="284" ht="26.25" customHeight="1">
      <c r="A284" s="72"/>
      <c r="B284" s="73" t="s">
        <v>1138</v>
      </c>
      <c r="C284" s="87" t="s">
        <v>447</v>
      </c>
      <c r="D284" s="75">
        <v>6456.0</v>
      </c>
      <c r="E284" s="75" t="s">
        <v>1142</v>
      </c>
      <c r="F284" s="76" t="s">
        <v>942</v>
      </c>
      <c r="G284" s="77" t="s">
        <v>658</v>
      </c>
      <c r="H284" s="77">
        <f>6456*3+5794+3476</f>
        <v>28638</v>
      </c>
      <c r="I284" s="77">
        <v>3.0</v>
      </c>
      <c r="J284" s="78">
        <f t="shared" si="208"/>
        <v>13.11889648</v>
      </c>
      <c r="K284" s="79">
        <f t="shared" si="209"/>
        <v>632.7414486</v>
      </c>
      <c r="L284" s="89" t="s">
        <v>303</v>
      </c>
      <c r="M284" s="85" t="s">
        <v>303</v>
      </c>
      <c r="N284" s="85" t="s">
        <v>303</v>
      </c>
      <c r="O284" s="82" t="s">
        <v>303</v>
      </c>
      <c r="P284" s="82" t="s">
        <v>303</v>
      </c>
      <c r="Q284" s="82" t="s">
        <v>303</v>
      </c>
      <c r="R284" s="78" t="s">
        <v>303</v>
      </c>
      <c r="S284" s="79" t="s">
        <v>303</v>
      </c>
      <c r="T284" s="84" t="s">
        <v>739</v>
      </c>
      <c r="U284" s="86">
        <v>1.0</v>
      </c>
      <c r="V284" s="73">
        <v>1.15</v>
      </c>
      <c r="W284" s="83">
        <f>6456/1877</f>
        <v>3.439531167</v>
      </c>
      <c r="X284" s="83">
        <f>79882/77184</f>
        <v>1.034955431</v>
      </c>
      <c r="Y284" s="83">
        <f>(79882-77184)/(1500000/845)</f>
        <v>1.519873333</v>
      </c>
    </row>
    <row r="285" ht="26.25" customHeight="1">
      <c r="A285" s="72"/>
      <c r="B285" s="73" t="s">
        <v>1138</v>
      </c>
      <c r="C285" s="87" t="s">
        <v>449</v>
      </c>
      <c r="D285" s="75">
        <v>11623.0</v>
      </c>
      <c r="E285" s="75" t="s">
        <v>1143</v>
      </c>
      <c r="F285" s="76" t="s">
        <v>1144</v>
      </c>
      <c r="G285" s="77" t="s">
        <v>658</v>
      </c>
      <c r="H285" s="77">
        <f>12742*7+1040*5</f>
        <v>94394</v>
      </c>
      <c r="I285" s="77">
        <v>7.0</v>
      </c>
      <c r="J285" s="78">
        <f t="shared" si="208"/>
        <v>13.11889648</v>
      </c>
      <c r="K285" s="79">
        <f t="shared" si="209"/>
        <v>893.8223384</v>
      </c>
      <c r="L285" s="80" t="s">
        <v>658</v>
      </c>
      <c r="M285" s="81">
        <v>7.0</v>
      </c>
      <c r="N285" s="79" t="s">
        <v>689</v>
      </c>
      <c r="O285" s="82">
        <v>64.133017</v>
      </c>
      <c r="P285" s="82">
        <v>26.247031</v>
      </c>
      <c r="Q285" s="82">
        <f t="shared" ref="Q285:Q293" si="226">O285-P285</f>
        <v>37.885986</v>
      </c>
      <c r="R285" s="78">
        <f t="shared" ref="R285:R293" si="227">IFS(L285="S",21494/2048*1.25)</f>
        <v>13.11889648</v>
      </c>
      <c r="S285" s="83">
        <f t="shared" ref="S285:S293" si="228">IFS(N285="B",Q285/M285/100*249945/R285/V285/U285
*W285,N285="C",Q285/M285/100*249945/R285/V285/U285
)</f>
        <v>896.6642653</v>
      </c>
      <c r="T285" s="84" t="s">
        <v>705</v>
      </c>
      <c r="U285" s="86">
        <v>1.0</v>
      </c>
      <c r="V285" s="73">
        <v>1.15</v>
      </c>
      <c r="W285" s="79">
        <f t="shared" ref="W285:W286" si="229">7467/2170</f>
        <v>3.441013825</v>
      </c>
      <c r="X285" s="83">
        <f t="shared" ref="X285:X293" si="230">S285/K285</f>
        <v>1.003179521</v>
      </c>
      <c r="Y285" s="83">
        <f t="shared" ref="Y285:Y293" si="231">(S285-K285)*M285*U285*V285*J285/(249945/845)</f>
        <v>1.014654876</v>
      </c>
    </row>
    <row r="286" ht="26.25" customHeight="1">
      <c r="A286" s="72"/>
      <c r="B286" s="73" t="s">
        <v>1138</v>
      </c>
      <c r="C286" s="87" t="s">
        <v>449</v>
      </c>
      <c r="D286" s="75">
        <v>11623.0</v>
      </c>
      <c r="E286" s="75" t="s">
        <v>1145</v>
      </c>
      <c r="F286" s="76" t="s">
        <v>1146</v>
      </c>
      <c r="G286" s="77" t="s">
        <v>658</v>
      </c>
      <c r="H286" s="77">
        <f>7467+1040</f>
        <v>8507</v>
      </c>
      <c r="I286" s="77">
        <v>1.0</v>
      </c>
      <c r="J286" s="78">
        <f t="shared" si="208"/>
        <v>13.11889648</v>
      </c>
      <c r="K286" s="79">
        <f t="shared" si="209"/>
        <v>563.8729838</v>
      </c>
      <c r="L286" s="80" t="s">
        <v>658</v>
      </c>
      <c r="M286" s="81">
        <v>5.0</v>
      </c>
      <c r="N286" s="79" t="s">
        <v>689</v>
      </c>
      <c r="O286" s="82">
        <v>90.023753</v>
      </c>
      <c r="P286" s="82">
        <v>72.921615</v>
      </c>
      <c r="Q286" s="82">
        <f t="shared" si="226"/>
        <v>17.102138</v>
      </c>
      <c r="R286" s="78">
        <f t="shared" si="227"/>
        <v>13.11889648</v>
      </c>
      <c r="S286" s="83">
        <f t="shared" si="228"/>
        <v>566.6693328</v>
      </c>
      <c r="T286" s="84" t="s">
        <v>705</v>
      </c>
      <c r="U286" s="86">
        <v>1.0</v>
      </c>
      <c r="V286" s="73">
        <v>1.15</v>
      </c>
      <c r="W286" s="79">
        <f t="shared" si="229"/>
        <v>3.441013825</v>
      </c>
      <c r="X286" s="83">
        <f t="shared" si="230"/>
        <v>1.004959182</v>
      </c>
      <c r="Y286" s="83">
        <f t="shared" si="231"/>
        <v>0.7131301141</v>
      </c>
    </row>
    <row r="287" ht="26.25" customHeight="1">
      <c r="A287" s="85"/>
      <c r="B287" s="85" t="s">
        <v>1138</v>
      </c>
      <c r="C287" s="74" t="s">
        <v>1147</v>
      </c>
      <c r="D287" s="75">
        <v>28649.0</v>
      </c>
      <c r="E287" s="75" t="s">
        <v>1148</v>
      </c>
      <c r="F287" s="76"/>
      <c r="G287" s="77" t="s">
        <v>658</v>
      </c>
      <c r="H287" s="77">
        <v>28649.0</v>
      </c>
      <c r="I287" s="77">
        <v>1.0</v>
      </c>
      <c r="J287" s="78">
        <f t="shared" si="208"/>
        <v>13.11889648</v>
      </c>
      <c r="K287" s="79">
        <f t="shared" si="209"/>
        <v>1890.732885</v>
      </c>
      <c r="L287" s="80" t="s">
        <v>658</v>
      </c>
      <c r="M287" s="81">
        <v>2.0</v>
      </c>
      <c r="N287" s="81" t="s">
        <v>689</v>
      </c>
      <c r="O287" s="82">
        <v>90.023753</v>
      </c>
      <c r="P287" s="82">
        <v>67.102138</v>
      </c>
      <c r="Q287" s="82">
        <f t="shared" si="226"/>
        <v>22.921615</v>
      </c>
      <c r="R287" s="78">
        <f t="shared" si="227"/>
        <v>13.11889648</v>
      </c>
      <c r="S287" s="83">
        <f t="shared" si="228"/>
        <v>1890.516107</v>
      </c>
      <c r="T287" s="84" t="s">
        <v>757</v>
      </c>
      <c r="U287" s="78">
        <v>1.05</v>
      </c>
      <c r="V287" s="85">
        <v>1.1</v>
      </c>
      <c r="W287" s="83">
        <f>28649/10400</f>
        <v>2.754711538</v>
      </c>
      <c r="X287" s="83">
        <f t="shared" si="230"/>
        <v>0.999885347</v>
      </c>
      <c r="Y287" s="83">
        <f t="shared" si="231"/>
        <v>-0.02220941836</v>
      </c>
    </row>
    <row r="288" ht="26.25" customHeight="1">
      <c r="A288" s="85"/>
      <c r="B288" s="85" t="s">
        <v>1138</v>
      </c>
      <c r="C288" s="74" t="s">
        <v>1149</v>
      </c>
      <c r="D288" s="75">
        <v>10172.0</v>
      </c>
      <c r="E288" s="75" t="s">
        <v>1150</v>
      </c>
      <c r="F288" s="76"/>
      <c r="G288" s="77" t="s">
        <v>658</v>
      </c>
      <c r="H288" s="77">
        <v>10172.0</v>
      </c>
      <c r="I288" s="77">
        <v>1.0</v>
      </c>
      <c r="J288" s="78">
        <f t="shared" si="208"/>
        <v>13.11889648</v>
      </c>
      <c r="K288" s="79">
        <f t="shared" si="209"/>
        <v>642.1284422</v>
      </c>
      <c r="L288" s="80" t="s">
        <v>658</v>
      </c>
      <c r="M288" s="81">
        <v>5.0</v>
      </c>
      <c r="N288" s="81" t="s">
        <v>689</v>
      </c>
      <c r="O288" s="82">
        <v>90.023753</v>
      </c>
      <c r="P288" s="82">
        <v>69.5962</v>
      </c>
      <c r="Q288" s="82">
        <f t="shared" si="226"/>
        <v>20.427553</v>
      </c>
      <c r="R288" s="78">
        <f t="shared" si="227"/>
        <v>13.11889648</v>
      </c>
      <c r="S288" s="83">
        <f t="shared" si="228"/>
        <v>644.6238213</v>
      </c>
      <c r="T288" s="84" t="s">
        <v>663</v>
      </c>
      <c r="U288" s="78">
        <v>1.05</v>
      </c>
      <c r="V288" s="85">
        <v>1.15</v>
      </c>
      <c r="W288" s="83">
        <f>10172/2956</f>
        <v>3.441136671</v>
      </c>
      <c r="X288" s="83">
        <f t="shared" si="230"/>
        <v>1.003886106</v>
      </c>
      <c r="Y288" s="83">
        <f t="shared" si="231"/>
        <v>0.6681950319</v>
      </c>
    </row>
    <row r="289" ht="26.25" customHeight="1">
      <c r="A289" s="72"/>
      <c r="B289" s="73" t="s">
        <v>1138</v>
      </c>
      <c r="C289" s="74" t="s">
        <v>472</v>
      </c>
      <c r="D289" s="75">
        <v>16097.0</v>
      </c>
      <c r="E289" s="75" t="s">
        <v>1151</v>
      </c>
      <c r="F289" s="75" t="s">
        <v>1152</v>
      </c>
      <c r="G289" s="77" t="s">
        <v>658</v>
      </c>
      <c r="H289" s="77">
        <f>16097+3781+10191</f>
        <v>30069</v>
      </c>
      <c r="I289" s="77">
        <v>1.0</v>
      </c>
      <c r="J289" s="78">
        <f t="shared" si="208"/>
        <v>13.11889648</v>
      </c>
      <c r="K289" s="79">
        <f t="shared" si="209"/>
        <v>1993.075908</v>
      </c>
      <c r="L289" s="80" t="s">
        <v>658</v>
      </c>
      <c r="M289" s="81">
        <v>1.0</v>
      </c>
      <c r="N289" s="81" t="s">
        <v>689</v>
      </c>
      <c r="O289" s="82">
        <v>83.610451</v>
      </c>
      <c r="P289" s="82">
        <v>71.615202</v>
      </c>
      <c r="Q289" s="82">
        <f t="shared" si="226"/>
        <v>11.995249</v>
      </c>
      <c r="R289" s="78">
        <f t="shared" si="227"/>
        <v>13.11889648</v>
      </c>
      <c r="S289" s="83">
        <f t="shared" si="228"/>
        <v>1987.277774</v>
      </c>
      <c r="T289" s="84" t="s">
        <v>739</v>
      </c>
      <c r="U289" s="86">
        <v>1.0</v>
      </c>
      <c r="V289" s="73">
        <v>1.15</v>
      </c>
      <c r="W289" s="83">
        <f t="shared" ref="W289:W290" si="232">15331/4381</f>
        <v>3.499429354</v>
      </c>
      <c r="X289" s="83">
        <f t="shared" si="230"/>
        <v>0.9970908615</v>
      </c>
      <c r="Y289" s="83">
        <f t="shared" si="231"/>
        <v>-0.2957301785</v>
      </c>
    </row>
    <row r="290" ht="26.25" customHeight="1">
      <c r="A290" s="72"/>
      <c r="B290" s="73" t="s">
        <v>1138</v>
      </c>
      <c r="C290" s="74" t="s">
        <v>472</v>
      </c>
      <c r="D290" s="75">
        <v>15331.0</v>
      </c>
      <c r="E290" s="75" t="s">
        <v>1153</v>
      </c>
      <c r="F290" s="76"/>
      <c r="G290" s="77" t="s">
        <v>658</v>
      </c>
      <c r="H290" s="77">
        <v>15331.0</v>
      </c>
      <c r="I290" s="77">
        <v>1.0</v>
      </c>
      <c r="J290" s="78">
        <f t="shared" si="208"/>
        <v>13.11889648</v>
      </c>
      <c r="K290" s="79">
        <f t="shared" si="209"/>
        <v>1016.190986</v>
      </c>
      <c r="L290" s="80" t="s">
        <v>658</v>
      </c>
      <c r="M290" s="81">
        <v>5.0</v>
      </c>
      <c r="N290" s="81" t="s">
        <v>689</v>
      </c>
      <c r="O290" s="82">
        <v>90.023753</v>
      </c>
      <c r="P290" s="82">
        <v>59.382423</v>
      </c>
      <c r="Q290" s="82">
        <f t="shared" si="226"/>
        <v>30.64133</v>
      </c>
      <c r="R290" s="78">
        <f t="shared" si="227"/>
        <v>13.11889648</v>
      </c>
      <c r="S290" s="83">
        <f t="shared" si="228"/>
        <v>1015.282535</v>
      </c>
      <c r="T290" s="84" t="s">
        <v>739</v>
      </c>
      <c r="U290" s="86">
        <v>1.0</v>
      </c>
      <c r="V290" s="73">
        <v>1.15</v>
      </c>
      <c r="W290" s="83">
        <f t="shared" si="232"/>
        <v>3.499429354</v>
      </c>
      <c r="X290" s="83">
        <f t="shared" si="230"/>
        <v>0.999106024</v>
      </c>
      <c r="Y290" s="83">
        <f t="shared" si="231"/>
        <v>-0.2316747009</v>
      </c>
    </row>
    <row r="291" ht="26.25" customHeight="1">
      <c r="A291" s="72"/>
      <c r="B291" s="73" t="s">
        <v>1138</v>
      </c>
      <c r="C291" s="87" t="s">
        <v>366</v>
      </c>
      <c r="D291" s="75">
        <v>38602.0</v>
      </c>
      <c r="E291" s="75" t="s">
        <v>1154</v>
      </c>
      <c r="F291" s="76" t="s">
        <v>1155</v>
      </c>
      <c r="G291" s="77" t="s">
        <v>658</v>
      </c>
      <c r="H291" s="77">
        <v>38602.0</v>
      </c>
      <c r="I291" s="77">
        <v>1.0</v>
      </c>
      <c r="J291" s="78">
        <f t="shared" si="208"/>
        <v>13.11889648</v>
      </c>
      <c r="K291" s="79">
        <f t="shared" si="209"/>
        <v>2558.67226</v>
      </c>
      <c r="L291" s="80" t="s">
        <v>658</v>
      </c>
      <c r="M291" s="81">
        <v>2.0</v>
      </c>
      <c r="N291" s="81" t="s">
        <v>689</v>
      </c>
      <c r="O291" s="82">
        <v>90.023753</v>
      </c>
      <c r="P291" s="82">
        <v>51.425178</v>
      </c>
      <c r="Q291" s="82">
        <f t="shared" si="226"/>
        <v>38.598575</v>
      </c>
      <c r="R291" s="78">
        <f t="shared" si="227"/>
        <v>13.11889648</v>
      </c>
      <c r="S291" s="83">
        <f t="shared" si="228"/>
        <v>3197.352977</v>
      </c>
      <c r="T291" s="84" t="s">
        <v>739</v>
      </c>
      <c r="U291" s="86">
        <v>1.0</v>
      </c>
      <c r="V291" s="73">
        <v>1.15</v>
      </c>
      <c r="W291" s="83">
        <f>38602/6685</f>
        <v>5.774420344</v>
      </c>
      <c r="X291" s="83">
        <f t="shared" si="230"/>
        <v>1.249614117</v>
      </c>
      <c r="Y291" s="83">
        <f t="shared" si="231"/>
        <v>65.15101722</v>
      </c>
    </row>
    <row r="292" ht="26.25" customHeight="1">
      <c r="A292" s="72"/>
      <c r="B292" s="73" t="s">
        <v>1138</v>
      </c>
      <c r="C292" s="87" t="s">
        <v>366</v>
      </c>
      <c r="D292" s="75">
        <v>8523.0</v>
      </c>
      <c r="E292" s="75" t="s">
        <v>892</v>
      </c>
      <c r="F292" s="76"/>
      <c r="G292" s="77" t="s">
        <v>658</v>
      </c>
      <c r="H292" s="77">
        <v>8523.0</v>
      </c>
      <c r="I292" s="77">
        <v>1.0</v>
      </c>
      <c r="J292" s="78">
        <f t="shared" si="208"/>
        <v>13.11889648</v>
      </c>
      <c r="K292" s="79">
        <f t="shared" si="209"/>
        <v>564.9335184</v>
      </c>
      <c r="L292" s="80" t="s">
        <v>658</v>
      </c>
      <c r="M292" s="81">
        <v>5.0</v>
      </c>
      <c r="N292" s="81" t="s">
        <v>689</v>
      </c>
      <c r="O292" s="82">
        <v>90.023753</v>
      </c>
      <c r="P292" s="82">
        <v>72.921615</v>
      </c>
      <c r="Q292" s="82">
        <f t="shared" si="226"/>
        <v>17.102138</v>
      </c>
      <c r="R292" s="78">
        <f t="shared" si="227"/>
        <v>13.11889648</v>
      </c>
      <c r="S292" s="83">
        <f t="shared" si="228"/>
        <v>566.6693328</v>
      </c>
      <c r="T292" s="84" t="s">
        <v>739</v>
      </c>
      <c r="U292" s="86">
        <v>1.0</v>
      </c>
      <c r="V292" s="73">
        <v>1.15</v>
      </c>
      <c r="W292" s="83">
        <f>8523/2627</f>
        <v>3.24438523</v>
      </c>
      <c r="X292" s="83">
        <f t="shared" si="230"/>
        <v>1.003072599</v>
      </c>
      <c r="Y292" s="83">
        <f t="shared" si="231"/>
        <v>0.442670613</v>
      </c>
    </row>
    <row r="293" ht="26.25" customHeight="1">
      <c r="A293" s="72"/>
      <c r="B293" s="73" t="s">
        <v>1138</v>
      </c>
      <c r="C293" s="74" t="s">
        <v>1156</v>
      </c>
      <c r="D293" s="75">
        <v>27992.0</v>
      </c>
      <c r="E293" s="75" t="s">
        <v>1157</v>
      </c>
      <c r="F293" s="75" t="s">
        <v>1158</v>
      </c>
      <c r="G293" s="77" t="s">
        <v>658</v>
      </c>
      <c r="H293" s="77">
        <f>27986+27992</f>
        <v>55978</v>
      </c>
      <c r="I293" s="77">
        <v>2.0</v>
      </c>
      <c r="J293" s="78">
        <f t="shared" si="208"/>
        <v>13.11889648</v>
      </c>
      <c r="K293" s="79">
        <f t="shared" si="209"/>
        <v>1686.551283</v>
      </c>
      <c r="L293" s="80" t="s">
        <v>658</v>
      </c>
      <c r="M293" s="81">
        <v>2.0</v>
      </c>
      <c r="N293" s="79" t="s">
        <v>689</v>
      </c>
      <c r="O293" s="82">
        <v>33.372922</v>
      </c>
      <c r="P293" s="82">
        <v>11.045131</v>
      </c>
      <c r="Q293" s="82">
        <f t="shared" si="226"/>
        <v>22.327791</v>
      </c>
      <c r="R293" s="78">
        <f t="shared" si="227"/>
        <v>13.11889648</v>
      </c>
      <c r="S293" s="83">
        <f t="shared" si="228"/>
        <v>1681.405196</v>
      </c>
      <c r="T293" s="84" t="s">
        <v>705</v>
      </c>
      <c r="U293" s="86">
        <v>1.1</v>
      </c>
      <c r="V293" s="73">
        <v>1.15</v>
      </c>
      <c r="W293" s="83">
        <f t="shared" ref="W293:W294" si="233">16251/5899</f>
        <v>2.754873707</v>
      </c>
      <c r="X293" s="83">
        <f t="shared" si="230"/>
        <v>0.9969487516</v>
      </c>
      <c r="Y293" s="83">
        <f t="shared" si="231"/>
        <v>-0.5774404504</v>
      </c>
    </row>
    <row r="294" ht="26.25" customHeight="1">
      <c r="A294" s="72"/>
      <c r="B294" s="73" t="s">
        <v>1138</v>
      </c>
      <c r="C294" s="74" t="s">
        <v>1156</v>
      </c>
      <c r="D294" s="75">
        <v>16251.0</v>
      </c>
      <c r="E294" s="75" t="s">
        <v>1159</v>
      </c>
      <c r="F294" s="75" t="s">
        <v>1160</v>
      </c>
      <c r="G294" s="77" t="s">
        <v>658</v>
      </c>
      <c r="H294" s="77">
        <v>16251.0</v>
      </c>
      <c r="I294" s="77">
        <v>1.0</v>
      </c>
      <c r="J294" s="78">
        <f t="shared" si="208"/>
        <v>13.11889648</v>
      </c>
      <c r="K294" s="79">
        <f t="shared" si="209"/>
        <v>979.2470221</v>
      </c>
      <c r="L294" s="89" t="s">
        <v>303</v>
      </c>
      <c r="M294" s="85" t="s">
        <v>303</v>
      </c>
      <c r="N294" s="85" t="s">
        <v>303</v>
      </c>
      <c r="O294" s="82" t="s">
        <v>303</v>
      </c>
      <c r="P294" s="82" t="s">
        <v>303</v>
      </c>
      <c r="Q294" s="82" t="s">
        <v>303</v>
      </c>
      <c r="R294" s="78" t="s">
        <v>303</v>
      </c>
      <c r="S294" s="79" t="s">
        <v>303</v>
      </c>
      <c r="T294" s="84" t="s">
        <v>739</v>
      </c>
      <c r="U294" s="86">
        <v>1.1</v>
      </c>
      <c r="V294" s="73">
        <v>1.15</v>
      </c>
      <c r="W294" s="83">
        <f t="shared" si="233"/>
        <v>2.754873707</v>
      </c>
      <c r="X294" s="83">
        <f>62130/59607</f>
        <v>1.042327243</v>
      </c>
      <c r="Y294" s="83">
        <f>(62130-59607)/(1500000/845)</f>
        <v>1.42129</v>
      </c>
    </row>
    <row r="295" ht="26.25" customHeight="1">
      <c r="A295" s="72"/>
      <c r="B295" s="73" t="s">
        <v>1138</v>
      </c>
      <c r="C295" s="87" t="s">
        <v>692</v>
      </c>
      <c r="D295" s="75">
        <v>6456.0</v>
      </c>
      <c r="E295" s="75" t="s">
        <v>1161</v>
      </c>
      <c r="F295" s="88"/>
      <c r="G295" s="77" t="s">
        <v>658</v>
      </c>
      <c r="H295" s="77">
        <v>6456.0</v>
      </c>
      <c r="I295" s="77">
        <v>1.0</v>
      </c>
      <c r="J295" s="78">
        <f t="shared" si="208"/>
        <v>13.11889648</v>
      </c>
      <c r="K295" s="79">
        <f t="shared" si="209"/>
        <v>427.9257063</v>
      </c>
      <c r="L295" s="80" t="s">
        <v>658</v>
      </c>
      <c r="M295" s="81">
        <v>13.0</v>
      </c>
      <c r="N295" s="81" t="s">
        <v>659</v>
      </c>
      <c r="O295" s="82">
        <v>90.023753</v>
      </c>
      <c r="P295" s="82">
        <v>80.285036</v>
      </c>
      <c r="Q295" s="82">
        <f t="shared" ref="Q295:Q299" si="234">O295-P295</f>
        <v>9.738717</v>
      </c>
      <c r="R295" s="78">
        <f t="shared" ref="R295:R296" si="235">IFS(L295="S",21494/2048*1.25)</f>
        <v>13.11889648</v>
      </c>
      <c r="S295" s="83">
        <f t="shared" ref="S295:S299" si="236">IFS(N295="B",Q295/M295/100*249945/R295/V295/U295
*W295,N295="C",Q295/M295/100*249945/R295/V295/U295
)</f>
        <v>426.8811229</v>
      </c>
      <c r="T295" s="84" t="s">
        <v>660</v>
      </c>
      <c r="U295" s="86">
        <v>1.0</v>
      </c>
      <c r="V295" s="73">
        <v>1.15</v>
      </c>
      <c r="W295" s="83">
        <f>6456/1877</f>
        <v>3.439531167</v>
      </c>
      <c r="X295" s="83">
        <f t="shared" ref="X295:X299" si="237">S295/K295</f>
        <v>0.9975589609</v>
      </c>
      <c r="Y295" s="83">
        <f t="shared" ref="Y295:Y299" si="238">(S295-K295)*M295*U295*V295*J295/(249945/845)</f>
        <v>-0.6926181375</v>
      </c>
    </row>
    <row r="296" ht="26.25" customHeight="1">
      <c r="A296" s="72"/>
      <c r="B296" s="73" t="s">
        <v>1138</v>
      </c>
      <c r="C296" s="87" t="s">
        <v>403</v>
      </c>
      <c r="D296" s="75">
        <v>17314.0</v>
      </c>
      <c r="E296" s="75" t="s">
        <v>1162</v>
      </c>
      <c r="F296" s="76" t="s">
        <v>1163</v>
      </c>
      <c r="G296" s="77" t="s">
        <v>658</v>
      </c>
      <c r="H296" s="77">
        <f>17314+25105+32896</f>
        <v>75315</v>
      </c>
      <c r="I296" s="77">
        <v>1.0</v>
      </c>
      <c r="J296" s="78">
        <f t="shared" si="208"/>
        <v>13.11889648</v>
      </c>
      <c r="K296" s="79">
        <f t="shared" si="209"/>
        <v>4992.135156</v>
      </c>
      <c r="L296" s="80" t="s">
        <v>658</v>
      </c>
      <c r="M296" s="81">
        <v>1.0</v>
      </c>
      <c r="N296" s="81" t="s">
        <v>689</v>
      </c>
      <c r="O296" s="82">
        <v>90.023753</v>
      </c>
      <c r="P296" s="82">
        <v>59.857482</v>
      </c>
      <c r="Q296" s="82">
        <f t="shared" si="234"/>
        <v>30.166271</v>
      </c>
      <c r="R296" s="78">
        <f t="shared" si="235"/>
        <v>13.11889648</v>
      </c>
      <c r="S296" s="83">
        <f t="shared" si="236"/>
        <v>4997.708666</v>
      </c>
      <c r="T296" s="84" t="s">
        <v>739</v>
      </c>
      <c r="U296" s="86">
        <v>1.0</v>
      </c>
      <c r="V296" s="73">
        <v>1.15</v>
      </c>
      <c r="W296" s="83">
        <f>17314/8615</f>
        <v>2.009750435</v>
      </c>
      <c r="X296" s="83">
        <f t="shared" si="237"/>
        <v>1.001116458</v>
      </c>
      <c r="Y296" s="83">
        <f t="shared" si="238"/>
        <v>0.2842733924</v>
      </c>
    </row>
    <row r="297" ht="26.25" customHeight="1">
      <c r="A297" s="72"/>
      <c r="B297" s="73" t="s">
        <v>1138</v>
      </c>
      <c r="C297" s="87" t="s">
        <v>403</v>
      </c>
      <c r="D297" s="75">
        <v>90708.0</v>
      </c>
      <c r="E297" s="75" t="s">
        <v>1164</v>
      </c>
      <c r="F297" s="76" t="s">
        <v>1165</v>
      </c>
      <c r="G297" s="77" t="s">
        <v>658</v>
      </c>
      <c r="H297" s="77">
        <v>90708.0</v>
      </c>
      <c r="I297" s="77">
        <v>1.0</v>
      </c>
      <c r="J297" s="78">
        <f>21494/2048</f>
        <v>10.49511719</v>
      </c>
      <c r="K297" s="79">
        <f t="shared" si="209"/>
        <v>7157.661563</v>
      </c>
      <c r="L297" s="80" t="s">
        <v>658</v>
      </c>
      <c r="M297" s="81">
        <v>1.0</v>
      </c>
      <c r="N297" s="79" t="s">
        <v>689</v>
      </c>
      <c r="O297" s="82">
        <v>90.023753</v>
      </c>
      <c r="P297" s="82">
        <v>53.68171</v>
      </c>
      <c r="Q297" s="82">
        <f t="shared" si="234"/>
        <v>36.342043</v>
      </c>
      <c r="R297" s="78">
        <f>21494/2048</f>
        <v>10.49511719</v>
      </c>
      <c r="S297" s="83">
        <f t="shared" si="236"/>
        <v>7167.692404</v>
      </c>
      <c r="T297" s="84" t="s">
        <v>757</v>
      </c>
      <c r="U297" s="78">
        <v>1.05</v>
      </c>
      <c r="V297" s="73">
        <v>1.15</v>
      </c>
      <c r="W297" s="79">
        <f>8963/4460</f>
        <v>2.009641256</v>
      </c>
      <c r="X297" s="83">
        <f t="shared" si="237"/>
        <v>1.001401413</v>
      </c>
      <c r="Y297" s="83">
        <f t="shared" si="238"/>
        <v>0.4297580388</v>
      </c>
    </row>
    <row r="298" ht="26.25" customHeight="1">
      <c r="A298" s="72"/>
      <c r="B298" s="73" t="s">
        <v>1138</v>
      </c>
      <c r="C298" s="87" t="s">
        <v>403</v>
      </c>
      <c r="D298" s="75">
        <v>8523.0</v>
      </c>
      <c r="E298" s="75" t="s">
        <v>892</v>
      </c>
      <c r="F298" s="76"/>
      <c r="G298" s="77" t="s">
        <v>658</v>
      </c>
      <c r="H298" s="77">
        <v>8523.0</v>
      </c>
      <c r="I298" s="77">
        <v>1.0</v>
      </c>
      <c r="J298" s="78">
        <f t="shared" ref="J298:J308" si="239">IFS(G298="S",21494/2048*1.25,G298="C",1.25*2*1.22,OR(G298="R",G298="T"),1.25*1.22)</f>
        <v>13.11889648</v>
      </c>
      <c r="K298" s="79">
        <f t="shared" si="209"/>
        <v>564.9335184</v>
      </c>
      <c r="L298" s="80" t="s">
        <v>658</v>
      </c>
      <c r="M298" s="81">
        <v>6.0</v>
      </c>
      <c r="N298" s="81" t="s">
        <v>689</v>
      </c>
      <c r="O298" s="82">
        <v>90.023753</v>
      </c>
      <c r="P298" s="82">
        <v>69.477435</v>
      </c>
      <c r="Q298" s="82">
        <f t="shared" si="234"/>
        <v>20.546318</v>
      </c>
      <c r="R298" s="78">
        <f t="shared" ref="R298:R299" si="240">IFS(L298="S",21494/2048*1.25)</f>
        <v>13.11889648</v>
      </c>
      <c r="S298" s="83">
        <f t="shared" si="236"/>
        <v>567.3251843</v>
      </c>
      <c r="T298" s="84" t="s">
        <v>739</v>
      </c>
      <c r="U298" s="86">
        <v>1.0</v>
      </c>
      <c r="V298" s="73">
        <v>1.15</v>
      </c>
      <c r="W298" s="83">
        <f>8523/2627</f>
        <v>3.24438523</v>
      </c>
      <c r="X298" s="83">
        <f t="shared" si="237"/>
        <v>1.004233535</v>
      </c>
      <c r="Y298" s="83">
        <f t="shared" si="238"/>
        <v>0.7319125156</v>
      </c>
    </row>
    <row r="299" ht="26.25" customHeight="1">
      <c r="A299" s="72"/>
      <c r="B299" s="73" t="s">
        <v>1138</v>
      </c>
      <c r="C299" s="87" t="s">
        <v>620</v>
      </c>
      <c r="D299" s="75">
        <v>18899.0</v>
      </c>
      <c r="E299" s="75" t="s">
        <v>1166</v>
      </c>
      <c r="F299" s="76" t="s">
        <v>1167</v>
      </c>
      <c r="G299" s="77" t="s">
        <v>658</v>
      </c>
      <c r="H299" s="77">
        <v>18899.0</v>
      </c>
      <c r="I299" s="77">
        <v>1.0</v>
      </c>
      <c r="J299" s="78">
        <f t="shared" si="239"/>
        <v>13.11889648</v>
      </c>
      <c r="K299" s="79">
        <f t="shared" si="209"/>
        <v>1190.573329</v>
      </c>
      <c r="L299" s="80" t="s">
        <v>658</v>
      </c>
      <c r="M299" s="81">
        <v>3.0</v>
      </c>
      <c r="N299" s="81" t="s">
        <v>689</v>
      </c>
      <c r="O299" s="82">
        <v>90.023753</v>
      </c>
      <c r="P299" s="82">
        <v>67.339667</v>
      </c>
      <c r="Q299" s="82">
        <f t="shared" si="234"/>
        <v>22.684086</v>
      </c>
      <c r="R299" s="78">
        <f t="shared" si="240"/>
        <v>13.11889648</v>
      </c>
      <c r="S299" s="83">
        <f t="shared" si="236"/>
        <v>1190.588842</v>
      </c>
      <c r="T299" s="84" t="s">
        <v>739</v>
      </c>
      <c r="U299" s="86">
        <v>1.1</v>
      </c>
      <c r="V299" s="73">
        <v>1.1</v>
      </c>
      <c r="W299" s="79">
        <f>18899/4004</f>
        <v>4.72002997</v>
      </c>
      <c r="X299" s="83">
        <f t="shared" si="237"/>
        <v>1.00001303</v>
      </c>
      <c r="Y299" s="83">
        <f t="shared" si="238"/>
        <v>0.002497533583</v>
      </c>
    </row>
    <row r="300" ht="26.25" customHeight="1">
      <c r="A300" s="72"/>
      <c r="B300" s="73" t="s">
        <v>1168</v>
      </c>
      <c r="C300" s="87" t="s">
        <v>656</v>
      </c>
      <c r="D300" s="75">
        <v>5767.0</v>
      </c>
      <c r="E300" s="75" t="s">
        <v>1169</v>
      </c>
      <c r="F300" s="76" t="s">
        <v>1170</v>
      </c>
      <c r="G300" s="77" t="s">
        <v>658</v>
      </c>
      <c r="H300" s="77">
        <f>5767+3485*4</f>
        <v>19707</v>
      </c>
      <c r="I300" s="77">
        <v>1.0</v>
      </c>
      <c r="J300" s="78">
        <f t="shared" si="239"/>
        <v>13.11889648</v>
      </c>
      <c r="K300" s="79">
        <f t="shared" si="209"/>
        <v>1365.622068</v>
      </c>
      <c r="L300" s="89" t="s">
        <v>303</v>
      </c>
      <c r="M300" s="85" t="s">
        <v>303</v>
      </c>
      <c r="N300" s="85" t="s">
        <v>303</v>
      </c>
      <c r="O300" s="82" t="s">
        <v>303</v>
      </c>
      <c r="P300" s="82" t="s">
        <v>303</v>
      </c>
      <c r="Q300" s="82" t="s">
        <v>303</v>
      </c>
      <c r="R300" s="78" t="s">
        <v>303</v>
      </c>
      <c r="S300" s="79" t="s">
        <v>303</v>
      </c>
      <c r="T300" s="84" t="s">
        <v>660</v>
      </c>
      <c r="U300" s="78">
        <v>1.0</v>
      </c>
      <c r="V300" s="73">
        <v>1.1</v>
      </c>
      <c r="W300" s="79">
        <v>1.0</v>
      </c>
      <c r="X300" s="83">
        <f>44379/42160</f>
        <v>1.052632827</v>
      </c>
      <c r="Y300" s="83">
        <f>(44379-42160)/(1500000/845)</f>
        <v>1.250036667</v>
      </c>
    </row>
    <row r="301" ht="26.25" customHeight="1">
      <c r="A301" s="72"/>
      <c r="B301" s="73" t="s">
        <v>1168</v>
      </c>
      <c r="C301" s="87" t="s">
        <v>656</v>
      </c>
      <c r="D301" s="75">
        <v>5767.0</v>
      </c>
      <c r="E301" s="75" t="s">
        <v>1171</v>
      </c>
      <c r="F301" s="76" t="s">
        <v>1172</v>
      </c>
      <c r="G301" s="77" t="s">
        <v>658</v>
      </c>
      <c r="H301" s="77">
        <v>5767.0</v>
      </c>
      <c r="I301" s="77">
        <v>1.0</v>
      </c>
      <c r="J301" s="78">
        <f t="shared" si="239"/>
        <v>13.11889648</v>
      </c>
      <c r="K301" s="79">
        <f t="shared" si="209"/>
        <v>399.6317281</v>
      </c>
      <c r="L301" s="80" t="s">
        <v>658</v>
      </c>
      <c r="M301" s="81">
        <v>7.0</v>
      </c>
      <c r="N301" s="81" t="s">
        <v>659</v>
      </c>
      <c r="O301" s="82">
        <v>90.023753</v>
      </c>
      <c r="P301" s="82">
        <v>73.871734</v>
      </c>
      <c r="Q301" s="82">
        <f t="shared" ref="Q301:Q307" si="241">O301-P301</f>
        <v>16.152019</v>
      </c>
      <c r="R301" s="78">
        <f t="shared" ref="R301:R307" si="242">IFS(L301="S",21494/2048*1.25)</f>
        <v>13.11889648</v>
      </c>
      <c r="S301" s="83">
        <f t="shared" ref="S301:S307" si="243">IFS(N301="B",Q301/M301/100*249945/R301/V301/U301
*W301,N301="C",Q301/M301/100*249945/R301/V301/U301
)</f>
        <v>399.6531495</v>
      </c>
      <c r="T301" s="84" t="s">
        <v>660</v>
      </c>
      <c r="U301" s="86">
        <v>1.0</v>
      </c>
      <c r="V301" s="73">
        <v>1.1</v>
      </c>
      <c r="W301" s="79">
        <v>1.0</v>
      </c>
      <c r="X301" s="83">
        <f t="shared" ref="X301:X303" si="244">S301/K301</f>
        <v>1.000053603</v>
      </c>
      <c r="Y301" s="83">
        <f t="shared" ref="Y301:Y303" si="245">(S301-K301)*M301*U301*V301*J301/(249945/845)</f>
        <v>0.007315556101</v>
      </c>
    </row>
    <row r="302" ht="26.25" customHeight="1">
      <c r="A302" s="72"/>
      <c r="B302" s="73" t="s">
        <v>1168</v>
      </c>
      <c r="C302" s="87" t="s">
        <v>758</v>
      </c>
      <c r="D302" s="75">
        <v>25891.0</v>
      </c>
      <c r="E302" s="76"/>
      <c r="F302" s="76" t="s">
        <v>1170</v>
      </c>
      <c r="G302" s="77" t="s">
        <v>658</v>
      </c>
      <c r="H302" s="77">
        <v>25891.0</v>
      </c>
      <c r="I302" s="77">
        <v>1.0</v>
      </c>
      <c r="J302" s="78">
        <f t="shared" si="239"/>
        <v>13.11889648</v>
      </c>
      <c r="K302" s="79">
        <f t="shared" si="209"/>
        <v>1794.150351</v>
      </c>
      <c r="L302" s="80" t="s">
        <v>658</v>
      </c>
      <c r="M302" s="81">
        <v>2.0</v>
      </c>
      <c r="N302" s="81" t="s">
        <v>659</v>
      </c>
      <c r="O302" s="82">
        <v>90.023753</v>
      </c>
      <c r="P302" s="82">
        <v>69.239905</v>
      </c>
      <c r="Q302" s="82">
        <f t="shared" si="241"/>
        <v>20.783848</v>
      </c>
      <c r="R302" s="78">
        <f t="shared" si="242"/>
        <v>13.11889648</v>
      </c>
      <c r="S302" s="83">
        <f t="shared" si="243"/>
        <v>1799.908488</v>
      </c>
      <c r="T302" s="84" t="s">
        <v>660</v>
      </c>
      <c r="U302" s="86">
        <v>1.0</v>
      </c>
      <c r="V302" s="73">
        <v>1.1</v>
      </c>
      <c r="W302" s="79">
        <v>1.0</v>
      </c>
      <c r="X302" s="83">
        <f t="shared" si="244"/>
        <v>1.003209395</v>
      </c>
      <c r="Y302" s="83">
        <f t="shared" si="245"/>
        <v>0.5618420318</v>
      </c>
    </row>
    <row r="303" ht="26.25" customHeight="1">
      <c r="A303" s="72"/>
      <c r="B303" s="73" t="s">
        <v>1168</v>
      </c>
      <c r="C303" s="87" t="s">
        <v>758</v>
      </c>
      <c r="D303" s="75">
        <v>8631.0</v>
      </c>
      <c r="E303" s="75"/>
      <c r="F303" s="76" t="s">
        <v>1172</v>
      </c>
      <c r="G303" s="77" t="s">
        <v>658</v>
      </c>
      <c r="H303" s="77">
        <v>8631.0</v>
      </c>
      <c r="I303" s="77">
        <v>1.0</v>
      </c>
      <c r="J303" s="78">
        <f t="shared" si="239"/>
        <v>13.11889648</v>
      </c>
      <c r="K303" s="79">
        <f t="shared" si="209"/>
        <v>598.0963144</v>
      </c>
      <c r="L303" s="80" t="s">
        <v>658</v>
      </c>
      <c r="M303" s="81">
        <v>4.0</v>
      </c>
      <c r="N303" s="81" t="s">
        <v>659</v>
      </c>
      <c r="O303" s="82">
        <v>90.023753</v>
      </c>
      <c r="P303" s="82">
        <v>76.128266</v>
      </c>
      <c r="Q303" s="82">
        <f t="shared" si="241"/>
        <v>13.895487</v>
      </c>
      <c r="R303" s="78">
        <f t="shared" si="242"/>
        <v>13.11889648</v>
      </c>
      <c r="S303" s="83">
        <f t="shared" si="243"/>
        <v>601.6836966</v>
      </c>
      <c r="T303" s="84" t="s">
        <v>660</v>
      </c>
      <c r="U303" s="86">
        <v>1.0</v>
      </c>
      <c r="V303" s="73">
        <v>1.1</v>
      </c>
      <c r="W303" s="79">
        <v>1.0</v>
      </c>
      <c r="X303" s="83">
        <f t="shared" si="244"/>
        <v>1.005998001</v>
      </c>
      <c r="Y303" s="83">
        <f t="shared" si="245"/>
        <v>0.7000674545</v>
      </c>
    </row>
    <row r="304" ht="26.25" customHeight="1">
      <c r="A304" s="72"/>
      <c r="B304" s="73" t="s">
        <v>1168</v>
      </c>
      <c r="C304" s="87" t="s">
        <v>330</v>
      </c>
      <c r="D304" s="75">
        <v>6294.0</v>
      </c>
      <c r="E304" s="75" t="s">
        <v>1173</v>
      </c>
      <c r="F304" s="76" t="s">
        <v>1170</v>
      </c>
      <c r="G304" s="77" t="s">
        <v>658</v>
      </c>
      <c r="H304" s="91">
        <f>6294+3803*4</f>
        <v>21506</v>
      </c>
      <c r="I304" s="77">
        <v>1.0</v>
      </c>
      <c r="J304" s="78">
        <f t="shared" si="239"/>
        <v>13.11889648</v>
      </c>
      <c r="K304" s="79">
        <f t="shared" si="209"/>
        <v>1490.286101</v>
      </c>
      <c r="L304" s="80" t="s">
        <v>658</v>
      </c>
      <c r="M304" s="81">
        <v>2.0</v>
      </c>
      <c r="N304" s="81" t="s">
        <v>659</v>
      </c>
      <c r="O304" s="82">
        <v>90.023753</v>
      </c>
      <c r="P304" s="82">
        <v>71.140143</v>
      </c>
      <c r="Q304" s="82">
        <f t="shared" si="241"/>
        <v>18.88361</v>
      </c>
      <c r="R304" s="78">
        <f t="shared" si="242"/>
        <v>13.11889648</v>
      </c>
      <c r="S304" s="83">
        <f t="shared" si="243"/>
        <v>1635.345385</v>
      </c>
      <c r="T304" s="84" t="s">
        <v>739</v>
      </c>
      <c r="U304" s="86">
        <v>1.0</v>
      </c>
      <c r="V304" s="73">
        <v>1.1</v>
      </c>
      <c r="W304" s="79">
        <v>1.0</v>
      </c>
      <c r="X304" s="83">
        <f>71006/69000</f>
        <v>1.029072464</v>
      </c>
      <c r="Y304" s="83">
        <f>(71006-69000)/(1500000/845)</f>
        <v>1.130046667</v>
      </c>
    </row>
    <row r="305" ht="26.25" customHeight="1">
      <c r="A305" s="72"/>
      <c r="B305" s="73" t="s">
        <v>1168</v>
      </c>
      <c r="C305" s="87" t="s">
        <v>330</v>
      </c>
      <c r="D305" s="75">
        <v>6294.0</v>
      </c>
      <c r="E305" s="76"/>
      <c r="F305" s="76" t="s">
        <v>1172</v>
      </c>
      <c r="G305" s="77" t="s">
        <v>658</v>
      </c>
      <c r="H305" s="77">
        <v>6294.0</v>
      </c>
      <c r="I305" s="77">
        <v>1.0</v>
      </c>
      <c r="J305" s="78">
        <f t="shared" si="239"/>
        <v>13.11889648</v>
      </c>
      <c r="K305" s="79">
        <f t="shared" si="209"/>
        <v>436.1508751</v>
      </c>
      <c r="L305" s="80" t="s">
        <v>658</v>
      </c>
      <c r="M305" s="81">
        <v>5.0</v>
      </c>
      <c r="N305" s="81" t="s">
        <v>659</v>
      </c>
      <c r="O305" s="82">
        <v>90.023753</v>
      </c>
      <c r="P305" s="82">
        <v>77.315914</v>
      </c>
      <c r="Q305" s="82">
        <f t="shared" si="241"/>
        <v>12.707839</v>
      </c>
      <c r="R305" s="78">
        <f t="shared" si="242"/>
        <v>13.11889648</v>
      </c>
      <c r="S305" s="83">
        <f t="shared" si="243"/>
        <v>440.2062077</v>
      </c>
      <c r="T305" s="84" t="s">
        <v>739</v>
      </c>
      <c r="U305" s="86">
        <v>1.0</v>
      </c>
      <c r="V305" s="73">
        <v>1.1</v>
      </c>
      <c r="W305" s="79">
        <v>1.0</v>
      </c>
      <c r="X305" s="83">
        <f t="shared" ref="X305:X307" si="246">S305/K305</f>
        <v>1.009298004</v>
      </c>
      <c r="Y305" s="83">
        <f t="shared" ref="Y305:Y307" si="247">(S305-K305)*M305*U305*V305*J305/(249945/845)</f>
        <v>0.9892333086</v>
      </c>
    </row>
    <row r="306" ht="26.25" customHeight="1">
      <c r="A306" s="72"/>
      <c r="B306" s="73" t="s">
        <v>1168</v>
      </c>
      <c r="C306" s="87" t="s">
        <v>1174</v>
      </c>
      <c r="D306" s="75">
        <v>5395.0</v>
      </c>
      <c r="E306" s="76"/>
      <c r="F306" s="76" t="s">
        <v>1175</v>
      </c>
      <c r="G306" s="77" t="s">
        <v>658</v>
      </c>
      <c r="H306" s="77">
        <v>5395.0</v>
      </c>
      <c r="I306" s="77">
        <v>1.0</v>
      </c>
      <c r="J306" s="78">
        <f t="shared" si="239"/>
        <v>13.11889648</v>
      </c>
      <c r="K306" s="79">
        <f t="shared" si="209"/>
        <v>373.8535067</v>
      </c>
      <c r="L306" s="80" t="s">
        <v>658</v>
      </c>
      <c r="M306" s="81">
        <v>5.0</v>
      </c>
      <c r="N306" s="81" t="s">
        <v>659</v>
      </c>
      <c r="O306" s="82">
        <v>90.023753</v>
      </c>
      <c r="P306" s="82">
        <v>79.216152</v>
      </c>
      <c r="Q306" s="82">
        <f t="shared" si="241"/>
        <v>10.807601</v>
      </c>
      <c r="R306" s="78">
        <f t="shared" si="242"/>
        <v>13.11889648</v>
      </c>
      <c r="S306" s="83">
        <f t="shared" si="243"/>
        <v>374.3809668</v>
      </c>
      <c r="T306" s="84" t="s">
        <v>739</v>
      </c>
      <c r="U306" s="86">
        <v>1.0</v>
      </c>
      <c r="V306" s="73">
        <v>1.1</v>
      </c>
      <c r="W306" s="79">
        <v>1.0</v>
      </c>
      <c r="X306" s="83">
        <f t="shared" si="246"/>
        <v>1.001410874</v>
      </c>
      <c r="Y306" s="83">
        <f t="shared" si="247"/>
        <v>0.1286654261</v>
      </c>
    </row>
    <row r="307" ht="26.25" customHeight="1">
      <c r="A307" s="72"/>
      <c r="B307" s="73" t="s">
        <v>1168</v>
      </c>
      <c r="C307" s="87" t="s">
        <v>1174</v>
      </c>
      <c r="D307" s="75">
        <v>8093.0</v>
      </c>
      <c r="E307" s="75" t="s">
        <v>1176</v>
      </c>
      <c r="F307" s="75" t="s">
        <v>1177</v>
      </c>
      <c r="G307" s="77" t="s">
        <v>658</v>
      </c>
      <c r="H307" s="91">
        <f>8093*2</f>
        <v>16186</v>
      </c>
      <c r="I307" s="77">
        <v>1.0</v>
      </c>
      <c r="J307" s="78">
        <f t="shared" si="239"/>
        <v>13.11889648</v>
      </c>
      <c r="K307" s="79">
        <f t="shared" si="209"/>
        <v>1121.629816</v>
      </c>
      <c r="L307" s="80" t="s">
        <v>658</v>
      </c>
      <c r="M307" s="81">
        <v>6.0</v>
      </c>
      <c r="N307" s="81" t="s">
        <v>659</v>
      </c>
      <c r="O307" s="82">
        <v>90.023753</v>
      </c>
      <c r="P307" s="82">
        <v>51.068884</v>
      </c>
      <c r="Q307" s="82">
        <f t="shared" si="241"/>
        <v>38.954869</v>
      </c>
      <c r="R307" s="78">
        <f t="shared" si="242"/>
        <v>13.11889648</v>
      </c>
      <c r="S307" s="83">
        <f t="shared" si="243"/>
        <v>1124.514244</v>
      </c>
      <c r="T307" s="84" t="s">
        <v>739</v>
      </c>
      <c r="U307" s="86">
        <v>1.0</v>
      </c>
      <c r="V307" s="73">
        <v>1.1</v>
      </c>
      <c r="W307" s="79">
        <v>1.0</v>
      </c>
      <c r="X307" s="83">
        <f t="shared" si="246"/>
        <v>1.002571639</v>
      </c>
      <c r="Y307" s="83">
        <f t="shared" si="247"/>
        <v>0.8443317015</v>
      </c>
    </row>
    <row r="308" ht="26.25" customHeight="1">
      <c r="A308" s="72"/>
      <c r="B308" s="73" t="s">
        <v>1168</v>
      </c>
      <c r="C308" s="87" t="s">
        <v>1178</v>
      </c>
      <c r="D308" s="75">
        <v>2019.0</v>
      </c>
      <c r="E308" s="75"/>
      <c r="F308" s="76" t="s">
        <v>1170</v>
      </c>
      <c r="G308" s="77" t="s">
        <v>658</v>
      </c>
      <c r="H308" s="77">
        <f>10*2019+348*3+746*3</f>
        <v>23472</v>
      </c>
      <c r="I308" s="77">
        <v>1.0</v>
      </c>
      <c r="J308" s="78">
        <f t="shared" si="239"/>
        <v>13.11889648</v>
      </c>
      <c r="K308" s="79">
        <f t="shared" si="209"/>
        <v>1626.522615</v>
      </c>
      <c r="L308" s="89" t="s">
        <v>303</v>
      </c>
      <c r="M308" s="85" t="s">
        <v>303</v>
      </c>
      <c r="N308" s="85" t="s">
        <v>303</v>
      </c>
      <c r="O308" s="82" t="s">
        <v>303</v>
      </c>
      <c r="P308" s="82" t="s">
        <v>303</v>
      </c>
      <c r="Q308" s="82" t="s">
        <v>303</v>
      </c>
      <c r="R308" s="78" t="s">
        <v>303</v>
      </c>
      <c r="S308" s="79" t="s">
        <v>303</v>
      </c>
      <c r="T308" s="84" t="s">
        <v>660</v>
      </c>
      <c r="U308" s="86">
        <v>1.0</v>
      </c>
      <c r="V308" s="73">
        <v>1.1</v>
      </c>
      <c r="W308" s="79">
        <v>1.0</v>
      </c>
      <c r="X308" s="83">
        <f>51479/48600</f>
        <v>1.059238683</v>
      </c>
      <c r="Y308" s="83">
        <f>(51479-48600)/(1500000/845)</f>
        <v>1.621836667</v>
      </c>
    </row>
    <row r="309" ht="26.25" customHeight="1">
      <c r="A309" s="72"/>
      <c r="B309" s="73" t="s">
        <v>1168</v>
      </c>
      <c r="C309" s="87" t="s">
        <v>29</v>
      </c>
      <c r="D309" s="97"/>
      <c r="E309" s="97"/>
      <c r="F309" s="98" t="s">
        <v>1179</v>
      </c>
      <c r="G309" s="77" t="s">
        <v>303</v>
      </c>
      <c r="H309" s="91" t="s">
        <v>303</v>
      </c>
      <c r="I309" s="91" t="s">
        <v>303</v>
      </c>
      <c r="J309" s="78" t="s">
        <v>303</v>
      </c>
      <c r="K309" s="79" t="s">
        <v>303</v>
      </c>
      <c r="L309" s="80" t="s">
        <v>303</v>
      </c>
      <c r="M309" s="81" t="s">
        <v>303</v>
      </c>
      <c r="N309" s="79" t="s">
        <v>303</v>
      </c>
      <c r="O309" s="82" t="s">
        <v>303</v>
      </c>
      <c r="P309" s="82" t="s">
        <v>303</v>
      </c>
      <c r="Q309" s="82" t="s">
        <v>303</v>
      </c>
      <c r="R309" s="78" t="s">
        <v>303</v>
      </c>
      <c r="S309" s="79" t="s">
        <v>303</v>
      </c>
      <c r="T309" s="84" t="s">
        <v>303</v>
      </c>
      <c r="U309" s="78" t="s">
        <v>303</v>
      </c>
      <c r="V309" s="85" t="s">
        <v>303</v>
      </c>
      <c r="W309" s="79" t="s">
        <v>303</v>
      </c>
      <c r="X309" s="79" t="s">
        <v>303</v>
      </c>
      <c r="Y309" s="79" t="s">
        <v>303</v>
      </c>
    </row>
    <row r="310" ht="26.25" customHeight="1">
      <c r="A310" s="72"/>
      <c r="B310" s="73" t="s">
        <v>1168</v>
      </c>
      <c r="C310" s="87" t="s">
        <v>1180</v>
      </c>
      <c r="D310" s="75">
        <v>1269.0</v>
      </c>
      <c r="E310" s="75" t="s">
        <v>1181</v>
      </c>
      <c r="F310" s="76" t="s">
        <v>1182</v>
      </c>
      <c r="G310" s="91" t="s">
        <v>834</v>
      </c>
      <c r="H310" s="77">
        <f>(1104*18+1146*5+1269*2)</f>
        <v>28140</v>
      </c>
      <c r="I310" s="77">
        <v>5.0</v>
      </c>
      <c r="J310" s="95">
        <f>1.25*1.22*1.15</f>
        <v>1.75375</v>
      </c>
      <c r="K310" s="79">
        <f t="shared" ref="K310:K349" si="248">H310/I310/J310/V310/U310</f>
        <v>2917.384825</v>
      </c>
      <c r="L310" s="80" t="s">
        <v>303</v>
      </c>
      <c r="M310" s="81" t="s">
        <v>303</v>
      </c>
      <c r="N310" s="79" t="s">
        <v>303</v>
      </c>
      <c r="O310" s="82" t="s">
        <v>303</v>
      </c>
      <c r="P310" s="82" t="s">
        <v>303</v>
      </c>
      <c r="Q310" s="82" t="s">
        <v>303</v>
      </c>
      <c r="R310" s="78" t="s">
        <v>303</v>
      </c>
      <c r="S310" s="79" t="s">
        <v>303</v>
      </c>
      <c r="T310" s="84" t="s">
        <v>705</v>
      </c>
      <c r="U310" s="86">
        <v>1.0</v>
      </c>
      <c r="V310" s="73">
        <v>1.1</v>
      </c>
      <c r="W310" s="79">
        <v>1.0</v>
      </c>
      <c r="X310" s="83">
        <f>92308/91731</f>
        <v>1.006290131</v>
      </c>
      <c r="Y310" s="83">
        <f>(92308-91731)/(1500000/845)</f>
        <v>0.3250433333</v>
      </c>
    </row>
    <row r="311" ht="26.25" customHeight="1">
      <c r="A311" s="72"/>
      <c r="B311" s="73" t="s">
        <v>1168</v>
      </c>
      <c r="C311" s="87" t="s">
        <v>1180</v>
      </c>
      <c r="D311" s="75">
        <v>6099.0</v>
      </c>
      <c r="E311" s="76"/>
      <c r="F311" s="76" t="s">
        <v>1175</v>
      </c>
      <c r="G311" s="77" t="s">
        <v>658</v>
      </c>
      <c r="H311" s="77">
        <v>6099.0</v>
      </c>
      <c r="I311" s="77">
        <v>1.0</v>
      </c>
      <c r="J311" s="78">
        <f t="shared" ref="J311:J314" si="249">IFS(G311="S",21494/2048*1.25,G311="C",1.25*2*1.22,OR(G311="R",G311="T"),1.25*1.22)</f>
        <v>13.11889648</v>
      </c>
      <c r="K311" s="79">
        <f t="shared" si="248"/>
        <v>422.6380977</v>
      </c>
      <c r="L311" s="80" t="s">
        <v>658</v>
      </c>
      <c r="M311" s="81">
        <v>5.0</v>
      </c>
      <c r="N311" s="83" t="s">
        <v>659</v>
      </c>
      <c r="O311" s="82">
        <v>90.023753</v>
      </c>
      <c r="P311" s="82">
        <v>77.790974</v>
      </c>
      <c r="Q311" s="82">
        <f t="shared" ref="Q311:Q318" si="250">O311-P311</f>
        <v>12.232779</v>
      </c>
      <c r="R311" s="78">
        <f t="shared" ref="R311:R314" si="251">IFS(L311="S",21494/2048*1.25)</f>
        <v>13.11889648</v>
      </c>
      <c r="S311" s="83">
        <f t="shared" ref="S311:S314" si="252">IFS(N311="B",Q311/M311/100*249945/R311/V311/U311
*W311,N311="C",Q311/M311/100*249945/R311/V311/U311
)</f>
        <v>423.7498802</v>
      </c>
      <c r="T311" s="84" t="s">
        <v>705</v>
      </c>
      <c r="U311" s="86">
        <v>1.0</v>
      </c>
      <c r="V311" s="73">
        <v>1.1</v>
      </c>
      <c r="W311" s="79">
        <v>1.0</v>
      </c>
      <c r="X311" s="83">
        <f t="shared" ref="X311:X318" si="253">S311/K311</f>
        <v>1.002630578</v>
      </c>
      <c r="Y311" s="83">
        <f t="shared" ref="Y311:Y314" si="254">(S311-K311)*M311*U311*V311*J311/(249945/845)</f>
        <v>0.2712014782</v>
      </c>
    </row>
    <row r="312" ht="26.25" customHeight="1">
      <c r="A312" s="72"/>
      <c r="B312" s="73" t="s">
        <v>1168</v>
      </c>
      <c r="C312" s="87" t="s">
        <v>740</v>
      </c>
      <c r="D312" s="75">
        <v>17301.0</v>
      </c>
      <c r="E312" s="76"/>
      <c r="F312" s="76" t="s">
        <v>1170</v>
      </c>
      <c r="G312" s="77" t="s">
        <v>658</v>
      </c>
      <c r="H312" s="77">
        <v>17301.0</v>
      </c>
      <c r="I312" s="77">
        <v>1.0</v>
      </c>
      <c r="J312" s="78">
        <f t="shared" si="249"/>
        <v>13.11889648</v>
      </c>
      <c r="K312" s="79">
        <f t="shared" si="248"/>
        <v>1198.895184</v>
      </c>
      <c r="L312" s="80" t="s">
        <v>658</v>
      </c>
      <c r="M312" s="81">
        <v>2.0</v>
      </c>
      <c r="N312" s="81" t="s">
        <v>659</v>
      </c>
      <c r="O312" s="82">
        <v>90.023753</v>
      </c>
      <c r="P312" s="82">
        <v>76.128266</v>
      </c>
      <c r="Q312" s="82">
        <f t="shared" si="250"/>
        <v>13.895487</v>
      </c>
      <c r="R312" s="78">
        <f t="shared" si="251"/>
        <v>13.11889648</v>
      </c>
      <c r="S312" s="83">
        <f t="shared" si="252"/>
        <v>1203.367393</v>
      </c>
      <c r="T312" s="84" t="s">
        <v>660</v>
      </c>
      <c r="U312" s="86">
        <v>1.0</v>
      </c>
      <c r="V312" s="73">
        <v>1.1</v>
      </c>
      <c r="W312" s="79">
        <v>1.0</v>
      </c>
      <c r="X312" s="83">
        <f t="shared" si="253"/>
        <v>1.003730275</v>
      </c>
      <c r="Y312" s="83">
        <f t="shared" si="254"/>
        <v>0.4363694409</v>
      </c>
    </row>
    <row r="313" ht="26.25" customHeight="1">
      <c r="A313" s="72"/>
      <c r="B313" s="73" t="s">
        <v>1168</v>
      </c>
      <c r="C313" s="87" t="s">
        <v>740</v>
      </c>
      <c r="D313" s="75">
        <v>10813.0</v>
      </c>
      <c r="E313" s="76"/>
      <c r="F313" s="76" t="s">
        <v>1183</v>
      </c>
      <c r="G313" s="77" t="s">
        <v>658</v>
      </c>
      <c r="H313" s="77">
        <v>10813.0</v>
      </c>
      <c r="I313" s="77">
        <v>1.0</v>
      </c>
      <c r="J313" s="78">
        <f t="shared" si="249"/>
        <v>13.11889648</v>
      </c>
      <c r="K313" s="79">
        <f t="shared" si="248"/>
        <v>749.3008281</v>
      </c>
      <c r="L313" s="80" t="s">
        <v>658</v>
      </c>
      <c r="M313" s="81">
        <v>3.0</v>
      </c>
      <c r="N313" s="81" t="s">
        <v>659</v>
      </c>
      <c r="O313" s="82">
        <v>90.023753</v>
      </c>
      <c r="P313" s="82">
        <v>77.078385</v>
      </c>
      <c r="Q313" s="82">
        <f t="shared" si="250"/>
        <v>12.945368</v>
      </c>
      <c r="R313" s="78">
        <f t="shared" si="251"/>
        <v>13.11889648</v>
      </c>
      <c r="S313" s="83">
        <f t="shared" si="252"/>
        <v>747.3905614</v>
      </c>
      <c r="T313" s="84" t="s">
        <v>660</v>
      </c>
      <c r="U313" s="86">
        <v>1.0</v>
      </c>
      <c r="V313" s="73">
        <v>1.1</v>
      </c>
      <c r="W313" s="79">
        <v>1.0</v>
      </c>
      <c r="X313" s="83">
        <f t="shared" si="253"/>
        <v>0.9974506011</v>
      </c>
      <c r="Y313" s="83">
        <f t="shared" si="254"/>
        <v>-0.2795873483</v>
      </c>
    </row>
    <row r="314" ht="26.25" customHeight="1">
      <c r="A314" s="72"/>
      <c r="B314" s="73" t="s">
        <v>1168</v>
      </c>
      <c r="C314" s="87" t="s">
        <v>740</v>
      </c>
      <c r="D314" s="75">
        <v>3605.0</v>
      </c>
      <c r="E314" s="76"/>
      <c r="F314" s="76" t="s">
        <v>1184</v>
      </c>
      <c r="G314" s="77" t="s">
        <v>658</v>
      </c>
      <c r="H314" s="77">
        <v>3605.0</v>
      </c>
      <c r="I314" s="77">
        <v>1.0</v>
      </c>
      <c r="J314" s="78">
        <f t="shared" si="249"/>
        <v>13.11889648</v>
      </c>
      <c r="K314" s="79">
        <f t="shared" si="248"/>
        <v>249.8131402</v>
      </c>
      <c r="L314" s="80" t="s">
        <v>658</v>
      </c>
      <c r="M314" s="81">
        <v>3.0</v>
      </c>
      <c r="N314" s="81" t="s">
        <v>659</v>
      </c>
      <c r="O314" s="82">
        <v>90.023753</v>
      </c>
      <c r="P314" s="82">
        <v>85.629454</v>
      </c>
      <c r="Q314" s="82">
        <f t="shared" si="250"/>
        <v>4.394299</v>
      </c>
      <c r="R314" s="78">
        <f t="shared" si="251"/>
        <v>13.11889648</v>
      </c>
      <c r="S314" s="83">
        <f t="shared" si="252"/>
        <v>253.70137</v>
      </c>
      <c r="T314" s="84" t="s">
        <v>660</v>
      </c>
      <c r="U314" s="86">
        <v>1.0</v>
      </c>
      <c r="V314" s="73">
        <v>1.1</v>
      </c>
      <c r="W314" s="79">
        <v>1.0</v>
      </c>
      <c r="X314" s="83">
        <f t="shared" si="253"/>
        <v>1.015564553</v>
      </c>
      <c r="Y314" s="83">
        <f t="shared" si="254"/>
        <v>0.5690827464</v>
      </c>
    </row>
    <row r="315" ht="26.25" customHeight="1">
      <c r="A315" s="72"/>
      <c r="B315" s="85" t="s">
        <v>1168</v>
      </c>
      <c r="C315" s="74" t="s">
        <v>1185</v>
      </c>
      <c r="D315" s="75">
        <v>1389.0</v>
      </c>
      <c r="E315" s="75"/>
      <c r="F315" s="75" t="s">
        <v>1186</v>
      </c>
      <c r="G315" s="77" t="s">
        <v>689</v>
      </c>
      <c r="H315" s="77">
        <v>1389.0</v>
      </c>
      <c r="I315" s="77">
        <v>1.0</v>
      </c>
      <c r="J315" s="78">
        <f t="shared" ref="J315:J321" si="255">2*1.15*1.25</f>
        <v>2.875</v>
      </c>
      <c r="K315" s="79">
        <f t="shared" si="248"/>
        <v>400.1080205</v>
      </c>
      <c r="L315" s="80" t="s">
        <v>689</v>
      </c>
      <c r="M315" s="81">
        <v>31.0</v>
      </c>
      <c r="N315" s="81" t="s">
        <v>659</v>
      </c>
      <c r="O315" s="82">
        <v>100.0</v>
      </c>
      <c r="P315" s="82">
        <v>97.159763</v>
      </c>
      <c r="Q315" s="82">
        <f t="shared" si="250"/>
        <v>2.840237</v>
      </c>
      <c r="R315" s="78">
        <f t="shared" ref="R315:R318" si="256">2*1.15*1.25</f>
        <v>2.875</v>
      </c>
      <c r="S315" s="83">
        <f t="shared" ref="S315:S318" si="257">Q315/M315/100*1500000/R315/V315/U315
</f>
        <v>395.8759855</v>
      </c>
      <c r="T315" s="84" t="s">
        <v>713</v>
      </c>
      <c r="U315" s="78">
        <v>1.05</v>
      </c>
      <c r="V315" s="85">
        <v>1.15</v>
      </c>
      <c r="W315" s="79">
        <v>1.0</v>
      </c>
      <c r="X315" s="83">
        <f t="shared" si="253"/>
        <v>0.9894227688</v>
      </c>
      <c r="Y315" s="83">
        <f t="shared" ref="Y315:Y318" si="258">(S315-K315)*M315*U315*V315*J315/(1500000/845)</f>
        <v>-0.25656735</v>
      </c>
    </row>
    <row r="316" ht="26.25" customHeight="1">
      <c r="A316" s="72"/>
      <c r="B316" s="85" t="s">
        <v>1168</v>
      </c>
      <c r="C316" s="74" t="s">
        <v>1185</v>
      </c>
      <c r="D316" s="75">
        <v>5310.0</v>
      </c>
      <c r="E316" s="75"/>
      <c r="F316" s="75" t="s">
        <v>1187</v>
      </c>
      <c r="G316" s="77" t="s">
        <v>689</v>
      </c>
      <c r="H316" s="77">
        <v>5310.0</v>
      </c>
      <c r="I316" s="77">
        <v>1.0</v>
      </c>
      <c r="J316" s="78">
        <f t="shared" si="255"/>
        <v>2.875</v>
      </c>
      <c r="K316" s="79">
        <f t="shared" si="248"/>
        <v>1529.570618</v>
      </c>
      <c r="L316" s="80" t="s">
        <v>689</v>
      </c>
      <c r="M316" s="81">
        <v>6.0</v>
      </c>
      <c r="N316" s="81" t="s">
        <v>659</v>
      </c>
      <c r="O316" s="82">
        <v>100.0</v>
      </c>
      <c r="P316" s="82">
        <v>97.869822</v>
      </c>
      <c r="Q316" s="82">
        <f t="shared" si="250"/>
        <v>2.130178</v>
      </c>
      <c r="R316" s="78">
        <f t="shared" si="256"/>
        <v>2.875</v>
      </c>
      <c r="S316" s="83">
        <f t="shared" si="257"/>
        <v>1534.019624</v>
      </c>
      <c r="T316" s="84" t="s">
        <v>713</v>
      </c>
      <c r="U316" s="78">
        <v>1.05</v>
      </c>
      <c r="V316" s="85">
        <v>1.15</v>
      </c>
      <c r="W316" s="79">
        <v>1.0</v>
      </c>
      <c r="X316" s="83">
        <f t="shared" si="253"/>
        <v>1.002908663</v>
      </c>
      <c r="Y316" s="83">
        <f t="shared" si="258"/>
        <v>0.0522041</v>
      </c>
    </row>
    <row r="317" ht="26.25" customHeight="1">
      <c r="A317" s="72"/>
      <c r="B317" s="85" t="s">
        <v>1168</v>
      </c>
      <c r="C317" s="74" t="s">
        <v>1185</v>
      </c>
      <c r="D317" s="75">
        <v>2004.0</v>
      </c>
      <c r="E317" s="75" t="s">
        <v>1188</v>
      </c>
      <c r="F317" s="75" t="s">
        <v>1189</v>
      </c>
      <c r="G317" s="77" t="s">
        <v>689</v>
      </c>
      <c r="H317" s="77">
        <f>1211*4+2004+1389*3</f>
        <v>11015</v>
      </c>
      <c r="I317" s="77">
        <v>1.0</v>
      </c>
      <c r="J317" s="78">
        <f t="shared" si="255"/>
        <v>2.875</v>
      </c>
      <c r="K317" s="79">
        <f t="shared" si="248"/>
        <v>3172.922855</v>
      </c>
      <c r="L317" s="80" t="s">
        <v>689</v>
      </c>
      <c r="M317" s="81">
        <v>6.0</v>
      </c>
      <c r="N317" s="81" t="s">
        <v>659</v>
      </c>
      <c r="O317" s="82">
        <v>100.0</v>
      </c>
      <c r="P317" s="82">
        <v>95.502959</v>
      </c>
      <c r="Q317" s="82">
        <f t="shared" si="250"/>
        <v>4.497041</v>
      </c>
      <c r="R317" s="78">
        <f t="shared" si="256"/>
        <v>2.875</v>
      </c>
      <c r="S317" s="83">
        <f t="shared" si="257"/>
        <v>3238.484832</v>
      </c>
      <c r="T317" s="84" t="s">
        <v>713</v>
      </c>
      <c r="U317" s="78">
        <v>1.05</v>
      </c>
      <c r="V317" s="85">
        <v>1.15</v>
      </c>
      <c r="W317" s="79">
        <v>1.0</v>
      </c>
      <c r="X317" s="83">
        <f t="shared" si="253"/>
        <v>1.02066296</v>
      </c>
      <c r="Y317" s="83">
        <f t="shared" si="258"/>
        <v>0.76929645</v>
      </c>
    </row>
    <row r="318" ht="26.25" customHeight="1">
      <c r="A318" s="72"/>
      <c r="B318" s="85" t="s">
        <v>1168</v>
      </c>
      <c r="C318" s="74" t="s">
        <v>1185</v>
      </c>
      <c r="D318" s="75">
        <v>5310.0</v>
      </c>
      <c r="E318" s="75" t="s">
        <v>1190</v>
      </c>
      <c r="F318" s="75" t="s">
        <v>1191</v>
      </c>
      <c r="G318" s="77" t="s">
        <v>689</v>
      </c>
      <c r="H318" s="77">
        <v>56139.0</v>
      </c>
      <c r="I318" s="77">
        <v>4.0</v>
      </c>
      <c r="J318" s="78">
        <f t="shared" si="255"/>
        <v>2.875</v>
      </c>
      <c r="K318" s="79">
        <f t="shared" si="248"/>
        <v>4042.776127</v>
      </c>
      <c r="L318" s="80" t="s">
        <v>689</v>
      </c>
      <c r="M318" s="81">
        <v>4.0</v>
      </c>
      <c r="N318" s="81" t="s">
        <v>659</v>
      </c>
      <c r="O318" s="82">
        <v>91.597633</v>
      </c>
      <c r="P318" s="82">
        <v>87.810651</v>
      </c>
      <c r="Q318" s="82">
        <f t="shared" si="250"/>
        <v>3.786982</v>
      </c>
      <c r="R318" s="78">
        <f t="shared" si="256"/>
        <v>2.875</v>
      </c>
      <c r="S318" s="83">
        <f t="shared" si="257"/>
        <v>4090.717796</v>
      </c>
      <c r="T318" s="84" t="s">
        <v>713</v>
      </c>
      <c r="U318" s="78">
        <v>1.05</v>
      </c>
      <c r="V318" s="85">
        <v>1.15</v>
      </c>
      <c r="W318" s="79">
        <v>1.0</v>
      </c>
      <c r="X318" s="83">
        <f t="shared" si="253"/>
        <v>1.011858601</v>
      </c>
      <c r="Y318" s="83">
        <f t="shared" si="258"/>
        <v>0.3750279</v>
      </c>
    </row>
    <row r="319" ht="26.25" customHeight="1">
      <c r="A319" s="72"/>
      <c r="B319" s="85" t="s">
        <v>1168</v>
      </c>
      <c r="C319" s="74" t="s">
        <v>1185</v>
      </c>
      <c r="D319" s="75">
        <v>2004.0</v>
      </c>
      <c r="E319" s="75" t="s">
        <v>1192</v>
      </c>
      <c r="F319" s="75" t="s">
        <v>1193</v>
      </c>
      <c r="G319" s="77" t="s">
        <v>689</v>
      </c>
      <c r="H319" s="77">
        <v>96729.0</v>
      </c>
      <c r="I319" s="77">
        <v>7.0</v>
      </c>
      <c r="J319" s="78">
        <f t="shared" si="255"/>
        <v>2.875</v>
      </c>
      <c r="K319" s="79">
        <f t="shared" si="248"/>
        <v>3980.463717</v>
      </c>
      <c r="L319" s="80" t="s">
        <v>303</v>
      </c>
      <c r="M319" s="81" t="s">
        <v>303</v>
      </c>
      <c r="N319" s="79" t="s">
        <v>303</v>
      </c>
      <c r="O319" s="82" t="s">
        <v>303</v>
      </c>
      <c r="P319" s="82" t="s">
        <v>303</v>
      </c>
      <c r="Q319" s="82" t="s">
        <v>303</v>
      </c>
      <c r="R319" s="78" t="s">
        <v>303</v>
      </c>
      <c r="S319" s="79" t="s">
        <v>303</v>
      </c>
      <c r="T319" s="84" t="s">
        <v>713</v>
      </c>
      <c r="U319" s="78">
        <v>1.05</v>
      </c>
      <c r="V319" s="85">
        <v>1.15</v>
      </c>
      <c r="W319" s="79">
        <v>1.0</v>
      </c>
      <c r="X319" s="83">
        <f>99408/96723</f>
        <v>1.027759685</v>
      </c>
      <c r="Y319" s="83">
        <f>(99408-96723)/(1500000/845)</f>
        <v>1.51255</v>
      </c>
    </row>
    <row r="320" ht="26.25" customHeight="1">
      <c r="A320" s="72"/>
      <c r="B320" s="85" t="s">
        <v>1168</v>
      </c>
      <c r="C320" s="74" t="s">
        <v>1185</v>
      </c>
      <c r="D320" s="75">
        <v>2004.0</v>
      </c>
      <c r="E320" s="75" t="s">
        <v>1192</v>
      </c>
      <c r="F320" s="75" t="s">
        <v>1194</v>
      </c>
      <c r="G320" s="77" t="s">
        <v>689</v>
      </c>
      <c r="H320" s="77">
        <v>63228.0</v>
      </c>
      <c r="I320" s="77">
        <v>4.0</v>
      </c>
      <c r="J320" s="78">
        <f t="shared" si="255"/>
        <v>2.875</v>
      </c>
      <c r="K320" s="79">
        <f t="shared" si="248"/>
        <v>4553.281123</v>
      </c>
      <c r="L320" s="80" t="s">
        <v>689</v>
      </c>
      <c r="M320" s="81">
        <v>4.0</v>
      </c>
      <c r="N320" s="81" t="s">
        <v>659</v>
      </c>
      <c r="O320" s="82">
        <v>100.0</v>
      </c>
      <c r="P320" s="82">
        <v>95.739645</v>
      </c>
      <c r="Q320" s="82">
        <f t="shared" ref="Q320:Q321" si="259">O320-P320</f>
        <v>4.260355</v>
      </c>
      <c r="R320" s="78">
        <f t="shared" ref="R320:R321" si="260">2*1.15*1.25</f>
        <v>2.875</v>
      </c>
      <c r="S320" s="83">
        <f t="shared" ref="S320:S321" si="261">Q320/M320/100*1500000/R320/V320/U320
</f>
        <v>4602.057791</v>
      </c>
      <c r="T320" s="84" t="s">
        <v>713</v>
      </c>
      <c r="U320" s="78">
        <v>1.05</v>
      </c>
      <c r="V320" s="85">
        <v>1.15</v>
      </c>
      <c r="W320" s="79">
        <v>1.0</v>
      </c>
      <c r="X320" s="83">
        <f t="shared" ref="X320:X321" si="262">S320/K320</f>
        <v>1.010712422</v>
      </c>
      <c r="Y320" s="83">
        <f t="shared" ref="Y320:Y321" si="263">(S320-K320)*M320*U320*V320*J320/(1500000/845)</f>
        <v>0.38155975</v>
      </c>
    </row>
    <row r="321" ht="26.25" customHeight="1">
      <c r="A321" s="72"/>
      <c r="B321" s="85" t="s">
        <v>1168</v>
      </c>
      <c r="C321" s="74" t="s">
        <v>1185</v>
      </c>
      <c r="D321" s="75">
        <v>2004.0</v>
      </c>
      <c r="E321" s="75" t="s">
        <v>1192</v>
      </c>
      <c r="F321" s="75" t="s">
        <v>1195</v>
      </c>
      <c r="G321" s="77" t="s">
        <v>689</v>
      </c>
      <c r="H321" s="77">
        <v>94406.0</v>
      </c>
      <c r="I321" s="77">
        <v>7.0</v>
      </c>
      <c r="J321" s="78">
        <f t="shared" si="255"/>
        <v>2.875</v>
      </c>
      <c r="K321" s="79">
        <f t="shared" si="248"/>
        <v>3884.870697</v>
      </c>
      <c r="L321" s="80" t="s">
        <v>689</v>
      </c>
      <c r="M321" s="81">
        <v>7.0</v>
      </c>
      <c r="N321" s="81" t="s">
        <v>659</v>
      </c>
      <c r="O321" s="82">
        <v>100.0</v>
      </c>
      <c r="P321" s="82">
        <v>93.727811</v>
      </c>
      <c r="Q321" s="82">
        <f t="shared" si="259"/>
        <v>6.272189</v>
      </c>
      <c r="R321" s="78">
        <f t="shared" si="260"/>
        <v>2.875</v>
      </c>
      <c r="S321" s="83">
        <f t="shared" si="261"/>
        <v>3871.572239</v>
      </c>
      <c r="T321" s="84" t="s">
        <v>713</v>
      </c>
      <c r="U321" s="78">
        <v>1.05</v>
      </c>
      <c r="V321" s="85">
        <v>1.15</v>
      </c>
      <c r="W321" s="79">
        <v>1.0</v>
      </c>
      <c r="X321" s="83">
        <f t="shared" si="262"/>
        <v>0.9965768595</v>
      </c>
      <c r="Y321" s="83">
        <f t="shared" si="263"/>
        <v>-0.1820496167</v>
      </c>
    </row>
    <row r="322" ht="26.25" customHeight="1">
      <c r="A322" s="72"/>
      <c r="B322" s="73" t="s">
        <v>1168</v>
      </c>
      <c r="C322" s="87" t="s">
        <v>1196</v>
      </c>
      <c r="D322" s="93">
        <v>2536.0</v>
      </c>
      <c r="E322" s="93" t="s">
        <v>1197</v>
      </c>
      <c r="F322" s="76" t="s">
        <v>1198</v>
      </c>
      <c r="G322" s="91" t="s">
        <v>834</v>
      </c>
      <c r="H322" s="77">
        <v>29640.0</v>
      </c>
      <c r="I322" s="77">
        <v>5.0</v>
      </c>
      <c r="J322" s="78">
        <f t="shared" ref="J322:J328" si="264">IFS(G322="S",21494/2048*1.25,G322="C",1.25*2*1.22,OR(G322="R",G322="T"),1.25*1.22)</f>
        <v>1.525</v>
      </c>
      <c r="K322" s="79">
        <f t="shared" si="248"/>
        <v>3533.830104</v>
      </c>
      <c r="L322" s="80" t="s">
        <v>303</v>
      </c>
      <c r="M322" s="81" t="s">
        <v>303</v>
      </c>
      <c r="N322" s="79" t="s">
        <v>303</v>
      </c>
      <c r="O322" s="82" t="s">
        <v>303</v>
      </c>
      <c r="P322" s="82" t="s">
        <v>303</v>
      </c>
      <c r="Q322" s="82" t="s">
        <v>303</v>
      </c>
      <c r="R322" s="78" t="s">
        <v>303</v>
      </c>
      <c r="S322" s="79" t="s">
        <v>303</v>
      </c>
      <c r="T322" s="84" t="s">
        <v>705</v>
      </c>
      <c r="U322" s="86">
        <v>1.0</v>
      </c>
      <c r="V322" s="73">
        <v>1.1</v>
      </c>
      <c r="W322" s="79">
        <v>1.0</v>
      </c>
      <c r="X322" s="83">
        <f>71006/71570</f>
        <v>0.9921196032</v>
      </c>
      <c r="Y322" s="83">
        <f>(71006-71570)/(1500000/845)</f>
        <v>-0.31772</v>
      </c>
    </row>
    <row r="323" ht="26.25" customHeight="1">
      <c r="A323" s="72"/>
      <c r="B323" s="73" t="s">
        <v>1168</v>
      </c>
      <c r="C323" s="87" t="s">
        <v>1196</v>
      </c>
      <c r="D323" s="93">
        <v>2286.0</v>
      </c>
      <c r="E323" s="93" t="s">
        <v>1199</v>
      </c>
      <c r="F323" s="76" t="s">
        <v>1200</v>
      </c>
      <c r="G323" s="91" t="s">
        <v>834</v>
      </c>
      <c r="H323" s="77">
        <v>27936.0</v>
      </c>
      <c r="I323" s="77">
        <v>4.0</v>
      </c>
      <c r="J323" s="78">
        <f t="shared" si="264"/>
        <v>1.525</v>
      </c>
      <c r="K323" s="79">
        <f t="shared" si="248"/>
        <v>4163.338301</v>
      </c>
      <c r="L323" s="80" t="s">
        <v>834</v>
      </c>
      <c r="M323" s="81">
        <v>4.0</v>
      </c>
      <c r="N323" s="81" t="s">
        <v>659</v>
      </c>
      <c r="O323" s="82">
        <v>100.0</v>
      </c>
      <c r="P323" s="82">
        <v>83.610451</v>
      </c>
      <c r="Q323" s="82">
        <f t="shared" ref="Q323:Q324" si="265">O323-P323</f>
        <v>16.389549</v>
      </c>
      <c r="R323" s="78">
        <f t="shared" ref="R323:R324" si="266">1.25*1.22</f>
        <v>1.525</v>
      </c>
      <c r="S323" s="83">
        <f t="shared" ref="S323:S324" si="267">IFS(N323="B",Q323/M323/100*170255/R323/V323/U323
*W323,N323="C",Q323/M323/100*170255/R323/V323/U323
)</f>
        <v>4158.573271</v>
      </c>
      <c r="T323" s="84" t="s">
        <v>705</v>
      </c>
      <c r="U323" s="86">
        <v>1.0</v>
      </c>
      <c r="V323" s="73">
        <v>1.1</v>
      </c>
      <c r="W323" s="79">
        <v>1.0</v>
      </c>
      <c r="X323" s="83">
        <f t="shared" ref="X323:X324" si="268">S323/K323</f>
        <v>0.9988554786</v>
      </c>
      <c r="Y323" s="83">
        <f t="shared" ref="Y323:Y324" si="269">(S323-K323)*M323*U323*V323*J323/(249945/845)</f>
        <v>-0.1080937038</v>
      </c>
    </row>
    <row r="324" ht="26.25" customHeight="1">
      <c r="A324" s="72"/>
      <c r="B324" s="73" t="s">
        <v>1168</v>
      </c>
      <c r="C324" s="87" t="s">
        <v>1196</v>
      </c>
      <c r="D324" s="93">
        <v>2286.0</v>
      </c>
      <c r="E324" s="93" t="s">
        <v>1199</v>
      </c>
      <c r="F324" s="76" t="s">
        <v>1201</v>
      </c>
      <c r="G324" s="91" t="s">
        <v>834</v>
      </c>
      <c r="H324" s="77">
        <v>24978.0</v>
      </c>
      <c r="I324" s="77">
        <v>3.0</v>
      </c>
      <c r="J324" s="78">
        <f t="shared" si="264"/>
        <v>1.525</v>
      </c>
      <c r="K324" s="79">
        <f t="shared" si="248"/>
        <v>4963.338301</v>
      </c>
      <c r="L324" s="80" t="s">
        <v>834</v>
      </c>
      <c r="M324" s="81">
        <v>3.0</v>
      </c>
      <c r="N324" s="81" t="s">
        <v>659</v>
      </c>
      <c r="O324" s="82">
        <v>100.0</v>
      </c>
      <c r="P324" s="82">
        <v>85.273159</v>
      </c>
      <c r="Q324" s="82">
        <f t="shared" si="265"/>
        <v>14.726841</v>
      </c>
      <c r="R324" s="78">
        <f t="shared" si="266"/>
        <v>1.525</v>
      </c>
      <c r="S324" s="83">
        <f t="shared" si="267"/>
        <v>4982.251991</v>
      </c>
      <c r="T324" s="84" t="s">
        <v>705</v>
      </c>
      <c r="U324" s="86">
        <v>1.0</v>
      </c>
      <c r="V324" s="73">
        <v>1.1</v>
      </c>
      <c r="W324" s="79">
        <v>1.0</v>
      </c>
      <c r="X324" s="83">
        <f t="shared" si="268"/>
        <v>1.003810679</v>
      </c>
      <c r="Y324" s="83">
        <f t="shared" si="269"/>
        <v>0.3217898223</v>
      </c>
    </row>
    <row r="325" ht="26.25" customHeight="1">
      <c r="A325" s="72"/>
      <c r="B325" s="73" t="s">
        <v>1168</v>
      </c>
      <c r="C325" s="87" t="s">
        <v>1196</v>
      </c>
      <c r="D325" s="75">
        <v>6294.0</v>
      </c>
      <c r="E325" s="75" t="s">
        <v>1173</v>
      </c>
      <c r="F325" s="75" t="s">
        <v>1202</v>
      </c>
      <c r="G325" s="77" t="s">
        <v>658</v>
      </c>
      <c r="H325" s="77">
        <f>6294+3803*4</f>
        <v>21506</v>
      </c>
      <c r="I325" s="77">
        <v>1.0</v>
      </c>
      <c r="J325" s="78">
        <f t="shared" si="264"/>
        <v>13.11889648</v>
      </c>
      <c r="K325" s="79">
        <f t="shared" si="248"/>
        <v>1490.286101</v>
      </c>
      <c r="L325" s="80" t="s">
        <v>303</v>
      </c>
      <c r="M325" s="81" t="s">
        <v>303</v>
      </c>
      <c r="N325" s="79" t="s">
        <v>303</v>
      </c>
      <c r="O325" s="82" t="s">
        <v>303</v>
      </c>
      <c r="P325" s="82" t="s">
        <v>303</v>
      </c>
      <c r="Q325" s="82" t="s">
        <v>303</v>
      </c>
      <c r="R325" s="78" t="s">
        <v>303</v>
      </c>
      <c r="S325" s="79" t="s">
        <v>303</v>
      </c>
      <c r="T325" s="84" t="s">
        <v>705</v>
      </c>
      <c r="U325" s="86">
        <v>1.0</v>
      </c>
      <c r="V325" s="73">
        <v>1.1</v>
      </c>
      <c r="W325" s="79">
        <v>1.0</v>
      </c>
      <c r="X325" s="83">
        <f>81657/78507</f>
        <v>1.040123811</v>
      </c>
      <c r="Y325" s="83">
        <f>(81657-78507)/(1500000/845)</f>
        <v>1.7745</v>
      </c>
    </row>
    <row r="326" ht="26.25" customHeight="1">
      <c r="A326" s="72"/>
      <c r="B326" s="73" t="s">
        <v>1168</v>
      </c>
      <c r="C326" s="87" t="s">
        <v>1196</v>
      </c>
      <c r="D326" s="75">
        <v>6294.0</v>
      </c>
      <c r="E326" s="76"/>
      <c r="F326" s="76" t="s">
        <v>1175</v>
      </c>
      <c r="G326" s="77" t="s">
        <v>658</v>
      </c>
      <c r="H326" s="77">
        <v>6294.0</v>
      </c>
      <c r="I326" s="77">
        <v>1.0</v>
      </c>
      <c r="J326" s="78">
        <f t="shared" si="264"/>
        <v>13.11889648</v>
      </c>
      <c r="K326" s="79">
        <f t="shared" si="248"/>
        <v>436.1508751</v>
      </c>
      <c r="L326" s="80" t="s">
        <v>658</v>
      </c>
      <c r="M326" s="81">
        <v>6.0</v>
      </c>
      <c r="N326" s="81" t="s">
        <v>659</v>
      </c>
      <c r="O326" s="82">
        <v>90.023753</v>
      </c>
      <c r="P326" s="82">
        <v>74.940618</v>
      </c>
      <c r="Q326" s="82">
        <f t="shared" ref="Q326:Q336" si="270">O326-P326</f>
        <v>15.083135</v>
      </c>
      <c r="R326" s="78">
        <f t="shared" ref="R326:R327" si="271">IFS(L326="S",21494/2048*1.25)</f>
        <v>13.11889648</v>
      </c>
      <c r="S326" s="83">
        <f t="shared" ref="S326:S327" si="272">IFS(N326="B",Q326/M326/100*249945/R326/V326/U326
*W326,N326="C",Q326/M326/100*249945/R326/V326/U326
)</f>
        <v>435.4064224</v>
      </c>
      <c r="T326" s="84" t="s">
        <v>705</v>
      </c>
      <c r="U326" s="86">
        <v>1.0</v>
      </c>
      <c r="V326" s="73">
        <v>1.1</v>
      </c>
      <c r="W326" s="79">
        <v>1.0</v>
      </c>
      <c r="X326" s="83">
        <f t="shared" ref="X326:X332" si="273">S326/K326</f>
        <v>0.9982931304</v>
      </c>
      <c r="Y326" s="83">
        <f t="shared" ref="Y326:Y328" si="274">(S326-K326)*M326*U326*V326*J326/(249945/845)</f>
        <v>-0.2179167396</v>
      </c>
    </row>
    <row r="327" ht="26.25" customHeight="1">
      <c r="A327" s="73"/>
      <c r="B327" s="73" t="s">
        <v>1168</v>
      </c>
      <c r="C327" s="87" t="s">
        <v>1203</v>
      </c>
      <c r="D327" s="75">
        <v>3605.0</v>
      </c>
      <c r="E327" s="76"/>
      <c r="F327" s="76" t="s">
        <v>1170</v>
      </c>
      <c r="G327" s="77" t="s">
        <v>658</v>
      </c>
      <c r="H327" s="77">
        <f>6*3605</f>
        <v>21630</v>
      </c>
      <c r="I327" s="77">
        <v>1.0</v>
      </c>
      <c r="J327" s="78">
        <f t="shared" si="264"/>
        <v>13.11889648</v>
      </c>
      <c r="K327" s="79">
        <f t="shared" si="248"/>
        <v>1498.878841</v>
      </c>
      <c r="L327" s="80" t="s">
        <v>658</v>
      </c>
      <c r="M327" s="81">
        <v>2.0</v>
      </c>
      <c r="N327" s="81" t="s">
        <v>659</v>
      </c>
      <c r="O327" s="82">
        <v>84.204276</v>
      </c>
      <c r="P327" s="82">
        <v>66.864608</v>
      </c>
      <c r="Q327" s="82">
        <f t="shared" si="270"/>
        <v>17.339668</v>
      </c>
      <c r="R327" s="78">
        <f t="shared" si="271"/>
        <v>13.11889648</v>
      </c>
      <c r="S327" s="83">
        <f t="shared" si="272"/>
        <v>1501.637984</v>
      </c>
      <c r="T327" s="84" t="s">
        <v>660</v>
      </c>
      <c r="U327" s="86">
        <v>1.0</v>
      </c>
      <c r="V327" s="73">
        <v>1.1</v>
      </c>
      <c r="W327" s="79">
        <v>1.0</v>
      </c>
      <c r="X327" s="83">
        <f t="shared" si="273"/>
        <v>1.001840804</v>
      </c>
      <c r="Y327" s="83">
        <f t="shared" si="274"/>
        <v>0.2692193855</v>
      </c>
    </row>
    <row r="328" ht="26.25" customHeight="1">
      <c r="A328" s="72"/>
      <c r="B328" s="73" t="s">
        <v>1168</v>
      </c>
      <c r="C328" s="87" t="s">
        <v>1204</v>
      </c>
      <c r="D328" s="76">
        <v>8286.0</v>
      </c>
      <c r="E328" s="76" t="s">
        <v>1205</v>
      </c>
      <c r="F328" s="76" t="s">
        <v>1206</v>
      </c>
      <c r="G328" s="77" t="s">
        <v>834</v>
      </c>
      <c r="H328" s="77">
        <v>15990.0</v>
      </c>
      <c r="I328" s="77">
        <v>5.0</v>
      </c>
      <c r="J328" s="78">
        <f t="shared" si="264"/>
        <v>1.525</v>
      </c>
      <c r="K328" s="79">
        <f t="shared" si="248"/>
        <v>1906.408346</v>
      </c>
      <c r="L328" s="80" t="s">
        <v>834</v>
      </c>
      <c r="M328" s="81">
        <v>5.0</v>
      </c>
      <c r="N328" s="81" t="s">
        <v>659</v>
      </c>
      <c r="O328" s="82">
        <v>100.0</v>
      </c>
      <c r="P328" s="82">
        <v>90.498812</v>
      </c>
      <c r="Q328" s="82">
        <f t="shared" si="270"/>
        <v>9.501188</v>
      </c>
      <c r="R328" s="78">
        <f>1.25*1.22</f>
        <v>1.525</v>
      </c>
      <c r="S328" s="83">
        <f>IFS(N328="B",Q328/M328/100*170255/R328/V328/U328
*W328,N328="C",Q328/M328/100*170255/R328/V328/U328
)</f>
        <v>1928.613726</v>
      </c>
      <c r="T328" s="84" t="s">
        <v>705</v>
      </c>
      <c r="U328" s="86">
        <v>1.0</v>
      </c>
      <c r="V328" s="73">
        <v>1.1</v>
      </c>
      <c r="W328" s="79">
        <v>1.0</v>
      </c>
      <c r="X328" s="83">
        <f t="shared" si="273"/>
        <v>1.011647757</v>
      </c>
      <c r="Y328" s="83">
        <f t="shared" si="274"/>
        <v>0.6296555116</v>
      </c>
    </row>
    <row r="329" ht="26.25" customHeight="1">
      <c r="A329" s="72"/>
      <c r="B329" s="73" t="s">
        <v>1168</v>
      </c>
      <c r="C329" s="74" t="s">
        <v>1207</v>
      </c>
      <c r="D329" s="75">
        <v>1997.0</v>
      </c>
      <c r="E329" s="75" t="s">
        <v>1208</v>
      </c>
      <c r="F329" s="75" t="s">
        <v>1209</v>
      </c>
      <c r="G329" s="77" t="s">
        <v>689</v>
      </c>
      <c r="H329" s="77">
        <v>48696.0</v>
      </c>
      <c r="I329" s="77">
        <v>21.0</v>
      </c>
      <c r="J329" s="78">
        <f t="shared" ref="J329:J332" si="275">2*1.15*1.25*1.25*1.1</f>
        <v>3.953125</v>
      </c>
      <c r="K329" s="79">
        <f t="shared" si="248"/>
        <v>507.868717</v>
      </c>
      <c r="L329" s="80" t="s">
        <v>689</v>
      </c>
      <c r="M329" s="81">
        <v>21.0</v>
      </c>
      <c r="N329" s="81" t="s">
        <v>659</v>
      </c>
      <c r="O329" s="82">
        <v>97.633136</v>
      </c>
      <c r="P329" s="82">
        <v>94.319527</v>
      </c>
      <c r="Q329" s="82">
        <f t="shared" si="270"/>
        <v>3.313609</v>
      </c>
      <c r="R329" s="78">
        <f t="shared" ref="R329:R332" si="276">2*1.15*1.25*1.25*1.1</f>
        <v>3.953125</v>
      </c>
      <c r="S329" s="83">
        <f t="shared" ref="S329:S332" si="277">Q329/M329/100*1500000/R329/V329/U329
</f>
        <v>518.3829323</v>
      </c>
      <c r="T329" s="84" t="s">
        <v>757</v>
      </c>
      <c r="U329" s="78">
        <v>1.05</v>
      </c>
      <c r="V329" s="73">
        <v>1.1</v>
      </c>
      <c r="W329" s="79">
        <v>1.0</v>
      </c>
      <c r="X329" s="83">
        <f t="shared" si="273"/>
        <v>1.020702624</v>
      </c>
      <c r="Y329" s="83">
        <f t="shared" ref="Y329:Y332" si="278">(S329-K329)*M329*U329*V329*J329/(1500000/845)</f>
        <v>0.56791605</v>
      </c>
    </row>
    <row r="330" ht="26.25" customHeight="1">
      <c r="A330" s="72"/>
      <c r="B330" s="73" t="s">
        <v>1168</v>
      </c>
      <c r="C330" s="74" t="s">
        <v>1207</v>
      </c>
      <c r="D330" s="75">
        <v>1997.0</v>
      </c>
      <c r="E330" s="75"/>
      <c r="F330" s="75" t="s">
        <v>1210</v>
      </c>
      <c r="G330" s="77" t="s">
        <v>689</v>
      </c>
      <c r="H330" s="77">
        <v>1997.0</v>
      </c>
      <c r="I330" s="77">
        <v>1.0</v>
      </c>
      <c r="J330" s="78">
        <f t="shared" si="275"/>
        <v>3.953125</v>
      </c>
      <c r="K330" s="79">
        <f t="shared" si="248"/>
        <v>437.3765892</v>
      </c>
      <c r="L330" s="80" t="s">
        <v>689</v>
      </c>
      <c r="M330" s="81">
        <v>37.0</v>
      </c>
      <c r="N330" s="81" t="s">
        <v>659</v>
      </c>
      <c r="O330" s="82">
        <v>97.04142</v>
      </c>
      <c r="P330" s="82">
        <v>92.071006</v>
      </c>
      <c r="Q330" s="82">
        <f t="shared" si="270"/>
        <v>4.970414</v>
      </c>
      <c r="R330" s="78">
        <f t="shared" si="276"/>
        <v>3.953125</v>
      </c>
      <c r="S330" s="83">
        <f t="shared" si="277"/>
        <v>441.3260544</v>
      </c>
      <c r="T330" s="84" t="s">
        <v>757</v>
      </c>
      <c r="U330" s="78">
        <v>1.05</v>
      </c>
      <c r="V330" s="73">
        <v>1.1</v>
      </c>
      <c r="W330" s="79">
        <v>1.0</v>
      </c>
      <c r="X330" s="83">
        <f t="shared" si="273"/>
        <v>1.009029896</v>
      </c>
      <c r="Y330" s="83">
        <f t="shared" si="278"/>
        <v>0.3758616333</v>
      </c>
    </row>
    <row r="331" ht="26.25" customHeight="1">
      <c r="A331" s="72"/>
      <c r="B331" s="73" t="s">
        <v>1168</v>
      </c>
      <c r="C331" s="74" t="s">
        <v>1207</v>
      </c>
      <c r="D331" s="75">
        <v>3277.0</v>
      </c>
      <c r="E331" s="75" t="s">
        <v>1211</v>
      </c>
      <c r="F331" s="75" t="s">
        <v>1212</v>
      </c>
      <c r="G331" s="77" t="s">
        <v>689</v>
      </c>
      <c r="H331" s="77">
        <v>120690.0</v>
      </c>
      <c r="I331" s="77">
        <v>1.0</v>
      </c>
      <c r="J331" s="78">
        <f t="shared" si="275"/>
        <v>3.953125</v>
      </c>
      <c r="K331" s="79">
        <f t="shared" si="248"/>
        <v>26433.13998</v>
      </c>
      <c r="L331" s="80" t="s">
        <v>689</v>
      </c>
      <c r="M331" s="81">
        <v>1.0</v>
      </c>
      <c r="N331" s="81" t="s">
        <v>659</v>
      </c>
      <c r="O331" s="82">
        <v>94.319527</v>
      </c>
      <c r="P331" s="82">
        <v>86.272189</v>
      </c>
      <c r="Q331" s="82">
        <f t="shared" si="270"/>
        <v>8.047338</v>
      </c>
      <c r="R331" s="78">
        <f t="shared" si="276"/>
        <v>3.953125</v>
      </c>
      <c r="S331" s="83">
        <f t="shared" si="277"/>
        <v>26437.53565</v>
      </c>
      <c r="T331" s="84" t="s">
        <v>757</v>
      </c>
      <c r="U331" s="78">
        <v>1.05</v>
      </c>
      <c r="V331" s="73">
        <v>1.1</v>
      </c>
      <c r="W331" s="79">
        <v>1.0</v>
      </c>
      <c r="X331" s="83">
        <f t="shared" si="273"/>
        <v>1.000166294</v>
      </c>
      <c r="Y331" s="83">
        <f t="shared" si="278"/>
        <v>0.0113061</v>
      </c>
    </row>
    <row r="332" ht="26.25" customHeight="1">
      <c r="A332" s="72"/>
      <c r="B332" s="73" t="s">
        <v>1168</v>
      </c>
      <c r="C332" s="74" t="s">
        <v>1207</v>
      </c>
      <c r="D332" s="75">
        <v>3277.0</v>
      </c>
      <c r="E332" s="75" t="s">
        <v>1211</v>
      </c>
      <c r="F332" s="75" t="s">
        <v>1213</v>
      </c>
      <c r="G332" s="77" t="s">
        <v>689</v>
      </c>
      <c r="H332" s="77">
        <v>110480.0</v>
      </c>
      <c r="I332" s="77">
        <v>1.0</v>
      </c>
      <c r="J332" s="78">
        <f t="shared" si="275"/>
        <v>3.953125</v>
      </c>
      <c r="K332" s="79">
        <f t="shared" si="248"/>
        <v>24196.97825</v>
      </c>
      <c r="L332" s="80" t="s">
        <v>689</v>
      </c>
      <c r="M332" s="81">
        <v>1.0</v>
      </c>
      <c r="N332" s="81" t="s">
        <v>659</v>
      </c>
      <c r="O332" s="82">
        <v>91.83432</v>
      </c>
      <c r="P332" s="82">
        <v>84.497041</v>
      </c>
      <c r="Q332" s="82">
        <f t="shared" si="270"/>
        <v>7.337279</v>
      </c>
      <c r="R332" s="78">
        <f t="shared" si="276"/>
        <v>3.953125</v>
      </c>
      <c r="S332" s="83">
        <f t="shared" si="277"/>
        <v>24104.81269</v>
      </c>
      <c r="T332" s="84" t="s">
        <v>757</v>
      </c>
      <c r="U332" s="78">
        <v>1.05</v>
      </c>
      <c r="V332" s="73">
        <v>1.1</v>
      </c>
      <c r="W332" s="79">
        <v>1.0</v>
      </c>
      <c r="X332" s="83">
        <f t="shared" si="273"/>
        <v>0.9961910301</v>
      </c>
      <c r="Y332" s="83">
        <f t="shared" si="278"/>
        <v>-0.2370591167</v>
      </c>
    </row>
    <row r="333" ht="26.25" customHeight="1">
      <c r="A333" s="72"/>
      <c r="B333" s="73" t="s">
        <v>1168</v>
      </c>
      <c r="C333" s="87" t="s">
        <v>1214</v>
      </c>
      <c r="D333" s="75">
        <v>5930.0</v>
      </c>
      <c r="E333" s="75" t="s">
        <v>1215</v>
      </c>
      <c r="F333" s="75" t="s">
        <v>1202</v>
      </c>
      <c r="G333" s="77" t="s">
        <v>658</v>
      </c>
      <c r="H333" s="77">
        <f>5930+3583*4</f>
        <v>20262</v>
      </c>
      <c r="I333" s="77">
        <v>1.0</v>
      </c>
      <c r="J333" s="78">
        <f t="shared" ref="J333:J334" si="279">IFS(G333="S",21494/2048*1.25,G333="C",1.25*2*1.22,OR(G333="R",G333="T"),1.25*1.22)</f>
        <v>13.11889648</v>
      </c>
      <c r="K333" s="79">
        <f t="shared" si="248"/>
        <v>1276.437737</v>
      </c>
      <c r="L333" s="80" t="s">
        <v>658</v>
      </c>
      <c r="M333" s="81">
        <v>2.0</v>
      </c>
      <c r="N333" s="81" t="s">
        <v>659</v>
      </c>
      <c r="O333" s="82">
        <v>90.023753</v>
      </c>
      <c r="P333" s="82">
        <v>70.902613</v>
      </c>
      <c r="Q333" s="82">
        <f t="shared" si="270"/>
        <v>19.12114</v>
      </c>
      <c r="R333" s="78">
        <f t="shared" ref="R333:R334" si="280">IFS(L333="S",21494/2048*1.25)</f>
        <v>13.11889648</v>
      </c>
      <c r="S333" s="83">
        <f t="shared" ref="S333:S334" si="281">IFS(N333="B",Q333/M333/100*249945/R333/V333/U333
*W333,N333="C",Q333/M333/100*249945/R333/V333/U333
)</f>
        <v>1505.377995</v>
      </c>
      <c r="T333" s="84" t="s">
        <v>705</v>
      </c>
      <c r="U333" s="86">
        <v>1.1</v>
      </c>
      <c r="V333" s="73">
        <v>1.1</v>
      </c>
      <c r="W333" s="79">
        <v>1.0</v>
      </c>
      <c r="X333" s="83">
        <f>42604/41400</f>
        <v>1.029082126</v>
      </c>
      <c r="Y333" s="83">
        <f>(42604-41400)/(1500000/845)</f>
        <v>0.6782533333</v>
      </c>
    </row>
    <row r="334" ht="26.25" customHeight="1">
      <c r="A334" s="72"/>
      <c r="B334" s="73" t="s">
        <v>1168</v>
      </c>
      <c r="C334" s="87" t="s">
        <v>1214</v>
      </c>
      <c r="D334" s="75">
        <v>5930.0</v>
      </c>
      <c r="E334" s="76"/>
      <c r="F334" s="76" t="s">
        <v>1175</v>
      </c>
      <c r="G334" s="77" t="s">
        <v>658</v>
      </c>
      <c r="H334" s="77">
        <v>5930.0</v>
      </c>
      <c r="I334" s="77">
        <v>1.0</v>
      </c>
      <c r="J334" s="78">
        <f t="shared" si="279"/>
        <v>13.11889648</v>
      </c>
      <c r="K334" s="79">
        <f t="shared" si="248"/>
        <v>373.5700218</v>
      </c>
      <c r="L334" s="80" t="s">
        <v>658</v>
      </c>
      <c r="M334" s="81">
        <v>5.0</v>
      </c>
      <c r="N334" s="81" t="s">
        <v>659</v>
      </c>
      <c r="O334" s="82">
        <v>90.023753</v>
      </c>
      <c r="P334" s="82">
        <v>78.147268</v>
      </c>
      <c r="Q334" s="82">
        <f t="shared" si="270"/>
        <v>11.876485</v>
      </c>
      <c r="R334" s="78">
        <f t="shared" si="280"/>
        <v>13.11889648</v>
      </c>
      <c r="S334" s="83">
        <f t="shared" si="281"/>
        <v>374.0069719</v>
      </c>
      <c r="T334" s="84" t="s">
        <v>705</v>
      </c>
      <c r="U334" s="86">
        <v>1.1</v>
      </c>
      <c r="V334" s="73">
        <v>1.1</v>
      </c>
      <c r="W334" s="79">
        <v>1.0</v>
      </c>
      <c r="X334" s="83">
        <f t="shared" ref="X334:X336" si="282">S334/K334</f>
        <v>1.00116966</v>
      </c>
      <c r="Y334" s="83">
        <f>(S334-K334)*M334*U334*V334*J334/(249945/845)</f>
        <v>0.1172456584</v>
      </c>
    </row>
    <row r="335" ht="26.25" customHeight="1">
      <c r="A335" s="72"/>
      <c r="B335" s="73" t="s">
        <v>1168</v>
      </c>
      <c r="C335" s="87" t="s">
        <v>1214</v>
      </c>
      <c r="D335" s="75">
        <v>585.0</v>
      </c>
      <c r="E335" s="76"/>
      <c r="F335" s="76" t="s">
        <v>1216</v>
      </c>
      <c r="G335" s="77" t="s">
        <v>689</v>
      </c>
      <c r="H335" s="77">
        <v>45948.0</v>
      </c>
      <c r="I335" s="77">
        <v>4.0</v>
      </c>
      <c r="J335" s="78">
        <f>1.15*2*1.22*1.25</f>
        <v>3.5075</v>
      </c>
      <c r="K335" s="79">
        <f t="shared" si="248"/>
        <v>2835.482408</v>
      </c>
      <c r="L335" s="80" t="s">
        <v>689</v>
      </c>
      <c r="M335" s="81">
        <v>4.0</v>
      </c>
      <c r="N335" s="81" t="s">
        <v>659</v>
      </c>
      <c r="O335" s="82">
        <v>100.0</v>
      </c>
      <c r="P335" s="82">
        <v>96.568047</v>
      </c>
      <c r="Q335" s="82">
        <f t="shared" si="270"/>
        <v>3.431953</v>
      </c>
      <c r="R335" s="78">
        <f>1.15*2*1.22*1.25</f>
        <v>3.5075</v>
      </c>
      <c r="S335" s="83">
        <f>Q335/M335/100*1500000/R335/V335/U335
</f>
        <v>3176.822394</v>
      </c>
      <c r="T335" s="84" t="s">
        <v>867</v>
      </c>
      <c r="U335" s="78">
        <v>1.05</v>
      </c>
      <c r="V335" s="73">
        <v>1.1</v>
      </c>
      <c r="W335" s="79">
        <v>1.0</v>
      </c>
      <c r="X335" s="83">
        <f t="shared" si="282"/>
        <v>1.120381627</v>
      </c>
      <c r="Y335" s="83">
        <f>(S335-K335)*M335*U335*V335*J335/(1500000/845)</f>
        <v>3.11596285</v>
      </c>
    </row>
    <row r="336" ht="26.25" customHeight="1">
      <c r="A336" s="72"/>
      <c r="B336" s="73" t="s">
        <v>1217</v>
      </c>
      <c r="C336" s="87" t="s">
        <v>656</v>
      </c>
      <c r="D336" s="75">
        <v>411.0</v>
      </c>
      <c r="E336" s="75" t="s">
        <v>1218</v>
      </c>
      <c r="F336" s="76"/>
      <c r="G336" s="77" t="s">
        <v>658</v>
      </c>
      <c r="H336" s="77">
        <v>411.0</v>
      </c>
      <c r="I336" s="77">
        <v>1.0</v>
      </c>
      <c r="J336" s="78">
        <f t="shared" ref="J336:J339" si="283">IFS(G336="S",21494/2048*1.25,G336="C",1.25*2*1.22,OR(G336="R",G336="T"),1.25*1.22)</f>
        <v>13.11889648</v>
      </c>
      <c r="K336" s="79">
        <f t="shared" si="248"/>
        <v>27.24248223</v>
      </c>
      <c r="L336" s="80" t="s">
        <v>658</v>
      </c>
      <c r="M336" s="92">
        <v>78.0</v>
      </c>
      <c r="N336" s="81" t="s">
        <v>659</v>
      </c>
      <c r="O336" s="82">
        <v>90.023753</v>
      </c>
      <c r="P336" s="82">
        <v>80.522565</v>
      </c>
      <c r="Q336" s="82">
        <f t="shared" si="270"/>
        <v>9.501188</v>
      </c>
      <c r="R336" s="78">
        <f>IFS(L336="S",21494/2048*1.25)</f>
        <v>13.11889648</v>
      </c>
      <c r="S336" s="83">
        <f>IFS(N336="B",Q336/M336/100*249945/R336/V336/U336
*W336,N336="C",Q336/M336/100*249945/R336/V336/U336
)</f>
        <v>27.10522471</v>
      </c>
      <c r="T336" s="84" t="s">
        <v>660</v>
      </c>
      <c r="U336" s="86">
        <v>1.0</v>
      </c>
      <c r="V336" s="73">
        <v>1.15</v>
      </c>
      <c r="W336" s="83">
        <f>411/306</f>
        <v>1.343137255</v>
      </c>
      <c r="X336" s="83">
        <f t="shared" si="282"/>
        <v>0.9949616368</v>
      </c>
      <c r="Y336" s="83">
        <f>(S336-K336)*M336*U336*V336*J336/(249945/845)</f>
        <v>-0.5460572195</v>
      </c>
    </row>
    <row r="337" ht="26.25" customHeight="1">
      <c r="A337" s="72"/>
      <c r="B337" s="73" t="s">
        <v>1217</v>
      </c>
      <c r="C337" s="87" t="s">
        <v>531</v>
      </c>
      <c r="D337" s="76"/>
      <c r="E337" s="76"/>
      <c r="F337" s="76" t="s">
        <v>1219</v>
      </c>
      <c r="G337" s="91" t="s">
        <v>704</v>
      </c>
      <c r="H337" s="77">
        <f>18930*1.5</f>
        <v>28395</v>
      </c>
      <c r="I337" s="77">
        <v>194.0</v>
      </c>
      <c r="J337" s="78">
        <f t="shared" si="283"/>
        <v>1.525</v>
      </c>
      <c r="K337" s="79">
        <f t="shared" si="248"/>
        <v>75.8716928</v>
      </c>
      <c r="L337" s="80" t="s">
        <v>303</v>
      </c>
      <c r="M337" s="81" t="s">
        <v>303</v>
      </c>
      <c r="N337" s="79" t="s">
        <v>303</v>
      </c>
      <c r="O337" s="82" t="s">
        <v>303</v>
      </c>
      <c r="P337" s="82" t="s">
        <v>303</v>
      </c>
      <c r="Q337" s="82" t="s">
        <v>303</v>
      </c>
      <c r="R337" s="78" t="s">
        <v>303</v>
      </c>
      <c r="S337" s="79" t="s">
        <v>303</v>
      </c>
      <c r="T337" s="84" t="s">
        <v>705</v>
      </c>
      <c r="U337" s="86">
        <v>1.1</v>
      </c>
      <c r="V337" s="73">
        <v>1.15</v>
      </c>
      <c r="W337" s="83">
        <f t="shared" ref="W337:W338" si="284">588/438</f>
        <v>1.342465753</v>
      </c>
      <c r="X337" s="83">
        <f>62130/62272</f>
        <v>0.9977196814</v>
      </c>
      <c r="Y337" s="83">
        <f>(62130-62272)/(1500000/845)</f>
        <v>-0.07999333333</v>
      </c>
    </row>
    <row r="338" ht="26.25" customHeight="1">
      <c r="A338" s="72"/>
      <c r="B338" s="73" t="s">
        <v>1217</v>
      </c>
      <c r="C338" s="87" t="s">
        <v>531</v>
      </c>
      <c r="D338" s="75">
        <v>588.0</v>
      </c>
      <c r="E338" s="75" t="s">
        <v>1220</v>
      </c>
      <c r="F338" s="76"/>
      <c r="G338" s="77" t="s">
        <v>658</v>
      </c>
      <c r="H338" s="77">
        <v>588.0</v>
      </c>
      <c r="I338" s="77">
        <v>1.0</v>
      </c>
      <c r="J338" s="78">
        <f t="shared" si="283"/>
        <v>13.11889648</v>
      </c>
      <c r="K338" s="79">
        <f t="shared" si="248"/>
        <v>38.97464611</v>
      </c>
      <c r="L338" s="80" t="s">
        <v>658</v>
      </c>
      <c r="M338" s="81">
        <v>85.0</v>
      </c>
      <c r="N338" s="81" t="s">
        <v>659</v>
      </c>
      <c r="O338" s="82">
        <v>90.023753</v>
      </c>
      <c r="P338" s="82">
        <v>75.059382</v>
      </c>
      <c r="Q338" s="82">
        <f t="shared" ref="Q338:Q339" si="285">O338-P338</f>
        <v>14.964371</v>
      </c>
      <c r="R338" s="78">
        <f t="shared" ref="R338:R339" si="286">IFS(L338="S",21494/2048*1.25)</f>
        <v>13.11889648</v>
      </c>
      <c r="S338" s="83">
        <f t="shared" ref="S338:S339" si="287">IFS(N338="B",Q338/M338/100*249945/R338/V338/U338
*W338,N338="C",Q338/M338/100*249945/R338/V338/U338
)</f>
        <v>39.15543602</v>
      </c>
      <c r="T338" s="84" t="s">
        <v>705</v>
      </c>
      <c r="U338" s="86">
        <v>1.0</v>
      </c>
      <c r="V338" s="73">
        <v>1.15</v>
      </c>
      <c r="W338" s="83">
        <f t="shared" si="284"/>
        <v>1.342465753</v>
      </c>
      <c r="X338" s="83">
        <f t="shared" ref="X338:X339" si="288">S338/K338</f>
        <v>1.004638654</v>
      </c>
      <c r="Y338" s="83">
        <f t="shared" ref="Y338:Y339" si="289">(S338-K338)*M338*U338*V338*J338/(249945/845)</f>
        <v>0.7837914213</v>
      </c>
    </row>
    <row r="339" ht="26.25" customHeight="1">
      <c r="A339" s="72"/>
      <c r="B339" s="73" t="s">
        <v>1217</v>
      </c>
      <c r="C339" s="87" t="s">
        <v>1221</v>
      </c>
      <c r="D339" s="75">
        <v>411.0</v>
      </c>
      <c r="E339" s="75" t="s">
        <v>1222</v>
      </c>
      <c r="F339" s="76" t="s">
        <v>770</v>
      </c>
      <c r="G339" s="77" t="s">
        <v>658</v>
      </c>
      <c r="H339" s="77">
        <f>411*1.662</f>
        <v>683.082</v>
      </c>
      <c r="I339" s="77">
        <v>1.0</v>
      </c>
      <c r="J339" s="78">
        <f t="shared" si="283"/>
        <v>13.11889648</v>
      </c>
      <c r="K339" s="79">
        <f t="shared" si="248"/>
        <v>45.27700547</v>
      </c>
      <c r="L339" s="80" t="s">
        <v>658</v>
      </c>
      <c r="M339" s="81">
        <v>101.0</v>
      </c>
      <c r="N339" s="81" t="s">
        <v>659</v>
      </c>
      <c r="O339" s="82">
        <v>90.023753</v>
      </c>
      <c r="P339" s="82">
        <v>69.477435</v>
      </c>
      <c r="Q339" s="82">
        <f t="shared" si="285"/>
        <v>20.546318</v>
      </c>
      <c r="R339" s="78">
        <f t="shared" si="286"/>
        <v>13.11889648</v>
      </c>
      <c r="S339" s="83">
        <f t="shared" si="287"/>
        <v>45.26706479</v>
      </c>
      <c r="T339" s="84" t="s">
        <v>705</v>
      </c>
      <c r="U339" s="86">
        <v>1.0</v>
      </c>
      <c r="V339" s="73">
        <v>1.15</v>
      </c>
      <c r="W339" s="83">
        <f>411/306</f>
        <v>1.343137255</v>
      </c>
      <c r="X339" s="83">
        <f t="shared" si="288"/>
        <v>0.9997804477</v>
      </c>
      <c r="Y339" s="83">
        <f t="shared" si="289"/>
        <v>-0.05120879071</v>
      </c>
    </row>
    <row r="340" ht="26.25" customHeight="1">
      <c r="A340" s="72"/>
      <c r="B340" s="73" t="s">
        <v>1217</v>
      </c>
      <c r="C340" s="87" t="s">
        <v>455</v>
      </c>
      <c r="D340" s="75">
        <v>237.0</v>
      </c>
      <c r="E340" s="75" t="s">
        <v>1223</v>
      </c>
      <c r="F340" s="76" t="s">
        <v>1224</v>
      </c>
      <c r="G340" s="77" t="s">
        <v>689</v>
      </c>
      <c r="H340" s="77">
        <v>19586.0</v>
      </c>
      <c r="I340" s="77">
        <v>194.0</v>
      </c>
      <c r="J340" s="78">
        <f>1.25*2*1.22*1.15</f>
        <v>3.5075</v>
      </c>
      <c r="K340" s="79">
        <f t="shared" si="248"/>
        <v>25.02928827</v>
      </c>
      <c r="L340" s="80" t="s">
        <v>303</v>
      </c>
      <c r="M340" s="81" t="s">
        <v>303</v>
      </c>
      <c r="N340" s="79" t="s">
        <v>303</v>
      </c>
      <c r="O340" s="82" t="s">
        <v>303</v>
      </c>
      <c r="P340" s="82" t="s">
        <v>303</v>
      </c>
      <c r="Q340" s="82" t="s">
        <v>303</v>
      </c>
      <c r="R340" s="78" t="s">
        <v>303</v>
      </c>
      <c r="S340" s="79" t="s">
        <v>303</v>
      </c>
      <c r="T340" s="84" t="s">
        <v>705</v>
      </c>
      <c r="U340" s="86">
        <v>1.0</v>
      </c>
      <c r="V340" s="73">
        <v>1.15</v>
      </c>
      <c r="W340" s="83">
        <f>206/153</f>
        <v>1.346405229</v>
      </c>
      <c r="X340" s="83">
        <f>46154/46483</f>
        <v>0.9929221436</v>
      </c>
      <c r="Y340" s="83">
        <f>(46154-46483)/(1500000/845)</f>
        <v>-0.1853366667</v>
      </c>
    </row>
    <row r="341" ht="26.25" customHeight="1">
      <c r="A341" s="72"/>
      <c r="B341" s="73" t="s">
        <v>1217</v>
      </c>
      <c r="C341" s="87" t="s">
        <v>1225</v>
      </c>
      <c r="D341" s="75">
        <v>748.0</v>
      </c>
      <c r="E341" s="75" t="s">
        <v>1226</v>
      </c>
      <c r="F341" s="76" t="s">
        <v>1227</v>
      </c>
      <c r="G341" s="77" t="s">
        <v>658</v>
      </c>
      <c r="H341" s="77">
        <f>748*3</f>
        <v>2244</v>
      </c>
      <c r="I341" s="77">
        <v>1.0</v>
      </c>
      <c r="J341" s="78">
        <f t="shared" ref="J341:J347" si="290">IFS(G341="S",21494/2048*1.25,G341="C",1.25*2*1.22,OR(G341="R",G341="T"),1.25*1.22)</f>
        <v>13.11889648</v>
      </c>
      <c r="K341" s="79">
        <f t="shared" si="248"/>
        <v>135.21816</v>
      </c>
      <c r="L341" s="80" t="s">
        <v>658</v>
      </c>
      <c r="M341" s="81">
        <v>21.0</v>
      </c>
      <c r="N341" s="81" t="s">
        <v>659</v>
      </c>
      <c r="O341" s="82">
        <v>90.023753</v>
      </c>
      <c r="P341" s="82">
        <v>79.809976</v>
      </c>
      <c r="Q341" s="82">
        <f t="shared" ref="Q341:Q343" si="291">O341-P341</f>
        <v>10.213777</v>
      </c>
      <c r="R341" s="78">
        <f t="shared" ref="R341:R343" si="292">IFS(L341="S",21494/2048*1.25)</f>
        <v>13.11889648</v>
      </c>
      <c r="S341" s="83">
        <f t="shared" ref="S341:S343" si="293">IFS(N341="B",Q341/M341/100*249945/R341/V341/U341
*W341,N341="C",Q341/M341/100*249945/R341/V341/U341
)</f>
        <v>135.6263057</v>
      </c>
      <c r="T341" s="84" t="s">
        <v>705</v>
      </c>
      <c r="U341" s="86">
        <v>1.1</v>
      </c>
      <c r="V341" s="73">
        <v>1.15</v>
      </c>
      <c r="W341" s="83">
        <f>748/404</f>
        <v>1.851485149</v>
      </c>
      <c r="X341" s="83">
        <f t="shared" ref="X341:X343" si="294">S341/K341</f>
        <v>1.003018424</v>
      </c>
      <c r="Y341" s="83">
        <f t="shared" ref="Y341:Y343" si="295">(S341-K341)*M341*U341*V341*J341/(249945/845)</f>
        <v>0.4808776803</v>
      </c>
    </row>
    <row r="342" ht="26.25" customHeight="1">
      <c r="A342" s="72"/>
      <c r="B342" s="73" t="s">
        <v>1217</v>
      </c>
      <c r="C342" s="87" t="s">
        <v>1225</v>
      </c>
      <c r="D342" s="75">
        <v>384.0</v>
      </c>
      <c r="E342" s="75" t="s">
        <v>952</v>
      </c>
      <c r="F342" s="76" t="s">
        <v>762</v>
      </c>
      <c r="G342" s="77" t="s">
        <v>658</v>
      </c>
      <c r="H342" s="77">
        <v>384.0</v>
      </c>
      <c r="I342" s="77">
        <v>1.0</v>
      </c>
      <c r="J342" s="78">
        <f t="shared" si="290"/>
        <v>13.11889648</v>
      </c>
      <c r="K342" s="79">
        <f t="shared" si="248"/>
        <v>23.13893647</v>
      </c>
      <c r="L342" s="80" t="s">
        <v>658</v>
      </c>
      <c r="M342" s="81">
        <v>75.0</v>
      </c>
      <c r="N342" s="81" t="s">
        <v>659</v>
      </c>
      <c r="O342" s="82">
        <v>90.023753</v>
      </c>
      <c r="P342" s="82">
        <v>81.353919</v>
      </c>
      <c r="Q342" s="82">
        <f t="shared" si="291"/>
        <v>8.669834</v>
      </c>
      <c r="R342" s="78">
        <f t="shared" si="292"/>
        <v>13.11889648</v>
      </c>
      <c r="S342" s="83">
        <f t="shared" si="293"/>
        <v>23.37606104</v>
      </c>
      <c r="T342" s="84" t="s">
        <v>705</v>
      </c>
      <c r="U342" s="86">
        <v>1.1</v>
      </c>
      <c r="V342" s="73">
        <v>1.15</v>
      </c>
      <c r="W342" s="83">
        <f>384/286</f>
        <v>1.342657343</v>
      </c>
      <c r="X342" s="83">
        <f t="shared" si="294"/>
        <v>1.01024786</v>
      </c>
      <c r="Y342" s="83">
        <f t="shared" si="295"/>
        <v>0.9977871711</v>
      </c>
    </row>
    <row r="343" ht="26.25" customHeight="1">
      <c r="A343" s="72"/>
      <c r="B343" s="73" t="s">
        <v>1217</v>
      </c>
      <c r="C343" s="87" t="s">
        <v>573</v>
      </c>
      <c r="D343" s="75">
        <v>1251.0</v>
      </c>
      <c r="E343" s="75" t="s">
        <v>1228</v>
      </c>
      <c r="F343" s="76"/>
      <c r="G343" s="77" t="s">
        <v>658</v>
      </c>
      <c r="H343" s="77">
        <v>1251.0</v>
      </c>
      <c r="I343" s="77">
        <v>1.0</v>
      </c>
      <c r="J343" s="78">
        <f t="shared" si="290"/>
        <v>13.11889648</v>
      </c>
      <c r="K343" s="79">
        <f t="shared" si="248"/>
        <v>78.80878538</v>
      </c>
      <c r="L343" s="80" t="s">
        <v>658</v>
      </c>
      <c r="M343" s="81">
        <v>87.0</v>
      </c>
      <c r="N343" s="81" t="s">
        <v>659</v>
      </c>
      <c r="O343" s="82">
        <v>90.023753</v>
      </c>
      <c r="P343" s="82">
        <v>57.60095</v>
      </c>
      <c r="Q343" s="82">
        <f t="shared" si="291"/>
        <v>32.422803</v>
      </c>
      <c r="R343" s="78">
        <f t="shared" si="292"/>
        <v>13.11889648</v>
      </c>
      <c r="S343" s="83">
        <f t="shared" si="293"/>
        <v>78.84982094</v>
      </c>
      <c r="T343" s="84" t="s">
        <v>705</v>
      </c>
      <c r="U343" s="86">
        <v>1.1</v>
      </c>
      <c r="V343" s="73">
        <v>1.1</v>
      </c>
      <c r="W343" s="83">
        <f>1251/931</f>
        <v>1.343716434</v>
      </c>
      <c r="X343" s="83">
        <f t="shared" si="294"/>
        <v>1.000520698</v>
      </c>
      <c r="Y343" s="83">
        <f t="shared" si="295"/>
        <v>0.191590754</v>
      </c>
    </row>
    <row r="344" ht="26.25" customHeight="1">
      <c r="A344" s="72"/>
      <c r="B344" s="73" t="s">
        <v>1217</v>
      </c>
      <c r="C344" s="87" t="s">
        <v>1229</v>
      </c>
      <c r="D344" s="75">
        <v>362.0</v>
      </c>
      <c r="E344" s="75" t="s">
        <v>1230</v>
      </c>
      <c r="F344" s="76" t="s">
        <v>1023</v>
      </c>
      <c r="G344" s="77" t="s">
        <v>704</v>
      </c>
      <c r="H344" s="77">
        <f>7622*1.5</f>
        <v>11433</v>
      </c>
      <c r="I344" s="77">
        <v>175.0</v>
      </c>
      <c r="J344" s="78">
        <f t="shared" si="290"/>
        <v>1.525</v>
      </c>
      <c r="K344" s="79">
        <f t="shared" si="248"/>
        <v>37.25241829</v>
      </c>
      <c r="L344" s="80" t="s">
        <v>303</v>
      </c>
      <c r="M344" s="81" t="s">
        <v>303</v>
      </c>
      <c r="N344" s="79" t="s">
        <v>303</v>
      </c>
      <c r="O344" s="82" t="s">
        <v>303</v>
      </c>
      <c r="P344" s="82" t="s">
        <v>303</v>
      </c>
      <c r="Q344" s="82" t="s">
        <v>303</v>
      </c>
      <c r="R344" s="78" t="s">
        <v>303</v>
      </c>
      <c r="S344" s="79" t="s">
        <v>303</v>
      </c>
      <c r="T344" s="84" t="s">
        <v>705</v>
      </c>
      <c r="U344" s="86">
        <v>1.0</v>
      </c>
      <c r="V344" s="73">
        <v>1.15</v>
      </c>
      <c r="W344" s="79">
        <f>362/270</f>
        <v>1.340740741</v>
      </c>
      <c r="X344" s="83">
        <f>51479/52353</f>
        <v>0.9833056367</v>
      </c>
      <c r="Y344" s="83">
        <f>(51479-52353)/(1500000/845)</f>
        <v>-0.4923533333</v>
      </c>
    </row>
    <row r="345" ht="26.25" customHeight="1">
      <c r="A345" s="72"/>
      <c r="B345" s="73" t="s">
        <v>1217</v>
      </c>
      <c r="C345" s="87" t="s">
        <v>1231</v>
      </c>
      <c r="D345" s="75">
        <v>17719.0</v>
      </c>
      <c r="E345" s="75" t="s">
        <v>1232</v>
      </c>
      <c r="F345" s="76" t="s">
        <v>1233</v>
      </c>
      <c r="G345" s="77" t="s">
        <v>658</v>
      </c>
      <c r="H345" s="77">
        <v>17719.0</v>
      </c>
      <c r="I345" s="77">
        <v>1.0</v>
      </c>
      <c r="J345" s="78">
        <f t="shared" si="290"/>
        <v>13.11889648</v>
      </c>
      <c r="K345" s="79">
        <f t="shared" si="248"/>
        <v>1174.475773</v>
      </c>
      <c r="L345" s="80" t="s">
        <v>658</v>
      </c>
      <c r="M345" s="81">
        <v>1.0</v>
      </c>
      <c r="N345" s="81" t="s">
        <v>659</v>
      </c>
      <c r="O345" s="82">
        <v>90.023753</v>
      </c>
      <c r="P345" s="82">
        <v>82.897862</v>
      </c>
      <c r="Q345" s="82">
        <f t="shared" ref="Q345:Q349" si="296">O345-P345</f>
        <v>7.125891</v>
      </c>
      <c r="R345" s="78">
        <f t="shared" ref="R345:R349" si="297">IFS(L345="S",21494/2048*1.25)</f>
        <v>13.11889648</v>
      </c>
      <c r="S345" s="83">
        <f t="shared" ref="S345:S349" si="298">IFS(N345="B",Q345/M345/100*249945/R345/V345/U345
*W345,N345="C",Q345/M345/100*249945/R345/V345/U345
)</f>
        <v>1180.561138</v>
      </c>
      <c r="T345" s="84" t="s">
        <v>705</v>
      </c>
      <c r="U345" s="86">
        <v>1.0</v>
      </c>
      <c r="V345" s="73">
        <v>1.15</v>
      </c>
      <c r="W345" s="79">
        <v>1.0</v>
      </c>
      <c r="X345" s="83">
        <f t="shared" ref="X345:X349" si="299">S345/K345</f>
        <v>1.005181345</v>
      </c>
      <c r="Y345" s="83">
        <f t="shared" ref="Y345:Y349" si="300">(S345-K345)*M345*U345*V345*J345/(249945/845)</f>
        <v>0.3103802023</v>
      </c>
    </row>
    <row r="346" ht="26.25" customHeight="1">
      <c r="A346" s="72"/>
      <c r="B346" s="73" t="s">
        <v>1217</v>
      </c>
      <c r="C346" s="87" t="s">
        <v>1231</v>
      </c>
      <c r="D346" s="75">
        <v>576.0</v>
      </c>
      <c r="E346" s="75" t="s">
        <v>1234</v>
      </c>
      <c r="F346" s="76"/>
      <c r="G346" s="77" t="s">
        <v>658</v>
      </c>
      <c r="H346" s="77">
        <v>576.0</v>
      </c>
      <c r="I346" s="77">
        <v>1.0</v>
      </c>
      <c r="J346" s="78">
        <f t="shared" si="290"/>
        <v>13.11889648</v>
      </c>
      <c r="K346" s="79">
        <f t="shared" si="248"/>
        <v>38.17924517</v>
      </c>
      <c r="L346" s="80" t="s">
        <v>658</v>
      </c>
      <c r="M346" s="81">
        <f>94-14</f>
        <v>80</v>
      </c>
      <c r="N346" s="81" t="s">
        <v>659</v>
      </c>
      <c r="O346" s="82">
        <v>90.023753</v>
      </c>
      <c r="P346" s="82">
        <v>76.247031</v>
      </c>
      <c r="Q346" s="82">
        <f t="shared" si="296"/>
        <v>13.776722</v>
      </c>
      <c r="R346" s="78">
        <f t="shared" si="297"/>
        <v>13.11889648</v>
      </c>
      <c r="S346" s="83">
        <f t="shared" si="298"/>
        <v>38.30631776</v>
      </c>
      <c r="T346" s="84" t="s">
        <v>705</v>
      </c>
      <c r="U346" s="86">
        <v>1.0</v>
      </c>
      <c r="V346" s="73">
        <v>1.15</v>
      </c>
      <c r="W346" s="83">
        <f>576/429</f>
        <v>1.342657343</v>
      </c>
      <c r="X346" s="83">
        <f t="shared" si="299"/>
        <v>1.003328316</v>
      </c>
      <c r="Y346" s="83">
        <f t="shared" si="300"/>
        <v>0.5185006084</v>
      </c>
    </row>
    <row r="347" ht="26.25" customHeight="1">
      <c r="A347" s="72"/>
      <c r="B347" s="73" t="s">
        <v>1217</v>
      </c>
      <c r="C347" s="87" t="s">
        <v>512</v>
      </c>
      <c r="D347" s="75">
        <v>452.0</v>
      </c>
      <c r="E347" s="75" t="s">
        <v>1235</v>
      </c>
      <c r="F347" s="76"/>
      <c r="G347" s="77" t="s">
        <v>658</v>
      </c>
      <c r="H347" s="77">
        <v>452.0</v>
      </c>
      <c r="I347" s="77">
        <v>1.0</v>
      </c>
      <c r="J347" s="78">
        <f t="shared" si="290"/>
        <v>13.11889648</v>
      </c>
      <c r="K347" s="79">
        <f t="shared" si="248"/>
        <v>27.23645646</v>
      </c>
      <c r="L347" s="80" t="s">
        <v>658</v>
      </c>
      <c r="M347" s="81">
        <v>38.0</v>
      </c>
      <c r="N347" s="81" t="s">
        <v>659</v>
      </c>
      <c r="O347" s="82">
        <v>90.023753</v>
      </c>
      <c r="P347" s="82">
        <v>84.916865</v>
      </c>
      <c r="Q347" s="82">
        <f t="shared" si="296"/>
        <v>5.106888</v>
      </c>
      <c r="R347" s="78">
        <f t="shared" si="297"/>
        <v>13.11889648</v>
      </c>
      <c r="S347" s="83">
        <f t="shared" si="298"/>
        <v>27.1480033</v>
      </c>
      <c r="T347" s="84" t="s">
        <v>705</v>
      </c>
      <c r="U347" s="86">
        <v>1.1</v>
      </c>
      <c r="V347" s="73">
        <v>1.15</v>
      </c>
      <c r="W347" s="83">
        <f>452/337</f>
        <v>1.341246291</v>
      </c>
      <c r="X347" s="83">
        <f t="shared" si="299"/>
        <v>0.9967523982</v>
      </c>
      <c r="Y347" s="83">
        <f t="shared" si="300"/>
        <v>-0.1885806194</v>
      </c>
    </row>
    <row r="348" ht="26.25" customHeight="1">
      <c r="A348" s="72"/>
      <c r="B348" s="73" t="s">
        <v>1217</v>
      </c>
      <c r="C348" s="87" t="s">
        <v>1236</v>
      </c>
      <c r="D348" s="75">
        <v>544.0</v>
      </c>
      <c r="E348" s="75" t="s">
        <v>1237</v>
      </c>
      <c r="F348" s="76" t="s">
        <v>1238</v>
      </c>
      <c r="G348" s="77" t="s">
        <v>689</v>
      </c>
      <c r="H348" s="77">
        <v>11970.0</v>
      </c>
      <c r="I348" s="77">
        <v>100.0</v>
      </c>
      <c r="J348" s="78">
        <f>1.25*2*1.22</f>
        <v>3.05</v>
      </c>
      <c r="K348" s="79">
        <f t="shared" si="248"/>
        <v>34.12687099</v>
      </c>
      <c r="L348" s="80" t="s">
        <v>658</v>
      </c>
      <c r="M348" s="81">
        <v>100.0</v>
      </c>
      <c r="N348" s="81" t="s">
        <v>659</v>
      </c>
      <c r="O348" s="82">
        <v>90.023753</v>
      </c>
      <c r="P348" s="82">
        <v>74.703088</v>
      </c>
      <c r="Q348" s="82">
        <f t="shared" si="296"/>
        <v>15.320665</v>
      </c>
      <c r="R348" s="78">
        <f t="shared" si="297"/>
        <v>13.11889648</v>
      </c>
      <c r="S348" s="83">
        <f t="shared" si="298"/>
        <v>34.09343822</v>
      </c>
      <c r="T348" s="84" t="s">
        <v>705</v>
      </c>
      <c r="U348" s="86">
        <v>1.0</v>
      </c>
      <c r="V348" s="73">
        <v>1.15</v>
      </c>
      <c r="W348" s="83">
        <f>544/405</f>
        <v>1.343209877</v>
      </c>
      <c r="X348" s="83">
        <f t="shared" si="299"/>
        <v>0.9990203388</v>
      </c>
      <c r="Y348" s="83">
        <f t="shared" si="300"/>
        <v>-0.03964444336</v>
      </c>
    </row>
    <row r="349" ht="26.25" customHeight="1">
      <c r="A349" s="72"/>
      <c r="B349" s="73" t="s">
        <v>1217</v>
      </c>
      <c r="C349" s="87" t="s">
        <v>1236</v>
      </c>
      <c r="D349" s="75">
        <v>693.0</v>
      </c>
      <c r="E349" s="75" t="s">
        <v>1239</v>
      </c>
      <c r="F349" s="76" t="s">
        <v>1240</v>
      </c>
      <c r="G349" s="77" t="s">
        <v>658</v>
      </c>
      <c r="H349" s="77">
        <v>693.0</v>
      </c>
      <c r="I349" s="77">
        <v>1.0</v>
      </c>
      <c r="J349" s="78">
        <f>IFS(G349="S",21494/2048*1.25,G349="C",1.25*2*1.22,OR(G349="R",G349="T"),1.25*1.22)</f>
        <v>13.11889648</v>
      </c>
      <c r="K349" s="79">
        <f t="shared" si="248"/>
        <v>45.93440434</v>
      </c>
      <c r="L349" s="80" t="s">
        <v>658</v>
      </c>
      <c r="M349" s="81">
        <v>63.0</v>
      </c>
      <c r="N349" s="81" t="s">
        <v>659</v>
      </c>
      <c r="O349" s="82">
        <v>90.023753</v>
      </c>
      <c r="P349" s="82">
        <v>76.95962</v>
      </c>
      <c r="Q349" s="82">
        <f t="shared" si="296"/>
        <v>13.064133</v>
      </c>
      <c r="R349" s="78">
        <f t="shared" si="297"/>
        <v>13.11889648</v>
      </c>
      <c r="S349" s="83">
        <f t="shared" si="298"/>
        <v>46.13950006</v>
      </c>
      <c r="T349" s="84" t="s">
        <v>705</v>
      </c>
      <c r="U349" s="86">
        <v>1.0</v>
      </c>
      <c r="V349" s="73">
        <v>1.15</v>
      </c>
      <c r="W349" s="83">
        <f>693/516</f>
        <v>1.343023256</v>
      </c>
      <c r="X349" s="83">
        <f t="shared" si="299"/>
        <v>1.004464969</v>
      </c>
      <c r="Y349" s="83">
        <f t="shared" si="300"/>
        <v>0.6590290084</v>
      </c>
    </row>
    <row r="350" ht="26.25" customHeight="1">
      <c r="A350" s="99" t="s">
        <v>1241</v>
      </c>
      <c r="B350" s="100"/>
      <c r="C350" s="101"/>
      <c r="D350" s="100"/>
      <c r="E350" s="100"/>
      <c r="F350" s="100"/>
      <c r="G350" s="100"/>
      <c r="H350" s="100"/>
      <c r="I350" s="100"/>
      <c r="J350" s="102"/>
      <c r="K350" s="103"/>
      <c r="L350" s="104"/>
      <c r="M350" s="100"/>
      <c r="N350" s="100"/>
      <c r="O350" s="100"/>
      <c r="P350" s="100"/>
      <c r="Q350" s="100"/>
      <c r="R350" s="102"/>
      <c r="S350" s="103"/>
      <c r="T350" s="104"/>
      <c r="U350" s="100"/>
      <c r="V350" s="100"/>
      <c r="W350" s="103"/>
      <c r="X350" s="100"/>
      <c r="Y350" s="100"/>
    </row>
  </sheetData>
  <autoFilter ref="$A$2:$Y$350">
    <sortState ref="A2:Y350">
      <sortCondition ref="B2:B350"/>
      <sortCondition ref="C2:C350"/>
      <sortCondition ref="F2:F350"/>
    </sortState>
  </autoFilter>
  <mergeCells count="4">
    <mergeCell ref="A1:F1"/>
    <mergeCell ref="G1:K1"/>
    <mergeCell ref="L1:S1"/>
    <mergeCell ref="T1:Y1"/>
  </mergeCells>
  <conditionalFormatting sqref="A1:Y350">
    <cfRule type="containsText" dxfId="4" priority="1" operator="containsText" text="~?">
      <formula>NOT(ISERROR(SEARCH(("~?"),(A1))))</formula>
    </cfRule>
  </conditionalFormatting>
  <conditionalFormatting sqref="X3:X349">
    <cfRule type="colorScale" priority="2">
      <colorScale>
        <cfvo type="min"/>
        <cfvo type="formula" val="1"/>
        <cfvo type="max"/>
        <color rgb="FFE67C73"/>
        <color rgb="FF57BB8A"/>
        <color rgb="FFE67C73"/>
      </colorScale>
    </cfRule>
  </conditionalFormatting>
  <conditionalFormatting sqref="U3:U349">
    <cfRule type="cellIs" dxfId="9" priority="3" operator="greaterThan">
      <formula>1</formula>
    </cfRule>
  </conditionalFormatting>
  <conditionalFormatting sqref="Y3:Y350">
    <cfRule type="colorScale" priority="4">
      <colorScale>
        <cfvo type="formula" val="-2"/>
        <cfvo type="formula" val="0"/>
        <cfvo type="formula" val="2"/>
        <color rgb="FFE67C73"/>
        <color rgb="FF57BB8A"/>
        <color rgb="FFE67C73"/>
      </colorScale>
    </cfRule>
  </conditionalFormatting>
  <conditionalFormatting sqref="Q3:Q349">
    <cfRule type="colorScale" priority="5">
      <colorScale>
        <cfvo type="min"/>
        <cfvo type="percentile" val="50"/>
        <cfvo type="max"/>
        <color rgb="FFE67C73"/>
        <color rgb="FFFFD666"/>
        <color rgb="FF57BB8A"/>
      </colorScale>
    </cfRule>
  </conditionalFormatting>
  <hyperlinks>
    <hyperlink display="see Ergo Sum tab (uses TFS scalar)" location="'Ergo Sum'!A1" ref="F309"/>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4.5"/>
    <col customWidth="1" min="2" max="2" width="18.25"/>
    <col customWidth="1" min="3" max="3" width="19.25"/>
    <col customWidth="1" min="4" max="4" width="6.63"/>
    <col customWidth="1" min="5" max="5" width="22.88"/>
    <col customWidth="1" min="6" max="6" width="46.38"/>
    <col customWidth="1" min="7" max="7" width="4.0"/>
    <col customWidth="1" min="8" max="8" width="5.13"/>
    <col customWidth="1" min="9" max="9" width="3.5"/>
    <col customWidth="1" min="10" max="10" width="4.0"/>
    <col customWidth="1" min="11" max="11" width="9.25"/>
    <col customWidth="1" min="12" max="14" width="3.5"/>
    <col customWidth="1" min="15" max="15" width="8.88"/>
    <col customWidth="1" min="16" max="17" width="8.0"/>
    <col customWidth="1" min="18" max="18" width="4.0"/>
    <col customWidth="1" min="19" max="19" width="9.25"/>
    <col customWidth="1" min="20" max="20" width="5.75"/>
    <col customWidth="1" min="21" max="21" width="5.38"/>
    <col customWidth="1" min="22" max="22" width="5.88"/>
    <col customWidth="1" min="23" max="23" width="7.25"/>
  </cols>
  <sheetData>
    <row r="1" ht="13.5" customHeight="1">
      <c r="A1" s="51" t="s">
        <v>631</v>
      </c>
      <c r="G1" s="52" t="s">
        <v>632</v>
      </c>
      <c r="L1" s="53" t="s">
        <v>633</v>
      </c>
      <c r="T1" s="54" t="s">
        <v>634</v>
      </c>
    </row>
    <row r="2" ht="21.0" customHeight="1">
      <c r="A2" s="55" t="s">
        <v>635</v>
      </c>
      <c r="B2" s="56" t="s">
        <v>636</v>
      </c>
      <c r="C2" s="57" t="s">
        <v>637</v>
      </c>
      <c r="D2" s="58" t="s">
        <v>1242</v>
      </c>
      <c r="E2" s="58" t="s">
        <v>1243</v>
      </c>
      <c r="F2" s="56" t="s">
        <v>640</v>
      </c>
      <c r="G2" s="59" t="s">
        <v>641</v>
      </c>
      <c r="H2" s="59" t="s">
        <v>642</v>
      </c>
      <c r="I2" s="59" t="s">
        <v>292</v>
      </c>
      <c r="J2" s="60" t="s">
        <v>643</v>
      </c>
      <c r="K2" s="61" t="s">
        <v>1244</v>
      </c>
      <c r="L2" s="62" t="s">
        <v>641</v>
      </c>
      <c r="M2" s="63" t="s">
        <v>292</v>
      </c>
      <c r="N2" s="64" t="s">
        <v>636</v>
      </c>
      <c r="O2" s="65" t="s">
        <v>645</v>
      </c>
      <c r="P2" s="65" t="s">
        <v>646</v>
      </c>
      <c r="Q2" s="65" t="s">
        <v>647</v>
      </c>
      <c r="R2" s="66" t="s">
        <v>643</v>
      </c>
      <c r="S2" s="67" t="s">
        <v>1245</v>
      </c>
      <c r="T2" s="68" t="s">
        <v>649</v>
      </c>
      <c r="U2" s="70" t="s">
        <v>652</v>
      </c>
      <c r="V2" s="70" t="s">
        <v>653</v>
      </c>
      <c r="W2" s="71" t="s">
        <v>654</v>
      </c>
    </row>
    <row r="3" ht="26.25" customHeight="1">
      <c r="A3" s="72"/>
      <c r="B3" s="73" t="s">
        <v>655</v>
      </c>
      <c r="C3" s="74" t="s">
        <v>656</v>
      </c>
      <c r="D3" s="75">
        <v>383.0</v>
      </c>
      <c r="E3" s="75" t="s">
        <v>657</v>
      </c>
      <c r="F3" s="76"/>
      <c r="G3" s="77" t="s">
        <v>658</v>
      </c>
      <c r="H3" s="77">
        <v>383.0</v>
      </c>
      <c r="I3" s="77">
        <v>1.0</v>
      </c>
      <c r="J3" s="78">
        <f>21494/2048*1.25*1.15</f>
        <v>15.08673096</v>
      </c>
      <c r="K3" s="79">
        <f t="shared" ref="K3:K287" si="1">H3/I3/J3</f>
        <v>25.3865467</v>
      </c>
      <c r="L3" s="80" t="s">
        <v>303</v>
      </c>
      <c r="M3" s="81" t="s">
        <v>303</v>
      </c>
      <c r="N3" s="81" t="s">
        <v>303</v>
      </c>
      <c r="O3" s="82" t="s">
        <v>303</v>
      </c>
      <c r="P3" s="82" t="s">
        <v>303</v>
      </c>
      <c r="Q3" s="82" t="s">
        <v>303</v>
      </c>
      <c r="R3" s="78" t="s">
        <v>303</v>
      </c>
      <c r="S3" s="83" t="s">
        <v>303</v>
      </c>
      <c r="T3" s="84" t="s">
        <v>1246</v>
      </c>
      <c r="U3" s="83">
        <f>383/219</f>
        <v>1.748858447</v>
      </c>
      <c r="V3" s="83" t="str">
        <f t="shared" ref="V3:V8" si="2">S3/K3</f>
        <v>#VALUE!</v>
      </c>
      <c r="W3" s="83" t="str">
        <f t="shared" ref="W3:W7" si="3">(S3-K3)*M3*#REF!*#REF!*J3/(249945/845)</f>
        <v>#VALUE!</v>
      </c>
    </row>
    <row r="4" ht="26.25" customHeight="1">
      <c r="A4" s="85"/>
      <c r="B4" s="85" t="s">
        <v>655</v>
      </c>
      <c r="C4" s="74" t="s">
        <v>661</v>
      </c>
      <c r="D4" s="75">
        <v>596.0</v>
      </c>
      <c r="E4" s="75" t="s">
        <v>662</v>
      </c>
      <c r="F4" s="76"/>
      <c r="G4" s="77" t="s">
        <v>658</v>
      </c>
      <c r="H4" s="77">
        <v>596.0</v>
      </c>
      <c r="I4" s="77">
        <v>1.0</v>
      </c>
      <c r="J4" s="78"/>
      <c r="K4" s="79" t="str">
        <f t="shared" si="1"/>
        <v>#DIV/0!</v>
      </c>
      <c r="L4" s="80" t="s">
        <v>303</v>
      </c>
      <c r="M4" s="81" t="s">
        <v>303</v>
      </c>
      <c r="N4" s="81" t="s">
        <v>303</v>
      </c>
      <c r="O4" s="82" t="s">
        <v>303</v>
      </c>
      <c r="P4" s="82" t="s">
        <v>303</v>
      </c>
      <c r="Q4" s="82" t="s">
        <v>303</v>
      </c>
      <c r="R4" s="78" t="s">
        <v>303</v>
      </c>
      <c r="S4" s="83" t="s">
        <v>303</v>
      </c>
      <c r="T4" s="84" t="s">
        <v>663</v>
      </c>
      <c r="U4" s="83">
        <f>596/352</f>
        <v>1.693181818</v>
      </c>
      <c r="V4" s="83" t="str">
        <f t="shared" si="2"/>
        <v>#DIV/0!</v>
      </c>
      <c r="W4" s="83" t="str">
        <f t="shared" si="3"/>
        <v>#DIV/0!</v>
      </c>
    </row>
    <row r="5" ht="26.25" customHeight="1">
      <c r="A5" s="72"/>
      <c r="B5" s="73" t="s">
        <v>655</v>
      </c>
      <c r="C5" s="74" t="s">
        <v>664</v>
      </c>
      <c r="D5" s="75">
        <v>543.0</v>
      </c>
      <c r="E5" s="75" t="s">
        <v>665</v>
      </c>
      <c r="F5" s="75"/>
      <c r="G5" s="77" t="s">
        <v>658</v>
      </c>
      <c r="H5" s="77">
        <v>543.0</v>
      </c>
      <c r="I5" s="77">
        <v>1.0</v>
      </c>
      <c r="J5" s="78"/>
      <c r="K5" s="79" t="str">
        <f t="shared" si="1"/>
        <v>#DIV/0!</v>
      </c>
      <c r="L5" s="80" t="s">
        <v>303</v>
      </c>
      <c r="M5" s="81" t="s">
        <v>303</v>
      </c>
      <c r="N5" s="81" t="s">
        <v>303</v>
      </c>
      <c r="O5" s="82" t="s">
        <v>303</v>
      </c>
      <c r="P5" s="82" t="s">
        <v>303</v>
      </c>
      <c r="Q5" s="82" t="s">
        <v>303</v>
      </c>
      <c r="R5" s="78" t="s">
        <v>303</v>
      </c>
      <c r="S5" s="83" t="s">
        <v>303</v>
      </c>
      <c r="T5" s="84" t="s">
        <v>660</v>
      </c>
      <c r="U5" s="83">
        <f>543/320</f>
        <v>1.696875</v>
      </c>
      <c r="V5" s="83" t="str">
        <f t="shared" si="2"/>
        <v>#DIV/0!</v>
      </c>
      <c r="W5" s="83" t="str">
        <f t="shared" si="3"/>
        <v>#DIV/0!</v>
      </c>
    </row>
    <row r="6" ht="26.25" customHeight="1">
      <c r="A6" s="72"/>
      <c r="B6" s="73" t="s">
        <v>655</v>
      </c>
      <c r="C6" s="87" t="s">
        <v>666</v>
      </c>
      <c r="D6" s="75">
        <f>1064*1.25</f>
        <v>1330</v>
      </c>
      <c r="E6" s="75" t="s">
        <v>667</v>
      </c>
      <c r="F6" s="75" t="s">
        <v>668</v>
      </c>
      <c r="G6" s="77" t="s">
        <v>658</v>
      </c>
      <c r="H6" s="77">
        <v>1330.0</v>
      </c>
      <c r="I6" s="77">
        <v>1.0</v>
      </c>
      <c r="J6" s="78"/>
      <c r="K6" s="79" t="str">
        <f t="shared" si="1"/>
        <v>#DIV/0!</v>
      </c>
      <c r="L6" s="80" t="s">
        <v>303</v>
      </c>
      <c r="M6" s="81" t="s">
        <v>303</v>
      </c>
      <c r="N6" s="81" t="s">
        <v>303</v>
      </c>
      <c r="O6" s="82" t="s">
        <v>303</v>
      </c>
      <c r="P6" s="82" t="s">
        <v>303</v>
      </c>
      <c r="Q6" s="82" t="s">
        <v>303</v>
      </c>
      <c r="R6" s="78" t="s">
        <v>303</v>
      </c>
      <c r="S6" s="83" t="s">
        <v>303</v>
      </c>
      <c r="T6" s="84" t="s">
        <v>660</v>
      </c>
      <c r="U6" s="83">
        <f>1330/741</f>
        <v>1.794871795</v>
      </c>
      <c r="V6" s="83" t="str">
        <f t="shared" si="2"/>
        <v>#DIV/0!</v>
      </c>
      <c r="W6" s="83" t="str">
        <f t="shared" si="3"/>
        <v>#DIV/0!</v>
      </c>
    </row>
    <row r="7" ht="26.25" customHeight="1">
      <c r="A7" s="72"/>
      <c r="B7" s="73" t="s">
        <v>655</v>
      </c>
      <c r="C7" s="87" t="s">
        <v>337</v>
      </c>
      <c r="D7" s="75">
        <v>4128.0</v>
      </c>
      <c r="E7" s="75" t="s">
        <v>669</v>
      </c>
      <c r="F7" s="75" t="s">
        <v>670</v>
      </c>
      <c r="G7" s="77" t="s">
        <v>658</v>
      </c>
      <c r="H7" s="77">
        <v>4128.0</v>
      </c>
      <c r="I7" s="77">
        <v>1.0</v>
      </c>
      <c r="J7" s="78"/>
      <c r="K7" s="79" t="str">
        <f t="shared" si="1"/>
        <v>#DIV/0!</v>
      </c>
      <c r="L7" s="80" t="s">
        <v>303</v>
      </c>
      <c r="M7" s="81" t="s">
        <v>303</v>
      </c>
      <c r="N7" s="81" t="s">
        <v>303</v>
      </c>
      <c r="O7" s="82" t="s">
        <v>303</v>
      </c>
      <c r="P7" s="82" t="s">
        <v>303</v>
      </c>
      <c r="Q7" s="82" t="s">
        <v>303</v>
      </c>
      <c r="R7" s="78" t="s">
        <v>303</v>
      </c>
      <c r="S7" s="83" t="s">
        <v>303</v>
      </c>
      <c r="T7" s="84" t="s">
        <v>660</v>
      </c>
      <c r="U7" s="83">
        <f>4128/2301</f>
        <v>1.794002608</v>
      </c>
      <c r="V7" s="83" t="str">
        <f t="shared" si="2"/>
        <v>#DIV/0!</v>
      </c>
      <c r="W7" s="83" t="str">
        <f t="shared" si="3"/>
        <v>#DIV/0!</v>
      </c>
    </row>
    <row r="8" ht="26.25" customHeight="1">
      <c r="A8" s="72"/>
      <c r="B8" s="73" t="s">
        <v>655</v>
      </c>
      <c r="C8" s="87" t="s">
        <v>337</v>
      </c>
      <c r="D8" s="75">
        <v>8061.0</v>
      </c>
      <c r="E8" s="75" t="s">
        <v>671</v>
      </c>
      <c r="F8" s="75" t="s">
        <v>672</v>
      </c>
      <c r="G8" s="77" t="s">
        <v>658</v>
      </c>
      <c r="H8" s="77">
        <f>8061+930</f>
        <v>8991</v>
      </c>
      <c r="I8" s="77">
        <v>1.0</v>
      </c>
      <c r="J8" s="78"/>
      <c r="K8" s="79" t="str">
        <f t="shared" si="1"/>
        <v>#DIV/0!</v>
      </c>
      <c r="L8" s="80" t="s">
        <v>303</v>
      </c>
      <c r="M8" s="81" t="s">
        <v>303</v>
      </c>
      <c r="N8" s="81" t="s">
        <v>303</v>
      </c>
      <c r="O8" s="82" t="s">
        <v>303</v>
      </c>
      <c r="P8" s="82" t="s">
        <v>303</v>
      </c>
      <c r="Q8" s="82" t="s">
        <v>303</v>
      </c>
      <c r="R8" s="78" t="s">
        <v>303</v>
      </c>
      <c r="S8" s="83" t="s">
        <v>303</v>
      </c>
      <c r="T8" s="84" t="s">
        <v>660</v>
      </c>
      <c r="U8" s="79">
        <v>1.0</v>
      </c>
      <c r="V8" s="83" t="str">
        <f t="shared" si="2"/>
        <v>#DIV/0!</v>
      </c>
      <c r="W8" s="83" t="str">
        <f>(S8-K8)*M8*#REF!*J8/(249945/845)</f>
        <v>#DIV/0!</v>
      </c>
    </row>
    <row r="9" ht="26.25" customHeight="1">
      <c r="A9" s="72"/>
      <c r="B9" s="73" t="s">
        <v>655</v>
      </c>
      <c r="C9" s="87" t="s">
        <v>337</v>
      </c>
      <c r="D9" s="75">
        <v>1613.0</v>
      </c>
      <c r="E9" s="75" t="s">
        <v>673</v>
      </c>
      <c r="F9" s="75" t="s">
        <v>674</v>
      </c>
      <c r="G9" s="77" t="s">
        <v>658</v>
      </c>
      <c r="H9" s="77">
        <f>(1613+155)*5</f>
        <v>8840</v>
      </c>
      <c r="I9" s="77">
        <v>1.0</v>
      </c>
      <c r="J9" s="78">
        <f>21494/2048*1.25*1.15</f>
        <v>15.08673096</v>
      </c>
      <c r="K9" s="79">
        <f t="shared" si="1"/>
        <v>585.9453599</v>
      </c>
      <c r="L9" s="80" t="s">
        <v>303</v>
      </c>
      <c r="M9" s="81" t="s">
        <v>303</v>
      </c>
      <c r="N9" s="81" t="s">
        <v>303</v>
      </c>
      <c r="O9" s="82" t="s">
        <v>303</v>
      </c>
      <c r="P9" s="82" t="s">
        <v>303</v>
      </c>
      <c r="Q9" s="82" t="s">
        <v>303</v>
      </c>
      <c r="R9" s="78" t="s">
        <v>303</v>
      </c>
      <c r="S9" s="83" t="s">
        <v>1247</v>
      </c>
      <c r="T9" s="84" t="s">
        <v>1246</v>
      </c>
      <c r="U9" s="79">
        <v>1.0</v>
      </c>
      <c r="V9" s="83" t="str">
        <f>IF(S9="/",1,S9/K9)</f>
        <v>#VALUE!</v>
      </c>
      <c r="W9" s="83" t="str">
        <f>IFS(S9="/","N/A",G9="S",((P9-O9)/100*249945/845)/M9-H9/249945*845)</f>
        <v>#VALUE!</v>
      </c>
    </row>
    <row r="10" ht="26.25" customHeight="1">
      <c r="A10" s="72"/>
      <c r="B10" s="73" t="s">
        <v>655</v>
      </c>
      <c r="C10" s="74" t="s">
        <v>675</v>
      </c>
      <c r="D10" s="75">
        <v>383.0</v>
      </c>
      <c r="E10" s="75" t="s">
        <v>657</v>
      </c>
      <c r="F10" s="76"/>
      <c r="G10" s="77" t="s">
        <v>658</v>
      </c>
      <c r="H10" s="77">
        <v>383.0</v>
      </c>
      <c r="I10" s="77">
        <v>1.0</v>
      </c>
      <c r="J10" s="78"/>
      <c r="K10" s="79" t="str">
        <f t="shared" si="1"/>
        <v>#DIV/0!</v>
      </c>
      <c r="L10" s="80" t="s">
        <v>303</v>
      </c>
      <c r="M10" s="81" t="s">
        <v>303</v>
      </c>
      <c r="N10" s="81" t="s">
        <v>303</v>
      </c>
      <c r="O10" s="82" t="s">
        <v>303</v>
      </c>
      <c r="P10" s="82" t="s">
        <v>303</v>
      </c>
      <c r="Q10" s="82" t="s">
        <v>303</v>
      </c>
      <c r="R10" s="78" t="s">
        <v>303</v>
      </c>
      <c r="S10" s="83" t="s">
        <v>303</v>
      </c>
      <c r="T10" s="84" t="s">
        <v>660</v>
      </c>
      <c r="U10" s="83">
        <f>383/219</f>
        <v>1.748858447</v>
      </c>
      <c r="V10" s="83" t="str">
        <f t="shared" ref="V10:V11" si="4">S10/K10</f>
        <v>#DIV/0!</v>
      </c>
      <c r="W10" s="83" t="str">
        <f t="shared" ref="W10:W11" si="5">(S10-K10)*M10*#REF!*#REF!*J10/(249945/845)</f>
        <v>#DIV/0!</v>
      </c>
    </row>
    <row r="11" ht="26.25" customHeight="1">
      <c r="A11" s="72"/>
      <c r="B11" s="73" t="s">
        <v>655</v>
      </c>
      <c r="C11" s="74" t="s">
        <v>676</v>
      </c>
      <c r="D11" s="75">
        <v>626.0</v>
      </c>
      <c r="E11" s="75" t="s">
        <v>677</v>
      </c>
      <c r="F11" s="76"/>
      <c r="G11" s="77" t="s">
        <v>658</v>
      </c>
      <c r="H11" s="77">
        <v>626.0</v>
      </c>
      <c r="I11" s="77">
        <v>1.0</v>
      </c>
      <c r="J11" s="78"/>
      <c r="K11" s="79" t="str">
        <f t="shared" si="1"/>
        <v>#DIV/0!</v>
      </c>
      <c r="L11" s="80" t="s">
        <v>303</v>
      </c>
      <c r="M11" s="81" t="s">
        <v>303</v>
      </c>
      <c r="N11" s="81" t="s">
        <v>303</v>
      </c>
      <c r="O11" s="82" t="s">
        <v>303</v>
      </c>
      <c r="P11" s="82" t="s">
        <v>303</v>
      </c>
      <c r="Q11" s="82" t="s">
        <v>303</v>
      </c>
      <c r="R11" s="78" t="s">
        <v>303</v>
      </c>
      <c r="S11" s="83" t="s">
        <v>303</v>
      </c>
      <c r="T11" s="84" t="s">
        <v>660</v>
      </c>
      <c r="U11" s="83">
        <f>626/349</f>
        <v>1.793696275</v>
      </c>
      <c r="V11" s="83" t="str">
        <f t="shared" si="4"/>
        <v>#DIV/0!</v>
      </c>
      <c r="W11" s="83" t="str">
        <f t="shared" si="5"/>
        <v>#DIV/0!</v>
      </c>
    </row>
    <row r="12" ht="26.25" customHeight="1">
      <c r="A12" s="72"/>
      <c r="B12" s="73" t="s">
        <v>655</v>
      </c>
      <c r="C12" s="74" t="s">
        <v>678</v>
      </c>
      <c r="D12" s="75">
        <v>383.0</v>
      </c>
      <c r="E12" s="75" t="s">
        <v>679</v>
      </c>
      <c r="F12" s="75" t="s">
        <v>680</v>
      </c>
      <c r="G12" s="77" t="s">
        <v>658</v>
      </c>
      <c r="H12" s="77">
        <f>(219*35+770*7)*U12</f>
        <v>22831.34703</v>
      </c>
      <c r="I12" s="77">
        <v>42.0</v>
      </c>
      <c r="J12" s="78"/>
      <c r="K12" s="79" t="str">
        <f t="shared" si="1"/>
        <v>#DIV/0!</v>
      </c>
      <c r="L12" s="80" t="s">
        <v>303</v>
      </c>
      <c r="M12" s="81" t="s">
        <v>303</v>
      </c>
      <c r="N12" s="81" t="s">
        <v>303</v>
      </c>
      <c r="O12" s="82" t="s">
        <v>303</v>
      </c>
      <c r="P12" s="82" t="s">
        <v>303</v>
      </c>
      <c r="Q12" s="82" t="s">
        <v>303</v>
      </c>
      <c r="R12" s="78" t="s">
        <v>303</v>
      </c>
      <c r="S12" s="83" t="s">
        <v>1247</v>
      </c>
      <c r="T12" s="84" t="s">
        <v>660</v>
      </c>
      <c r="U12" s="83">
        <f t="shared" ref="U12:U13" si="6">383/219</f>
        <v>1.748858447</v>
      </c>
      <c r="V12" s="83" t="str">
        <f>IF(S12="/",1,S12/K12)</f>
        <v>#DIV/0!</v>
      </c>
      <c r="W12" s="83" t="str">
        <f>IFS(S12="/","N/A",G12="S",((P12-O12)/100*249945/845)/M12-H12/249945*845)</f>
        <v>#VALUE!</v>
      </c>
    </row>
    <row r="13" ht="26.25" customHeight="1">
      <c r="A13" s="72"/>
      <c r="B13" s="73" t="s">
        <v>655</v>
      </c>
      <c r="C13" s="74" t="s">
        <v>681</v>
      </c>
      <c r="D13" s="75">
        <v>383.0</v>
      </c>
      <c r="E13" s="75" t="s">
        <v>657</v>
      </c>
      <c r="F13" s="75"/>
      <c r="G13" s="77" t="s">
        <v>658</v>
      </c>
      <c r="H13" s="77">
        <v>383.0</v>
      </c>
      <c r="I13" s="77">
        <v>1.0</v>
      </c>
      <c r="J13" s="78"/>
      <c r="K13" s="79" t="str">
        <f t="shared" si="1"/>
        <v>#DIV/0!</v>
      </c>
      <c r="L13" s="80" t="s">
        <v>303</v>
      </c>
      <c r="M13" s="81" t="s">
        <v>303</v>
      </c>
      <c r="N13" s="81" t="s">
        <v>303</v>
      </c>
      <c r="O13" s="82" t="s">
        <v>303</v>
      </c>
      <c r="P13" s="82" t="s">
        <v>303</v>
      </c>
      <c r="Q13" s="82" t="s">
        <v>303</v>
      </c>
      <c r="R13" s="78" t="s">
        <v>303</v>
      </c>
      <c r="S13" s="83" t="s">
        <v>303</v>
      </c>
      <c r="T13" s="84" t="s">
        <v>660</v>
      </c>
      <c r="U13" s="83">
        <f t="shared" si="6"/>
        <v>1.748858447</v>
      </c>
      <c r="V13" s="83" t="str">
        <f t="shared" ref="V13:V21" si="7">S13/K13</f>
        <v>#DIV/0!</v>
      </c>
      <c r="W13" s="83" t="str">
        <f t="shared" ref="W13:W21" si="8">(S13-K13)*M13*#REF!*#REF!*J13/(249945/845)</f>
        <v>#DIV/0!</v>
      </c>
    </row>
    <row r="14" ht="26.25" customHeight="1">
      <c r="A14" s="72"/>
      <c r="B14" s="73" t="s">
        <v>655</v>
      </c>
      <c r="C14" s="74" t="s">
        <v>682</v>
      </c>
      <c r="D14" s="75">
        <v>336.0</v>
      </c>
      <c r="E14" s="76" t="s">
        <v>683</v>
      </c>
      <c r="F14" s="76"/>
      <c r="G14" s="77" t="s">
        <v>658</v>
      </c>
      <c r="H14" s="77">
        <v>336.0</v>
      </c>
      <c r="I14" s="77">
        <v>1.0</v>
      </c>
      <c r="J14" s="78"/>
      <c r="K14" s="79" t="str">
        <f t="shared" si="1"/>
        <v>#DIV/0!</v>
      </c>
      <c r="L14" s="80" t="s">
        <v>303</v>
      </c>
      <c r="M14" s="81" t="s">
        <v>303</v>
      </c>
      <c r="N14" s="81" t="s">
        <v>303</v>
      </c>
      <c r="O14" s="82" t="s">
        <v>303</v>
      </c>
      <c r="P14" s="82" t="s">
        <v>303</v>
      </c>
      <c r="Q14" s="82" t="s">
        <v>303</v>
      </c>
      <c r="R14" s="78" t="s">
        <v>303</v>
      </c>
      <c r="S14" s="83" t="s">
        <v>303</v>
      </c>
      <c r="T14" s="84" t="s">
        <v>660</v>
      </c>
      <c r="U14" s="83">
        <f>336/198</f>
        <v>1.696969697</v>
      </c>
      <c r="V14" s="83" t="str">
        <f t="shared" si="7"/>
        <v>#DIV/0!</v>
      </c>
      <c r="W14" s="83" t="str">
        <f t="shared" si="8"/>
        <v>#DIV/0!</v>
      </c>
    </row>
    <row r="15" ht="26.25" customHeight="1">
      <c r="A15" s="72"/>
      <c r="B15" s="73" t="s">
        <v>655</v>
      </c>
      <c r="C15" s="74" t="s">
        <v>684</v>
      </c>
      <c r="D15" s="75">
        <v>494.0</v>
      </c>
      <c r="E15" s="75" t="s">
        <v>685</v>
      </c>
      <c r="F15" s="76"/>
      <c r="G15" s="77" t="s">
        <v>658</v>
      </c>
      <c r="H15" s="77">
        <v>494.0</v>
      </c>
      <c r="I15" s="77">
        <v>1.0</v>
      </c>
      <c r="J15" s="78"/>
      <c r="K15" s="79" t="str">
        <f t="shared" si="1"/>
        <v>#DIV/0!</v>
      </c>
      <c r="L15" s="80" t="s">
        <v>303</v>
      </c>
      <c r="M15" s="81" t="s">
        <v>303</v>
      </c>
      <c r="N15" s="81" t="s">
        <v>303</v>
      </c>
      <c r="O15" s="82" t="s">
        <v>303</v>
      </c>
      <c r="P15" s="82" t="s">
        <v>303</v>
      </c>
      <c r="Q15" s="82" t="s">
        <v>303</v>
      </c>
      <c r="R15" s="78" t="s">
        <v>303</v>
      </c>
      <c r="S15" s="83" t="s">
        <v>303</v>
      </c>
      <c r="T15" s="84" t="s">
        <v>660</v>
      </c>
      <c r="U15" s="83">
        <f>494/291</f>
        <v>1.697594502</v>
      </c>
      <c r="V15" s="83" t="str">
        <f t="shared" si="7"/>
        <v>#DIV/0!</v>
      </c>
      <c r="W15" s="83" t="str">
        <f t="shared" si="8"/>
        <v>#DIV/0!</v>
      </c>
    </row>
    <row r="16" ht="26.25" customHeight="1">
      <c r="A16" s="72"/>
      <c r="B16" s="73" t="s">
        <v>655</v>
      </c>
      <c r="C16" s="74" t="s">
        <v>686</v>
      </c>
      <c r="D16" s="75">
        <v>6979.0</v>
      </c>
      <c r="E16" s="75" t="s">
        <v>690</v>
      </c>
      <c r="F16" s="75" t="s">
        <v>691</v>
      </c>
      <c r="G16" s="77" t="s">
        <v>658</v>
      </c>
      <c r="H16" s="77">
        <f>6979+200</f>
        <v>7179</v>
      </c>
      <c r="I16" s="77">
        <v>1.0</v>
      </c>
      <c r="J16" s="78"/>
      <c r="K16" s="79" t="str">
        <f t="shared" si="1"/>
        <v>#DIV/0!</v>
      </c>
      <c r="L16" s="80" t="s">
        <v>303</v>
      </c>
      <c r="M16" s="81" t="s">
        <v>303</v>
      </c>
      <c r="N16" s="81" t="s">
        <v>303</v>
      </c>
      <c r="O16" s="82" t="s">
        <v>303</v>
      </c>
      <c r="P16" s="82" t="s">
        <v>303</v>
      </c>
      <c r="Q16" s="82" t="s">
        <v>303</v>
      </c>
      <c r="R16" s="78" t="s">
        <v>303</v>
      </c>
      <c r="S16" s="83" t="s">
        <v>303</v>
      </c>
      <c r="T16" s="84" t="s">
        <v>660</v>
      </c>
      <c r="U16" s="79">
        <v>1.0</v>
      </c>
      <c r="V16" s="83" t="str">
        <f t="shared" si="7"/>
        <v>#DIV/0!</v>
      </c>
      <c r="W16" s="83" t="str">
        <f t="shared" si="8"/>
        <v>#DIV/0!</v>
      </c>
    </row>
    <row r="17" ht="26.25" customHeight="1">
      <c r="A17" s="72"/>
      <c r="B17" s="73" t="s">
        <v>655</v>
      </c>
      <c r="C17" s="74" t="s">
        <v>686</v>
      </c>
      <c r="D17" s="75">
        <v>336.0</v>
      </c>
      <c r="E17" s="75" t="s">
        <v>687</v>
      </c>
      <c r="F17" s="75" t="s">
        <v>688</v>
      </c>
      <c r="G17" s="77" t="s">
        <v>658</v>
      </c>
      <c r="H17" s="77">
        <f>1164+68+336*10</f>
        <v>4592</v>
      </c>
      <c r="I17" s="77">
        <v>11.0</v>
      </c>
      <c r="J17" s="78"/>
      <c r="K17" s="79" t="str">
        <f t="shared" si="1"/>
        <v>#DIV/0!</v>
      </c>
      <c r="L17" s="80" t="s">
        <v>303</v>
      </c>
      <c r="M17" s="81" t="s">
        <v>303</v>
      </c>
      <c r="N17" s="81" t="s">
        <v>303</v>
      </c>
      <c r="O17" s="82" t="s">
        <v>303</v>
      </c>
      <c r="P17" s="82" t="s">
        <v>303</v>
      </c>
      <c r="Q17" s="82" t="s">
        <v>303</v>
      </c>
      <c r="R17" s="78" t="s">
        <v>303</v>
      </c>
      <c r="S17" s="83" t="s">
        <v>1247</v>
      </c>
      <c r="T17" s="84" t="s">
        <v>660</v>
      </c>
      <c r="U17" s="83">
        <f>(494*10+1164+68)/(291*10+1164+68)</f>
        <v>1.4901014</v>
      </c>
      <c r="V17" s="83" t="str">
        <f t="shared" si="7"/>
        <v>#DIV/0!</v>
      </c>
      <c r="W17" s="83" t="str">
        <f t="shared" si="8"/>
        <v>#DIV/0!</v>
      </c>
    </row>
    <row r="18" ht="26.25" customHeight="1">
      <c r="A18" s="72"/>
      <c r="B18" s="73" t="s">
        <v>655</v>
      </c>
      <c r="C18" s="74" t="s">
        <v>692</v>
      </c>
      <c r="D18" s="75">
        <v>336.0</v>
      </c>
      <c r="E18" s="75" t="s">
        <v>693</v>
      </c>
      <c r="F18" s="76"/>
      <c r="G18" s="77" t="s">
        <v>658</v>
      </c>
      <c r="H18" s="77">
        <v>336.0</v>
      </c>
      <c r="I18" s="77">
        <v>1.0</v>
      </c>
      <c r="J18" s="78"/>
      <c r="K18" s="79" t="str">
        <f t="shared" si="1"/>
        <v>#DIV/0!</v>
      </c>
      <c r="L18" s="80" t="s">
        <v>303</v>
      </c>
      <c r="M18" s="81" t="s">
        <v>303</v>
      </c>
      <c r="N18" s="81" t="s">
        <v>303</v>
      </c>
      <c r="O18" s="82" t="s">
        <v>303</v>
      </c>
      <c r="P18" s="82" t="s">
        <v>303</v>
      </c>
      <c r="Q18" s="82" t="s">
        <v>303</v>
      </c>
      <c r="R18" s="78" t="s">
        <v>303</v>
      </c>
      <c r="S18" s="83" t="s">
        <v>303</v>
      </c>
      <c r="T18" s="84" t="s">
        <v>660</v>
      </c>
      <c r="U18" s="83">
        <f>336/198</f>
        <v>1.696969697</v>
      </c>
      <c r="V18" s="83" t="str">
        <f t="shared" si="7"/>
        <v>#DIV/0!</v>
      </c>
      <c r="W18" s="83" t="str">
        <f t="shared" si="8"/>
        <v>#DIV/0!</v>
      </c>
    </row>
    <row r="19" ht="26.25" customHeight="1">
      <c r="A19" s="72"/>
      <c r="B19" s="73" t="s">
        <v>655</v>
      </c>
      <c r="C19" s="74" t="s">
        <v>694</v>
      </c>
      <c r="D19" s="75">
        <v>384.0</v>
      </c>
      <c r="E19" s="75" t="s">
        <v>695</v>
      </c>
      <c r="F19" s="76"/>
      <c r="G19" s="77" t="s">
        <v>658</v>
      </c>
      <c r="H19" s="77">
        <v>384.0</v>
      </c>
      <c r="I19" s="77">
        <v>1.0</v>
      </c>
      <c r="J19" s="78"/>
      <c r="K19" s="79" t="str">
        <f t="shared" si="1"/>
        <v>#DIV/0!</v>
      </c>
      <c r="L19" s="80" t="s">
        <v>303</v>
      </c>
      <c r="M19" s="81" t="s">
        <v>303</v>
      </c>
      <c r="N19" s="81" t="s">
        <v>303</v>
      </c>
      <c r="O19" s="82" t="s">
        <v>303</v>
      </c>
      <c r="P19" s="82" t="s">
        <v>303</v>
      </c>
      <c r="Q19" s="82" t="s">
        <v>303</v>
      </c>
      <c r="R19" s="78" t="s">
        <v>303</v>
      </c>
      <c r="S19" s="83" t="s">
        <v>303</v>
      </c>
      <c r="T19" s="84" t="s">
        <v>660</v>
      </c>
      <c r="U19" s="83">
        <f>384/274</f>
        <v>1.401459854</v>
      </c>
      <c r="V19" s="83" t="str">
        <f t="shared" si="7"/>
        <v>#DIV/0!</v>
      </c>
      <c r="W19" s="83" t="str">
        <f t="shared" si="8"/>
        <v>#DIV/0!</v>
      </c>
    </row>
    <row r="20" ht="26.25" customHeight="1">
      <c r="A20" s="72"/>
      <c r="B20" s="73" t="s">
        <v>655</v>
      </c>
      <c r="C20" s="74" t="s">
        <v>696</v>
      </c>
      <c r="D20" s="75">
        <v>626.0</v>
      </c>
      <c r="E20" s="75" t="s">
        <v>697</v>
      </c>
      <c r="F20" s="75" t="s">
        <v>698</v>
      </c>
      <c r="G20" s="77" t="s">
        <v>658</v>
      </c>
      <c r="H20" s="77">
        <f>(349*18+367*6+368*2+369+370*2+372+373+374+376+379+381+384)*U20</f>
        <v>23260.6533</v>
      </c>
      <c r="I20" s="77">
        <v>36.0</v>
      </c>
      <c r="J20" s="78"/>
      <c r="K20" s="79" t="str">
        <f t="shared" si="1"/>
        <v>#DIV/0!</v>
      </c>
      <c r="L20" s="80" t="s">
        <v>303</v>
      </c>
      <c r="M20" s="81" t="s">
        <v>303</v>
      </c>
      <c r="N20" s="81" t="s">
        <v>303</v>
      </c>
      <c r="O20" s="82" t="s">
        <v>303</v>
      </c>
      <c r="P20" s="82" t="s">
        <v>303</v>
      </c>
      <c r="Q20" s="82" t="s">
        <v>303</v>
      </c>
      <c r="R20" s="78" t="s">
        <v>303</v>
      </c>
      <c r="S20" s="83" t="s">
        <v>303</v>
      </c>
      <c r="T20" s="84" t="s">
        <v>660</v>
      </c>
      <c r="U20" s="83">
        <f>626/349</f>
        <v>1.793696275</v>
      </c>
      <c r="V20" s="83" t="str">
        <f t="shared" si="7"/>
        <v>#DIV/0!</v>
      </c>
      <c r="W20" s="83" t="str">
        <f t="shared" si="8"/>
        <v>#DIV/0!</v>
      </c>
    </row>
    <row r="21" ht="26.25" customHeight="1">
      <c r="A21" s="72"/>
      <c r="B21" s="73" t="s">
        <v>655</v>
      </c>
      <c r="C21" s="74" t="s">
        <v>696</v>
      </c>
      <c r="D21" s="75">
        <v>359.0</v>
      </c>
      <c r="E21" s="75" t="s">
        <v>699</v>
      </c>
      <c r="F21" s="75" t="s">
        <v>700</v>
      </c>
      <c r="G21" s="77" t="s">
        <v>658</v>
      </c>
      <c r="H21" s="77">
        <f>(219*18+230*8+231*2+232*2+233+234+235+237+238+240)*U21</f>
        <v>13319.06393</v>
      </c>
      <c r="I21" s="77">
        <v>36.0</v>
      </c>
      <c r="J21" s="78"/>
      <c r="K21" s="79" t="str">
        <f t="shared" si="1"/>
        <v>#DIV/0!</v>
      </c>
      <c r="L21" s="80" t="s">
        <v>303</v>
      </c>
      <c r="M21" s="81" t="s">
        <v>303</v>
      </c>
      <c r="N21" s="81" t="s">
        <v>303</v>
      </c>
      <c r="O21" s="82" t="s">
        <v>303</v>
      </c>
      <c r="P21" s="82" t="s">
        <v>303</v>
      </c>
      <c r="Q21" s="82" t="s">
        <v>303</v>
      </c>
      <c r="R21" s="78" t="s">
        <v>303</v>
      </c>
      <c r="S21" s="83" t="s">
        <v>303</v>
      </c>
      <c r="T21" s="84" t="s">
        <v>660</v>
      </c>
      <c r="U21" s="83">
        <f>359/219</f>
        <v>1.639269406</v>
      </c>
      <c r="V21" s="83" t="str">
        <f t="shared" si="7"/>
        <v>#DIV/0!</v>
      </c>
      <c r="W21" s="83" t="str">
        <f t="shared" si="8"/>
        <v>#DIV/0!</v>
      </c>
    </row>
    <row r="22" ht="26.25" customHeight="1">
      <c r="A22" s="72"/>
      <c r="B22" s="73" t="s">
        <v>655</v>
      </c>
      <c r="C22" s="87" t="s">
        <v>701</v>
      </c>
      <c r="D22" s="75">
        <v>423.0</v>
      </c>
      <c r="E22" s="75" t="s">
        <v>702</v>
      </c>
      <c r="F22" s="76" t="s">
        <v>703</v>
      </c>
      <c r="G22" s="77" t="s">
        <v>704</v>
      </c>
      <c r="H22" s="77">
        <f>5460*1.5</f>
        <v>8190</v>
      </c>
      <c r="I22" s="77">
        <v>150.0</v>
      </c>
      <c r="J22" s="78"/>
      <c r="K22" s="79" t="str">
        <f t="shared" si="1"/>
        <v>#DIV/0!</v>
      </c>
      <c r="L22" s="80" t="s">
        <v>303</v>
      </c>
      <c r="M22" s="81" t="s">
        <v>303</v>
      </c>
      <c r="N22" s="79" t="s">
        <v>303</v>
      </c>
      <c r="O22" s="82" t="s">
        <v>303</v>
      </c>
      <c r="P22" s="82" t="s">
        <v>303</v>
      </c>
      <c r="Q22" s="82" t="s">
        <v>303</v>
      </c>
      <c r="R22" s="78" t="s">
        <v>303</v>
      </c>
      <c r="S22" s="83" t="s">
        <v>1247</v>
      </c>
      <c r="T22" s="84" t="s">
        <v>705</v>
      </c>
      <c r="U22" s="83">
        <f>423/275</f>
        <v>1.538181818</v>
      </c>
      <c r="V22" s="83">
        <f>33728/34664</f>
        <v>0.9729979229</v>
      </c>
      <c r="W22" s="83">
        <f>(33728-34664)/(1500000/845)</f>
        <v>-0.52728</v>
      </c>
    </row>
    <row r="23" ht="26.25" customHeight="1">
      <c r="A23" s="72"/>
      <c r="B23" s="73" t="s">
        <v>655</v>
      </c>
      <c r="C23" s="74" t="s">
        <v>706</v>
      </c>
      <c r="D23" s="75">
        <v>11202.0</v>
      </c>
      <c r="E23" s="75" t="s">
        <v>707</v>
      </c>
      <c r="F23" s="76" t="s">
        <v>708</v>
      </c>
      <c r="G23" s="77" t="s">
        <v>704</v>
      </c>
      <c r="H23" s="77">
        <f>7007*1.5</f>
        <v>10510.5</v>
      </c>
      <c r="I23" s="77">
        <v>100.0</v>
      </c>
      <c r="J23" s="78"/>
      <c r="K23" s="79" t="str">
        <f t="shared" si="1"/>
        <v>#DIV/0!</v>
      </c>
      <c r="L23" s="80" t="s">
        <v>704</v>
      </c>
      <c r="M23" s="81">
        <v>100.0</v>
      </c>
      <c r="N23" s="79" t="s">
        <v>689</v>
      </c>
      <c r="O23" s="82">
        <v>99.64497</v>
      </c>
      <c r="P23" s="82">
        <v>94.08284</v>
      </c>
      <c r="Q23" s="82">
        <f t="shared" ref="Q23:Q47" si="9">O23-P23</f>
        <v>5.56213</v>
      </c>
      <c r="R23" s="78">
        <f>1.25*1.22</f>
        <v>1.525</v>
      </c>
      <c r="S23" s="83" t="s">
        <v>1247</v>
      </c>
      <c r="T23" s="84" t="s">
        <v>705</v>
      </c>
      <c r="U23" s="83">
        <f>369/218</f>
        <v>1.69266055</v>
      </c>
      <c r="V23" s="83">
        <f>44379/44090</f>
        <v>1.006554774</v>
      </c>
      <c r="W23" s="83">
        <f>(44379-44090)/(1500000/845)</f>
        <v>0.1628033333</v>
      </c>
    </row>
    <row r="24" ht="26.25" customHeight="1">
      <c r="A24" s="85"/>
      <c r="B24" s="85" t="s">
        <v>709</v>
      </c>
      <c r="C24" s="74" t="s">
        <v>710</v>
      </c>
      <c r="D24" s="75">
        <v>1637.0</v>
      </c>
      <c r="E24" s="75" t="s">
        <v>714</v>
      </c>
      <c r="F24" s="75" t="s">
        <v>715</v>
      </c>
      <c r="G24" s="77" t="s">
        <v>689</v>
      </c>
      <c r="H24" s="77">
        <v>19691.0</v>
      </c>
      <c r="I24" s="77">
        <v>5.0</v>
      </c>
      <c r="J24" s="78"/>
      <c r="K24" s="79" t="str">
        <f t="shared" si="1"/>
        <v>#DIV/0!</v>
      </c>
      <c r="L24" s="80" t="s">
        <v>689</v>
      </c>
      <c r="M24" s="81">
        <v>5.0</v>
      </c>
      <c r="N24" s="81" t="s">
        <v>689</v>
      </c>
      <c r="O24" s="82">
        <v>100.0</v>
      </c>
      <c r="P24" s="82">
        <v>98.698225</v>
      </c>
      <c r="Q24" s="82">
        <f t="shared" si="9"/>
        <v>1.301775</v>
      </c>
      <c r="R24" s="78">
        <f t="shared" ref="R24:R27" si="10">1.25*2*1.15</f>
        <v>2.875</v>
      </c>
      <c r="S24" s="83">
        <f t="shared" ref="S24:S32" si="11">IFS(N24="B",Q24/M24/100*249945/R24
*U24,N24="C",Q24/M24/100*249945/R24
)</f>
        <v>226.3458451</v>
      </c>
      <c r="T24" s="84" t="s">
        <v>713</v>
      </c>
      <c r="U24" s="83">
        <f>19691/18694</f>
        <v>1.05333262</v>
      </c>
      <c r="V24" s="83" t="str">
        <f t="shared" ref="V24:V32" si="12">S24/K24</f>
        <v>#DIV/0!</v>
      </c>
      <c r="W24" s="83" t="str">
        <f t="shared" ref="W24:W27" si="13">(S24-K24)*M24*#REF!*#REF!*J24/(1500000/845)</f>
        <v>#DIV/0!</v>
      </c>
    </row>
    <row r="25" ht="26.25" customHeight="1">
      <c r="A25" s="85"/>
      <c r="B25" s="85" t="s">
        <v>709</v>
      </c>
      <c r="C25" s="74" t="s">
        <v>710</v>
      </c>
      <c r="D25" s="75">
        <v>1399.0</v>
      </c>
      <c r="E25" s="75" t="s">
        <v>711</v>
      </c>
      <c r="F25" s="75" t="s">
        <v>712</v>
      </c>
      <c r="G25" s="77" t="s">
        <v>689</v>
      </c>
      <c r="H25" s="77">
        <v>38475.0</v>
      </c>
      <c r="I25" s="77">
        <v>15.0</v>
      </c>
      <c r="J25" s="78"/>
      <c r="K25" s="79" t="str">
        <f t="shared" si="1"/>
        <v>#DIV/0!</v>
      </c>
      <c r="L25" s="80" t="s">
        <v>689</v>
      </c>
      <c r="M25" s="81">
        <v>15.0</v>
      </c>
      <c r="N25" s="81" t="s">
        <v>689</v>
      </c>
      <c r="O25" s="82">
        <v>100.0</v>
      </c>
      <c r="P25" s="82">
        <v>97.39645</v>
      </c>
      <c r="Q25" s="82">
        <f t="shared" si="9"/>
        <v>2.60355</v>
      </c>
      <c r="R25" s="78">
        <f t="shared" si="10"/>
        <v>2.875</v>
      </c>
      <c r="S25" s="83">
        <f t="shared" si="11"/>
        <v>150.8972301</v>
      </c>
      <c r="T25" s="84" t="s">
        <v>713</v>
      </c>
      <c r="U25" s="83">
        <f>(1399+1166)/(1399+1053)</f>
        <v>1.046084829</v>
      </c>
      <c r="V25" s="83" t="str">
        <f t="shared" si="12"/>
        <v>#DIV/0!</v>
      </c>
      <c r="W25" s="83" t="str">
        <f t="shared" si="13"/>
        <v>#DIV/0!</v>
      </c>
    </row>
    <row r="26" ht="26.25" customHeight="1">
      <c r="A26" s="85"/>
      <c r="B26" s="85" t="s">
        <v>709</v>
      </c>
      <c r="C26" s="74" t="s">
        <v>710</v>
      </c>
      <c r="D26" s="75">
        <v>2862.0</v>
      </c>
      <c r="E26" s="75" t="s">
        <v>718</v>
      </c>
      <c r="F26" s="75" t="s">
        <v>719</v>
      </c>
      <c r="G26" s="77" t="s">
        <v>689</v>
      </c>
      <c r="H26" s="77">
        <v>27908.0</v>
      </c>
      <c r="I26" s="77">
        <v>4.0</v>
      </c>
      <c r="J26" s="78"/>
      <c r="K26" s="79" t="str">
        <f t="shared" si="1"/>
        <v>#DIV/0!</v>
      </c>
      <c r="L26" s="80" t="s">
        <v>689</v>
      </c>
      <c r="M26" s="81">
        <v>4.0</v>
      </c>
      <c r="N26" s="81" t="s">
        <v>689</v>
      </c>
      <c r="O26" s="82">
        <v>100.0</v>
      </c>
      <c r="P26" s="82">
        <v>98.106509</v>
      </c>
      <c r="Q26" s="82">
        <f t="shared" si="9"/>
        <v>1.893491</v>
      </c>
      <c r="R26" s="78">
        <f t="shared" si="10"/>
        <v>2.875</v>
      </c>
      <c r="S26" s="83">
        <f t="shared" si="11"/>
        <v>411.53792</v>
      </c>
      <c r="T26" s="84" t="s">
        <v>713</v>
      </c>
      <c r="U26" s="83">
        <f>27908/26794</f>
        <v>1.041576472</v>
      </c>
      <c r="V26" s="83" t="str">
        <f t="shared" si="12"/>
        <v>#DIV/0!</v>
      </c>
      <c r="W26" s="83" t="str">
        <f t="shared" si="13"/>
        <v>#DIV/0!</v>
      </c>
    </row>
    <row r="27" ht="26.25" customHeight="1">
      <c r="A27" s="85"/>
      <c r="B27" s="85" t="s">
        <v>709</v>
      </c>
      <c r="C27" s="74" t="s">
        <v>710</v>
      </c>
      <c r="D27" s="75">
        <v>2862.0</v>
      </c>
      <c r="E27" s="75" t="s">
        <v>716</v>
      </c>
      <c r="F27" s="75" t="s">
        <v>717</v>
      </c>
      <c r="G27" s="77" t="s">
        <v>689</v>
      </c>
      <c r="H27" s="77">
        <v>17149.0</v>
      </c>
      <c r="I27" s="77">
        <v>3.0</v>
      </c>
      <c r="J27" s="78"/>
      <c r="K27" s="79" t="str">
        <f t="shared" si="1"/>
        <v>#DIV/0!</v>
      </c>
      <c r="L27" s="80" t="s">
        <v>689</v>
      </c>
      <c r="M27" s="81">
        <v>3.0</v>
      </c>
      <c r="N27" s="81" t="s">
        <v>689</v>
      </c>
      <c r="O27" s="82">
        <v>100.0</v>
      </c>
      <c r="P27" s="82">
        <v>98.816568</v>
      </c>
      <c r="Q27" s="82">
        <f t="shared" si="9"/>
        <v>1.183432</v>
      </c>
      <c r="R27" s="78">
        <f t="shared" si="10"/>
        <v>2.875</v>
      </c>
      <c r="S27" s="83">
        <f t="shared" si="11"/>
        <v>342.9483029</v>
      </c>
      <c r="T27" s="84" t="s">
        <v>713</v>
      </c>
      <c r="U27" s="83">
        <f>17149/14470</f>
        <v>1.185141672</v>
      </c>
      <c r="V27" s="83" t="str">
        <f t="shared" si="12"/>
        <v>#DIV/0!</v>
      </c>
      <c r="W27" s="83" t="str">
        <f t="shared" si="13"/>
        <v>#DIV/0!</v>
      </c>
    </row>
    <row r="28" ht="26.25" customHeight="1">
      <c r="A28" s="72"/>
      <c r="B28" s="73" t="s">
        <v>709</v>
      </c>
      <c r="C28" s="87" t="s">
        <v>720</v>
      </c>
      <c r="D28" s="75">
        <v>3508.0</v>
      </c>
      <c r="E28" s="75" t="s">
        <v>721</v>
      </c>
      <c r="F28" s="76"/>
      <c r="G28" s="77" t="s">
        <v>658</v>
      </c>
      <c r="H28" s="77">
        <v>3508.0</v>
      </c>
      <c r="I28" s="77">
        <v>1.0</v>
      </c>
      <c r="J28" s="78"/>
      <c r="K28" s="79" t="str">
        <f t="shared" si="1"/>
        <v>#DIV/0!</v>
      </c>
      <c r="L28" s="80" t="s">
        <v>658</v>
      </c>
      <c r="M28" s="81">
        <v>5.0</v>
      </c>
      <c r="N28" s="81" t="s">
        <v>689</v>
      </c>
      <c r="O28" s="82">
        <v>90.023753</v>
      </c>
      <c r="P28" s="82">
        <v>83.016627</v>
      </c>
      <c r="Q28" s="82">
        <f t="shared" si="9"/>
        <v>7.007126</v>
      </c>
      <c r="R28" s="78">
        <f>IFS(L28="S",21494/2048*1.25)</f>
        <v>13.11889648</v>
      </c>
      <c r="S28" s="83">
        <f t="shared" si="11"/>
        <v>267.0035716</v>
      </c>
      <c r="T28" s="84" t="s">
        <v>660</v>
      </c>
      <c r="U28" s="83">
        <f>3508/2195</f>
        <v>1.598177677</v>
      </c>
      <c r="V28" s="83" t="str">
        <f t="shared" si="12"/>
        <v>#DIV/0!</v>
      </c>
      <c r="W28" s="83" t="str">
        <f>(S28-K28)*M28*#REF!*#REF!*J28/(249945/845)</f>
        <v>#DIV/0!</v>
      </c>
    </row>
    <row r="29" ht="26.25" customHeight="1">
      <c r="A29" s="73"/>
      <c r="B29" s="73" t="s">
        <v>709</v>
      </c>
      <c r="C29" s="74" t="s">
        <v>676</v>
      </c>
      <c r="D29" s="75">
        <v>5861.0</v>
      </c>
      <c r="E29" s="75" t="s">
        <v>730</v>
      </c>
      <c r="F29" s="76" t="s">
        <v>731</v>
      </c>
      <c r="G29" s="77" t="s">
        <v>689</v>
      </c>
      <c r="H29" s="77">
        <v>59170.0</v>
      </c>
      <c r="I29" s="77">
        <v>10.0</v>
      </c>
      <c r="J29" s="78"/>
      <c r="K29" s="79" t="str">
        <f t="shared" si="1"/>
        <v>#DIV/0!</v>
      </c>
      <c r="L29" s="80" t="s">
        <v>689</v>
      </c>
      <c r="M29" s="81">
        <v>10.0</v>
      </c>
      <c r="N29" s="81" t="s">
        <v>689</v>
      </c>
      <c r="O29" s="82">
        <v>100.0</v>
      </c>
      <c r="P29" s="82">
        <v>96.094675</v>
      </c>
      <c r="Q29" s="82">
        <f t="shared" si="9"/>
        <v>3.905325</v>
      </c>
      <c r="R29" s="78">
        <f t="shared" ref="R29:R33" si="14">1.25*2*1.15*1.17</f>
        <v>3.36375</v>
      </c>
      <c r="S29" s="83">
        <f t="shared" si="11"/>
        <v>290.1869809</v>
      </c>
      <c r="T29" s="84" t="s">
        <v>713</v>
      </c>
      <c r="U29" s="83">
        <f>59170/44200</f>
        <v>1.338687783</v>
      </c>
      <c r="V29" s="83" t="str">
        <f t="shared" si="12"/>
        <v>#DIV/0!</v>
      </c>
      <c r="W29" s="83" t="str">
        <f t="shared" ref="W29:W32" si="15">(S29-K29)*M29*#REF!*#REF!*J29/(1500000/845)</f>
        <v>#DIV/0!</v>
      </c>
    </row>
    <row r="30" ht="26.25" customHeight="1">
      <c r="A30" s="73"/>
      <c r="B30" s="73" t="s">
        <v>709</v>
      </c>
      <c r="C30" s="74" t="s">
        <v>676</v>
      </c>
      <c r="D30" s="75">
        <v>6447.0</v>
      </c>
      <c r="E30" s="75" t="s">
        <v>726</v>
      </c>
      <c r="F30" s="76" t="s">
        <v>727</v>
      </c>
      <c r="G30" s="77" t="s">
        <v>689</v>
      </c>
      <c r="H30" s="77">
        <v>64470.0</v>
      </c>
      <c r="I30" s="77">
        <v>10.0</v>
      </c>
      <c r="J30" s="78"/>
      <c r="K30" s="79" t="str">
        <f t="shared" si="1"/>
        <v>#DIV/0!</v>
      </c>
      <c r="L30" s="80" t="s">
        <v>689</v>
      </c>
      <c r="M30" s="81">
        <v>10.0</v>
      </c>
      <c r="N30" s="81" t="s">
        <v>689</v>
      </c>
      <c r="O30" s="82">
        <v>100.0</v>
      </c>
      <c r="P30" s="82">
        <v>95.739645</v>
      </c>
      <c r="Q30" s="82">
        <f t="shared" si="9"/>
        <v>4.260355</v>
      </c>
      <c r="R30" s="78">
        <f t="shared" si="14"/>
        <v>3.36375</v>
      </c>
      <c r="S30" s="83">
        <f t="shared" si="11"/>
        <v>316.5676493</v>
      </c>
      <c r="T30" s="84" t="s">
        <v>713</v>
      </c>
      <c r="U30" s="83">
        <f>64470/48000</f>
        <v>1.343125</v>
      </c>
      <c r="V30" s="83" t="str">
        <f t="shared" si="12"/>
        <v>#DIV/0!</v>
      </c>
      <c r="W30" s="83" t="str">
        <f t="shared" si="15"/>
        <v>#DIV/0!</v>
      </c>
    </row>
    <row r="31" ht="26.25" customHeight="1">
      <c r="A31" s="73"/>
      <c r="B31" s="73" t="s">
        <v>709</v>
      </c>
      <c r="C31" s="74" t="s">
        <v>676</v>
      </c>
      <c r="D31" s="75">
        <v>2638.0</v>
      </c>
      <c r="E31" s="75" t="s">
        <v>724</v>
      </c>
      <c r="F31" s="76" t="s">
        <v>725</v>
      </c>
      <c r="G31" s="77" t="s">
        <v>689</v>
      </c>
      <c r="H31" s="77">
        <v>58620.0</v>
      </c>
      <c r="I31" s="77">
        <v>10.0</v>
      </c>
      <c r="J31" s="78"/>
      <c r="K31" s="79" t="str">
        <f t="shared" si="1"/>
        <v>#DIV/0!</v>
      </c>
      <c r="L31" s="80" t="s">
        <v>689</v>
      </c>
      <c r="M31" s="81">
        <v>10.0</v>
      </c>
      <c r="N31" s="81" t="s">
        <v>689</v>
      </c>
      <c r="O31" s="82">
        <v>100.0</v>
      </c>
      <c r="P31" s="82">
        <v>96.094675</v>
      </c>
      <c r="Q31" s="82">
        <f t="shared" si="9"/>
        <v>3.905325</v>
      </c>
      <c r="R31" s="78">
        <f t="shared" si="14"/>
        <v>3.36375</v>
      </c>
      <c r="S31" s="83">
        <f t="shared" si="11"/>
        <v>290.1869809</v>
      </c>
      <c r="T31" s="84" t="s">
        <v>713</v>
      </c>
      <c r="U31" s="83">
        <f>58620/51880</f>
        <v>1.129915189</v>
      </c>
      <c r="V31" s="83" t="str">
        <f t="shared" si="12"/>
        <v>#DIV/0!</v>
      </c>
      <c r="W31" s="83" t="str">
        <f t="shared" si="15"/>
        <v>#DIV/0!</v>
      </c>
    </row>
    <row r="32" ht="26.25" customHeight="1">
      <c r="A32" s="73"/>
      <c r="B32" s="73" t="s">
        <v>709</v>
      </c>
      <c r="C32" s="74" t="s">
        <v>676</v>
      </c>
      <c r="D32" s="75">
        <v>5861.0</v>
      </c>
      <c r="E32" s="75" t="s">
        <v>728</v>
      </c>
      <c r="F32" s="76" t="s">
        <v>729</v>
      </c>
      <c r="G32" s="77" t="s">
        <v>689</v>
      </c>
      <c r="H32" s="77">
        <v>64725.0</v>
      </c>
      <c r="I32" s="77">
        <v>10.0</v>
      </c>
      <c r="J32" s="78"/>
      <c r="K32" s="79" t="str">
        <f t="shared" si="1"/>
        <v>#DIV/0!</v>
      </c>
      <c r="L32" s="80" t="s">
        <v>689</v>
      </c>
      <c r="M32" s="81">
        <v>10.0</v>
      </c>
      <c r="N32" s="81" t="s">
        <v>689</v>
      </c>
      <c r="O32" s="82">
        <v>100.0</v>
      </c>
      <c r="P32" s="82">
        <v>95.621302</v>
      </c>
      <c r="Q32" s="82">
        <f t="shared" si="9"/>
        <v>4.378698</v>
      </c>
      <c r="R32" s="78">
        <f t="shared" si="14"/>
        <v>3.36375</v>
      </c>
      <c r="S32" s="83">
        <f t="shared" si="11"/>
        <v>325.3611807</v>
      </c>
      <c r="T32" s="84" t="s">
        <v>713</v>
      </c>
      <c r="U32" s="83">
        <f>64725/49755</f>
        <v>1.300874284</v>
      </c>
      <c r="V32" s="83" t="str">
        <f t="shared" si="12"/>
        <v>#DIV/0!</v>
      </c>
      <c r="W32" s="83" t="str">
        <f t="shared" si="15"/>
        <v>#DIV/0!</v>
      </c>
    </row>
    <row r="33" ht="26.25" customHeight="1">
      <c r="A33" s="73"/>
      <c r="B33" s="73" t="s">
        <v>709</v>
      </c>
      <c r="C33" s="74" t="s">
        <v>676</v>
      </c>
      <c r="D33" s="75">
        <v>5861.0</v>
      </c>
      <c r="E33" s="75" t="s">
        <v>722</v>
      </c>
      <c r="F33" s="76" t="s">
        <v>723</v>
      </c>
      <c r="G33" s="77" t="s">
        <v>689</v>
      </c>
      <c r="H33" s="77">
        <v>62027.0</v>
      </c>
      <c r="I33" s="77">
        <v>10.0</v>
      </c>
      <c r="J33" s="78"/>
      <c r="K33" s="79" t="str">
        <f t="shared" si="1"/>
        <v>#DIV/0!</v>
      </c>
      <c r="L33" s="80" t="s">
        <v>689</v>
      </c>
      <c r="M33" s="81">
        <v>1.0</v>
      </c>
      <c r="N33" s="81" t="s">
        <v>689</v>
      </c>
      <c r="O33" s="82">
        <v>100.0</v>
      </c>
      <c r="P33" s="82">
        <v>95.502959</v>
      </c>
      <c r="Q33" s="82">
        <f t="shared" si="9"/>
        <v>4.497041</v>
      </c>
      <c r="R33" s="78">
        <f t="shared" si="14"/>
        <v>3.36375</v>
      </c>
      <c r="S33" s="83" t="s">
        <v>1247</v>
      </c>
      <c r="T33" s="84" t="s">
        <v>713</v>
      </c>
      <c r="U33" s="83">
        <f>62027/46990</f>
        <v>1.320004256</v>
      </c>
      <c r="V33" s="83" t="str">
        <f>IF(S33="/",1,S33/K33)</f>
        <v>#DIV/0!</v>
      </c>
      <c r="W33" s="83">
        <f>IFS(S33="/","N/A",G33="S",((P33-O33)/100*249945/845)/M33-H33/249945*845,G33="C",((P33-O33)/100*10000000/845)/M33-H33/10000000*845)</f>
        <v>-537.4354827</v>
      </c>
    </row>
    <row r="34" ht="26.25" customHeight="1">
      <c r="A34" s="72"/>
      <c r="B34" s="73" t="s">
        <v>709</v>
      </c>
      <c r="C34" s="74" t="s">
        <v>732</v>
      </c>
      <c r="D34" s="75">
        <v>3977.0</v>
      </c>
      <c r="E34" s="75" t="s">
        <v>733</v>
      </c>
      <c r="F34" s="76"/>
      <c r="G34" s="77" t="s">
        <v>658</v>
      </c>
      <c r="H34" s="77">
        <v>3977.0</v>
      </c>
      <c r="I34" s="77">
        <v>1.0</v>
      </c>
      <c r="J34" s="78"/>
      <c r="K34" s="79" t="str">
        <f t="shared" si="1"/>
        <v>#DIV/0!</v>
      </c>
      <c r="L34" s="80" t="s">
        <v>658</v>
      </c>
      <c r="M34" s="81">
        <v>2.0</v>
      </c>
      <c r="N34" s="81" t="s">
        <v>689</v>
      </c>
      <c r="O34" s="82">
        <v>90.023753</v>
      </c>
      <c r="P34" s="82">
        <v>86.817102</v>
      </c>
      <c r="Q34" s="82">
        <f t="shared" si="9"/>
        <v>3.206651</v>
      </c>
      <c r="R34" s="78">
        <f t="shared" ref="R34:R47" si="16">IFS(L34="S",21494/2048*1.25)</f>
        <v>13.11889648</v>
      </c>
      <c r="S34" s="83">
        <f t="shared" ref="S34:S47" si="17">IFS(N34="B",Q34/M34/100*249945/R34
*U34,N34="C",Q34/M34/100*249945/R34
)</f>
        <v>305.4701991</v>
      </c>
      <c r="T34" s="84" t="s">
        <v>660</v>
      </c>
      <c r="U34" s="83">
        <f>3977/3050</f>
        <v>1.303934426</v>
      </c>
      <c r="V34" s="83" t="str">
        <f t="shared" ref="V34:V47" si="18">S34/K34</f>
        <v>#DIV/0!</v>
      </c>
      <c r="W34" s="83" t="str">
        <f t="shared" ref="W34:W47" si="19">(S34-K34)*M34*#REF!*#REF!*J34/(249945/845)</f>
        <v>#DIV/0!</v>
      </c>
    </row>
    <row r="35" ht="26.25" customHeight="1">
      <c r="A35" s="72"/>
      <c r="B35" s="73" t="s">
        <v>709</v>
      </c>
      <c r="C35" s="74" t="s">
        <v>734</v>
      </c>
      <c r="D35" s="75">
        <v>2898.0</v>
      </c>
      <c r="E35" s="75" t="s">
        <v>735</v>
      </c>
      <c r="F35" s="75" t="s">
        <v>736</v>
      </c>
      <c r="G35" s="77" t="s">
        <v>689</v>
      </c>
      <c r="H35" s="77">
        <v>6580.0</v>
      </c>
      <c r="I35" s="77">
        <v>5.0</v>
      </c>
      <c r="J35" s="78"/>
      <c r="K35" s="79" t="str">
        <f t="shared" si="1"/>
        <v>#DIV/0!</v>
      </c>
      <c r="L35" s="80" t="s">
        <v>658</v>
      </c>
      <c r="M35" s="81">
        <v>5.0</v>
      </c>
      <c r="N35" s="81" t="s">
        <v>689</v>
      </c>
      <c r="O35" s="82">
        <v>90.023753</v>
      </c>
      <c r="P35" s="82">
        <v>78.384798</v>
      </c>
      <c r="Q35" s="82">
        <f t="shared" si="9"/>
        <v>11.638955</v>
      </c>
      <c r="R35" s="78">
        <f t="shared" si="16"/>
        <v>13.11889648</v>
      </c>
      <c r="S35" s="83">
        <f t="shared" si="17"/>
        <v>443.4974559</v>
      </c>
      <c r="T35" s="84" t="s">
        <v>660</v>
      </c>
      <c r="U35" s="83">
        <f>6580/5320</f>
        <v>1.236842105</v>
      </c>
      <c r="V35" s="83" t="str">
        <f t="shared" si="18"/>
        <v>#DIV/0!</v>
      </c>
      <c r="W35" s="83" t="str">
        <f t="shared" si="19"/>
        <v>#DIV/0!</v>
      </c>
    </row>
    <row r="36" ht="26.25" customHeight="1">
      <c r="A36" s="72"/>
      <c r="B36" s="73" t="s">
        <v>709</v>
      </c>
      <c r="C36" s="87" t="s">
        <v>737</v>
      </c>
      <c r="D36" s="75">
        <v>16620.0</v>
      </c>
      <c r="E36" s="75" t="s">
        <v>738</v>
      </c>
      <c r="F36" s="88"/>
      <c r="G36" s="77" t="s">
        <v>658</v>
      </c>
      <c r="H36" s="77">
        <f>16620+12262+984</f>
        <v>29866</v>
      </c>
      <c r="I36" s="77">
        <v>1.0</v>
      </c>
      <c r="J36" s="78"/>
      <c r="K36" s="79" t="str">
        <f t="shared" si="1"/>
        <v>#DIV/0!</v>
      </c>
      <c r="L36" s="80" t="s">
        <v>658</v>
      </c>
      <c r="M36" s="81">
        <v>3.0</v>
      </c>
      <c r="N36" s="81" t="s">
        <v>689</v>
      </c>
      <c r="O36" s="82">
        <v>90.023753</v>
      </c>
      <c r="P36" s="82">
        <v>54.15677</v>
      </c>
      <c r="Q36" s="82">
        <f t="shared" si="9"/>
        <v>35.866983</v>
      </c>
      <c r="R36" s="78">
        <f t="shared" si="16"/>
        <v>13.11889648</v>
      </c>
      <c r="S36" s="83">
        <f t="shared" si="17"/>
        <v>2277.82702</v>
      </c>
      <c r="T36" s="84" t="s">
        <v>739</v>
      </c>
      <c r="U36" s="79">
        <f>(16620+12262+984)/(7674+16620+984)</f>
        <v>1.181501701</v>
      </c>
      <c r="V36" s="83" t="str">
        <f t="shared" si="18"/>
        <v>#DIV/0!</v>
      </c>
      <c r="W36" s="83" t="str">
        <f t="shared" si="19"/>
        <v>#DIV/0!</v>
      </c>
    </row>
    <row r="37" ht="26.25" customHeight="1">
      <c r="A37" s="72"/>
      <c r="B37" s="73" t="s">
        <v>709</v>
      </c>
      <c r="C37" s="74" t="s">
        <v>740</v>
      </c>
      <c r="D37" s="75">
        <v>2997.0</v>
      </c>
      <c r="E37" s="75" t="s">
        <v>741</v>
      </c>
      <c r="F37" s="76"/>
      <c r="G37" s="77" t="s">
        <v>658</v>
      </c>
      <c r="H37" s="77">
        <v>2997.0</v>
      </c>
      <c r="I37" s="77">
        <v>1.0</v>
      </c>
      <c r="J37" s="78"/>
      <c r="K37" s="79" t="str">
        <f t="shared" si="1"/>
        <v>#DIV/0!</v>
      </c>
      <c r="L37" s="80" t="s">
        <v>658</v>
      </c>
      <c r="M37" s="81">
        <v>5.0</v>
      </c>
      <c r="N37" s="81" t="s">
        <v>689</v>
      </c>
      <c r="O37" s="82">
        <v>90.023753</v>
      </c>
      <c r="P37" s="82">
        <v>83.966746</v>
      </c>
      <c r="Q37" s="82">
        <f t="shared" si="9"/>
        <v>6.057007</v>
      </c>
      <c r="R37" s="78">
        <f t="shared" si="16"/>
        <v>13.11889648</v>
      </c>
      <c r="S37" s="83">
        <f t="shared" si="17"/>
        <v>230.799689</v>
      </c>
      <c r="T37" s="84" t="s">
        <v>660</v>
      </c>
      <c r="U37" s="83">
        <f>2997/1876</f>
        <v>1.597547974</v>
      </c>
      <c r="V37" s="83" t="str">
        <f t="shared" si="18"/>
        <v>#DIV/0!</v>
      </c>
      <c r="W37" s="83" t="str">
        <f t="shared" si="19"/>
        <v>#DIV/0!</v>
      </c>
    </row>
    <row r="38" ht="26.25" customHeight="1">
      <c r="A38" s="72"/>
      <c r="B38" s="73" t="s">
        <v>709</v>
      </c>
      <c r="C38" s="74" t="s">
        <v>684</v>
      </c>
      <c r="D38" s="75">
        <v>3071.0</v>
      </c>
      <c r="E38" s="75" t="s">
        <v>742</v>
      </c>
      <c r="F38" s="76"/>
      <c r="G38" s="77" t="s">
        <v>658</v>
      </c>
      <c r="H38" s="77">
        <v>3071.0</v>
      </c>
      <c r="I38" s="77">
        <v>1.0</v>
      </c>
      <c r="J38" s="78"/>
      <c r="K38" s="79" t="str">
        <f t="shared" si="1"/>
        <v>#DIV/0!</v>
      </c>
      <c r="L38" s="80" t="s">
        <v>658</v>
      </c>
      <c r="M38" s="81">
        <v>5.0</v>
      </c>
      <c r="N38" s="81" t="s">
        <v>689</v>
      </c>
      <c r="O38" s="82">
        <v>90.023753</v>
      </c>
      <c r="P38" s="82">
        <v>83.847981</v>
      </c>
      <c r="Q38" s="82">
        <f t="shared" si="9"/>
        <v>6.175772</v>
      </c>
      <c r="R38" s="78">
        <f t="shared" si="16"/>
        <v>13.11889648</v>
      </c>
      <c r="S38" s="83">
        <f t="shared" si="17"/>
        <v>235.3251791</v>
      </c>
      <c r="T38" s="84" t="s">
        <v>660</v>
      </c>
      <c r="U38" s="83">
        <f>3071/2356</f>
        <v>1.303480475</v>
      </c>
      <c r="V38" s="83" t="str">
        <f t="shared" si="18"/>
        <v>#DIV/0!</v>
      </c>
      <c r="W38" s="83" t="str">
        <f t="shared" si="19"/>
        <v>#DIV/0!</v>
      </c>
    </row>
    <row r="39" ht="26.25" customHeight="1">
      <c r="A39" s="72"/>
      <c r="B39" s="73" t="s">
        <v>709</v>
      </c>
      <c r="C39" s="87" t="s">
        <v>743</v>
      </c>
      <c r="D39" s="75">
        <v>4076.0</v>
      </c>
      <c r="E39" s="76" t="s">
        <v>744</v>
      </c>
      <c r="F39" s="76" t="s">
        <v>745</v>
      </c>
      <c r="G39" s="77" t="s">
        <v>658</v>
      </c>
      <c r="H39" s="77">
        <f>188*3+2997+4076</f>
        <v>7637</v>
      </c>
      <c r="I39" s="77">
        <v>2.0</v>
      </c>
      <c r="J39" s="78"/>
      <c r="K39" s="79" t="str">
        <f t="shared" si="1"/>
        <v>#DIV/0!</v>
      </c>
      <c r="L39" s="80" t="s">
        <v>658</v>
      </c>
      <c r="M39" s="81">
        <v>2.0</v>
      </c>
      <c r="N39" s="81" t="s">
        <v>689</v>
      </c>
      <c r="O39" s="82">
        <v>90.023753</v>
      </c>
      <c r="P39" s="82">
        <v>86.935867</v>
      </c>
      <c r="Q39" s="82">
        <f t="shared" si="9"/>
        <v>3.087886</v>
      </c>
      <c r="R39" s="78">
        <f t="shared" si="16"/>
        <v>13.11889648</v>
      </c>
      <c r="S39" s="83">
        <f t="shared" si="17"/>
        <v>294.1564739</v>
      </c>
      <c r="T39" s="84" t="s">
        <v>660</v>
      </c>
      <c r="U39" s="83">
        <f t="shared" ref="U39:U40" si="20">5616/3374</f>
        <v>1.664493183</v>
      </c>
      <c r="V39" s="83" t="str">
        <f t="shared" si="18"/>
        <v>#DIV/0!</v>
      </c>
      <c r="W39" s="83" t="str">
        <f t="shared" si="19"/>
        <v>#DIV/0!</v>
      </c>
    </row>
    <row r="40" ht="26.25" customHeight="1">
      <c r="A40" s="72"/>
      <c r="B40" s="73" t="s">
        <v>709</v>
      </c>
      <c r="C40" s="87" t="s">
        <v>743</v>
      </c>
      <c r="D40" s="75">
        <v>4076.0</v>
      </c>
      <c r="E40" s="75" t="s">
        <v>746</v>
      </c>
      <c r="F40" s="76" t="s">
        <v>747</v>
      </c>
      <c r="G40" s="77" t="s">
        <v>658</v>
      </c>
      <c r="H40" s="77">
        <f>341*3+5616+4076</f>
        <v>10715</v>
      </c>
      <c r="I40" s="77">
        <v>2.0</v>
      </c>
      <c r="J40" s="78"/>
      <c r="K40" s="79" t="str">
        <f t="shared" si="1"/>
        <v>#DIV/0!</v>
      </c>
      <c r="L40" s="80" t="s">
        <v>658</v>
      </c>
      <c r="M40" s="81">
        <v>2.0</v>
      </c>
      <c r="N40" s="81" t="s">
        <v>689</v>
      </c>
      <c r="O40" s="82">
        <v>69.35867</v>
      </c>
      <c r="P40" s="82">
        <v>64.964371</v>
      </c>
      <c r="Q40" s="82">
        <f t="shared" si="9"/>
        <v>4.394299</v>
      </c>
      <c r="R40" s="78">
        <f t="shared" si="16"/>
        <v>13.11889648</v>
      </c>
      <c r="S40" s="83">
        <f t="shared" si="17"/>
        <v>418.6072605</v>
      </c>
      <c r="T40" s="84" t="s">
        <v>660</v>
      </c>
      <c r="U40" s="83">
        <f t="shared" si="20"/>
        <v>1.664493183</v>
      </c>
      <c r="V40" s="83" t="str">
        <f t="shared" si="18"/>
        <v>#DIV/0!</v>
      </c>
      <c r="W40" s="83" t="str">
        <f t="shared" si="19"/>
        <v>#DIV/0!</v>
      </c>
    </row>
    <row r="41" ht="26.25" customHeight="1">
      <c r="A41" s="72"/>
      <c r="B41" s="73" t="s">
        <v>709</v>
      </c>
      <c r="C41" s="87" t="s">
        <v>748</v>
      </c>
      <c r="D41" s="75">
        <v>1044.0</v>
      </c>
      <c r="E41" s="75" t="s">
        <v>749</v>
      </c>
      <c r="F41" s="76"/>
      <c r="G41" s="77" t="s">
        <v>658</v>
      </c>
      <c r="H41" s="77">
        <f>1044*3</f>
        <v>3132</v>
      </c>
      <c r="I41" s="77">
        <v>1.0</v>
      </c>
      <c r="J41" s="78"/>
      <c r="K41" s="79" t="str">
        <f t="shared" si="1"/>
        <v>#DIV/0!</v>
      </c>
      <c r="L41" s="80" t="s">
        <v>658</v>
      </c>
      <c r="M41" s="81">
        <v>5.0</v>
      </c>
      <c r="N41" s="81" t="s">
        <v>689</v>
      </c>
      <c r="O41" s="82">
        <v>90.023753</v>
      </c>
      <c r="P41" s="82">
        <v>83.729216</v>
      </c>
      <c r="Q41" s="82">
        <f t="shared" si="9"/>
        <v>6.294537</v>
      </c>
      <c r="R41" s="78">
        <f t="shared" si="16"/>
        <v>13.11889648</v>
      </c>
      <c r="S41" s="83">
        <f t="shared" si="17"/>
        <v>239.8506692</v>
      </c>
      <c r="T41" s="84" t="s">
        <v>660</v>
      </c>
      <c r="U41" s="83">
        <f>1044/801</f>
        <v>1.303370787</v>
      </c>
      <c r="V41" s="83" t="str">
        <f t="shared" si="18"/>
        <v>#DIV/0!</v>
      </c>
      <c r="W41" s="83" t="str">
        <f t="shared" si="19"/>
        <v>#DIV/0!</v>
      </c>
    </row>
    <row r="42" ht="26.25" customHeight="1">
      <c r="A42" s="72"/>
      <c r="B42" s="73" t="s">
        <v>709</v>
      </c>
      <c r="C42" s="87" t="s">
        <v>750</v>
      </c>
      <c r="D42" s="75">
        <v>2997.0</v>
      </c>
      <c r="E42" s="75" t="s">
        <v>741</v>
      </c>
      <c r="F42" s="76"/>
      <c r="G42" s="77" t="s">
        <v>658</v>
      </c>
      <c r="H42" s="77">
        <v>2997.0</v>
      </c>
      <c r="I42" s="77">
        <v>1.0</v>
      </c>
      <c r="J42" s="78"/>
      <c r="K42" s="79" t="str">
        <f t="shared" si="1"/>
        <v>#DIV/0!</v>
      </c>
      <c r="L42" s="80" t="s">
        <v>658</v>
      </c>
      <c r="M42" s="81">
        <v>6.0</v>
      </c>
      <c r="N42" s="81" t="s">
        <v>689</v>
      </c>
      <c r="O42" s="82">
        <v>90.023753</v>
      </c>
      <c r="P42" s="82">
        <v>82.779097</v>
      </c>
      <c r="Q42" s="82">
        <f t="shared" si="9"/>
        <v>7.244656</v>
      </c>
      <c r="R42" s="78">
        <f t="shared" si="16"/>
        <v>13.11889648</v>
      </c>
      <c r="S42" s="83">
        <f t="shared" si="17"/>
        <v>230.0454598</v>
      </c>
      <c r="T42" s="84" t="s">
        <v>660</v>
      </c>
      <c r="U42" s="83">
        <f>2997/1876</f>
        <v>1.597547974</v>
      </c>
      <c r="V42" s="83" t="str">
        <f t="shared" si="18"/>
        <v>#DIV/0!</v>
      </c>
      <c r="W42" s="83" t="str">
        <f t="shared" si="19"/>
        <v>#DIV/0!</v>
      </c>
    </row>
    <row r="43" ht="26.25" customHeight="1">
      <c r="A43" s="72"/>
      <c r="B43" s="73" t="s">
        <v>709</v>
      </c>
      <c r="C43" s="87" t="s">
        <v>751</v>
      </c>
      <c r="D43" s="75">
        <v>2688.0</v>
      </c>
      <c r="E43" s="75" t="s">
        <v>752</v>
      </c>
      <c r="F43" s="76"/>
      <c r="G43" s="77" t="s">
        <v>658</v>
      </c>
      <c r="H43" s="77">
        <f>2688+2413*2</f>
        <v>7514</v>
      </c>
      <c r="I43" s="77">
        <v>1.0</v>
      </c>
      <c r="J43" s="78"/>
      <c r="K43" s="79" t="str">
        <f t="shared" si="1"/>
        <v>#DIV/0!</v>
      </c>
      <c r="L43" s="80" t="s">
        <v>658</v>
      </c>
      <c r="M43" s="81">
        <v>1.0</v>
      </c>
      <c r="N43" s="81" t="s">
        <v>689</v>
      </c>
      <c r="O43" s="82">
        <v>90.023753</v>
      </c>
      <c r="P43" s="82">
        <v>87.054632</v>
      </c>
      <c r="Q43" s="82">
        <f t="shared" si="9"/>
        <v>2.969121</v>
      </c>
      <c r="R43" s="78">
        <f t="shared" si="16"/>
        <v>13.11889648</v>
      </c>
      <c r="S43" s="83">
        <f t="shared" si="17"/>
        <v>565.6854974</v>
      </c>
      <c r="T43" s="84" t="s">
        <v>660</v>
      </c>
      <c r="U43" s="83">
        <f>2688/1498</f>
        <v>1.794392523</v>
      </c>
      <c r="V43" s="83" t="str">
        <f t="shared" si="18"/>
        <v>#DIV/0!</v>
      </c>
      <c r="W43" s="83" t="str">
        <f t="shared" si="19"/>
        <v>#DIV/0!</v>
      </c>
    </row>
    <row r="44" ht="26.25" customHeight="1">
      <c r="A44" s="72"/>
      <c r="B44" s="73" t="s">
        <v>709</v>
      </c>
      <c r="C44" s="87" t="s">
        <v>753</v>
      </c>
      <c r="D44" s="75">
        <v>3376.0</v>
      </c>
      <c r="E44" s="75" t="s">
        <v>754</v>
      </c>
      <c r="F44" s="76"/>
      <c r="G44" s="77" t="s">
        <v>658</v>
      </c>
      <c r="H44" s="77">
        <v>3376.0</v>
      </c>
      <c r="I44" s="77">
        <v>1.0</v>
      </c>
      <c r="J44" s="78"/>
      <c r="K44" s="79" t="str">
        <f t="shared" si="1"/>
        <v>#DIV/0!</v>
      </c>
      <c r="L44" s="80" t="s">
        <v>658</v>
      </c>
      <c r="M44" s="81">
        <v>4.0</v>
      </c>
      <c r="N44" s="81" t="s">
        <v>689</v>
      </c>
      <c r="O44" s="82">
        <v>90.023753</v>
      </c>
      <c r="P44" s="82">
        <v>84.56057</v>
      </c>
      <c r="Q44" s="82">
        <f t="shared" si="9"/>
        <v>5.463183</v>
      </c>
      <c r="R44" s="78">
        <f t="shared" si="16"/>
        <v>13.11889648</v>
      </c>
      <c r="S44" s="83">
        <f t="shared" si="17"/>
        <v>260.215346</v>
      </c>
      <c r="T44" s="84" t="s">
        <v>660</v>
      </c>
      <c r="U44" s="83">
        <f>3376/2589</f>
        <v>1.30397837</v>
      </c>
      <c r="V44" s="83" t="str">
        <f t="shared" si="18"/>
        <v>#DIV/0!</v>
      </c>
      <c r="W44" s="83" t="str">
        <f t="shared" si="19"/>
        <v>#DIV/0!</v>
      </c>
    </row>
    <row r="45" ht="26.25" customHeight="1">
      <c r="A45" s="72"/>
      <c r="B45" s="73" t="s">
        <v>755</v>
      </c>
      <c r="C45" s="87" t="s">
        <v>656</v>
      </c>
      <c r="D45" s="75">
        <v>1679.0</v>
      </c>
      <c r="E45" s="75"/>
      <c r="F45" s="76" t="s">
        <v>756</v>
      </c>
      <c r="G45" s="77" t="s">
        <v>658</v>
      </c>
      <c r="H45" s="77">
        <f>7*1679</f>
        <v>11753</v>
      </c>
      <c r="I45" s="77">
        <v>1.0</v>
      </c>
      <c r="J45" s="78"/>
      <c r="K45" s="79" t="str">
        <f t="shared" si="1"/>
        <v>#DIV/0!</v>
      </c>
      <c r="L45" s="80" t="s">
        <v>658</v>
      </c>
      <c r="M45" s="81">
        <v>5.0</v>
      </c>
      <c r="N45" s="81" t="s">
        <v>659</v>
      </c>
      <c r="O45" s="82">
        <v>90.023753</v>
      </c>
      <c r="P45" s="82">
        <v>66.508314</v>
      </c>
      <c r="Q45" s="82">
        <f t="shared" si="9"/>
        <v>23.515439</v>
      </c>
      <c r="R45" s="78">
        <f t="shared" si="16"/>
        <v>13.11889648</v>
      </c>
      <c r="S45" s="83">
        <f t="shared" si="17"/>
        <v>896.0458538</v>
      </c>
      <c r="T45" s="84" t="s">
        <v>757</v>
      </c>
      <c r="U45" s="79">
        <v>1.0</v>
      </c>
      <c r="V45" s="83" t="str">
        <f t="shared" si="18"/>
        <v>#DIV/0!</v>
      </c>
      <c r="W45" s="83" t="str">
        <f t="shared" si="19"/>
        <v>#DIV/0!</v>
      </c>
    </row>
    <row r="46" ht="26.25" customHeight="1">
      <c r="A46" s="72"/>
      <c r="B46" s="73" t="s">
        <v>755</v>
      </c>
      <c r="C46" s="74" t="s">
        <v>758</v>
      </c>
      <c r="D46" s="75">
        <v>1045.0</v>
      </c>
      <c r="E46" s="76"/>
      <c r="F46" s="76" t="s">
        <v>756</v>
      </c>
      <c r="G46" s="77" t="s">
        <v>658</v>
      </c>
      <c r="H46" s="77">
        <f>12*1045</f>
        <v>12540</v>
      </c>
      <c r="I46" s="77">
        <v>1.0</v>
      </c>
      <c r="J46" s="78"/>
      <c r="K46" s="79" t="str">
        <f t="shared" si="1"/>
        <v>#DIV/0!</v>
      </c>
      <c r="L46" s="80" t="s">
        <v>658</v>
      </c>
      <c r="M46" s="81">
        <v>3.0</v>
      </c>
      <c r="N46" s="81" t="s">
        <v>659</v>
      </c>
      <c r="O46" s="82">
        <v>90.023753</v>
      </c>
      <c r="P46" s="82">
        <v>74.940618</v>
      </c>
      <c r="Q46" s="82">
        <f t="shared" si="9"/>
        <v>15.083135</v>
      </c>
      <c r="R46" s="78">
        <f t="shared" si="16"/>
        <v>13.11889648</v>
      </c>
      <c r="S46" s="83">
        <f t="shared" si="17"/>
        <v>957.8941293</v>
      </c>
      <c r="T46" s="84" t="s">
        <v>757</v>
      </c>
      <c r="U46" s="79">
        <v>1.0</v>
      </c>
      <c r="V46" s="83" t="str">
        <f t="shared" si="18"/>
        <v>#DIV/0!</v>
      </c>
      <c r="W46" s="83" t="str">
        <f t="shared" si="19"/>
        <v>#DIV/0!</v>
      </c>
    </row>
    <row r="47" ht="26.25" customHeight="1">
      <c r="A47" s="73"/>
      <c r="B47" s="73" t="s">
        <v>755</v>
      </c>
      <c r="C47" s="87" t="s">
        <v>440</v>
      </c>
      <c r="D47" s="75">
        <v>6561.0</v>
      </c>
      <c r="E47" s="75" t="s">
        <v>759</v>
      </c>
      <c r="F47" s="88"/>
      <c r="G47" s="77" t="s">
        <v>658</v>
      </c>
      <c r="H47" s="77">
        <f>6561*3</f>
        <v>19683</v>
      </c>
      <c r="I47" s="77">
        <v>1.0</v>
      </c>
      <c r="J47" s="78"/>
      <c r="K47" s="79" t="str">
        <f t="shared" si="1"/>
        <v>#DIV/0!</v>
      </c>
      <c r="L47" s="80" t="s">
        <v>658</v>
      </c>
      <c r="M47" s="81">
        <v>2.0</v>
      </c>
      <c r="N47" s="81" t="s">
        <v>659</v>
      </c>
      <c r="O47" s="82">
        <v>90.023753</v>
      </c>
      <c r="P47" s="82">
        <v>74.228029</v>
      </c>
      <c r="Q47" s="82">
        <f t="shared" si="9"/>
        <v>15.795724</v>
      </c>
      <c r="R47" s="78">
        <f t="shared" si="16"/>
        <v>13.11889648</v>
      </c>
      <c r="S47" s="83">
        <f t="shared" si="17"/>
        <v>1504.72345</v>
      </c>
      <c r="T47" s="84" t="s">
        <v>739</v>
      </c>
      <c r="U47" s="79">
        <v>1.0</v>
      </c>
      <c r="V47" s="83" t="str">
        <f t="shared" si="18"/>
        <v>#DIV/0!</v>
      </c>
      <c r="W47" s="83" t="str">
        <f t="shared" si="19"/>
        <v>#DIV/0!</v>
      </c>
    </row>
    <row r="48" ht="26.25" customHeight="1">
      <c r="A48" s="73"/>
      <c r="B48" s="73" t="s">
        <v>755</v>
      </c>
      <c r="C48" s="87" t="s">
        <v>760</v>
      </c>
      <c r="D48" s="75">
        <v>742.0</v>
      </c>
      <c r="E48" s="76"/>
      <c r="F48" s="76" t="s">
        <v>762</v>
      </c>
      <c r="G48" s="77" t="s">
        <v>658</v>
      </c>
      <c r="H48" s="77">
        <f>742*16</f>
        <v>11872</v>
      </c>
      <c r="I48" s="77">
        <v>1.0</v>
      </c>
      <c r="J48" s="78"/>
      <c r="K48" s="79" t="str">
        <f t="shared" si="1"/>
        <v>#DIV/0!</v>
      </c>
      <c r="L48" s="89" t="s">
        <v>303</v>
      </c>
      <c r="M48" s="85" t="s">
        <v>303</v>
      </c>
      <c r="N48" s="85" t="s">
        <v>303</v>
      </c>
      <c r="O48" s="82" t="s">
        <v>303</v>
      </c>
      <c r="P48" s="82" t="s">
        <v>303</v>
      </c>
      <c r="Q48" s="82" t="s">
        <v>303</v>
      </c>
      <c r="R48" s="78" t="s">
        <v>303</v>
      </c>
      <c r="S48" s="83" t="s">
        <v>1247</v>
      </c>
      <c r="T48" s="84" t="s">
        <v>739</v>
      </c>
      <c r="U48" s="79">
        <v>1.0</v>
      </c>
      <c r="V48" s="83">
        <f>53254/108576</f>
        <v>0.4904767168</v>
      </c>
      <c r="W48" s="83">
        <f>(53254-108576)/(1500000/845)</f>
        <v>-31.16472667</v>
      </c>
    </row>
    <row r="49" ht="26.25" customHeight="1">
      <c r="A49" s="73"/>
      <c r="B49" s="73" t="s">
        <v>755</v>
      </c>
      <c r="C49" s="87" t="s">
        <v>760</v>
      </c>
      <c r="D49" s="75">
        <v>619.0</v>
      </c>
      <c r="E49" s="76"/>
      <c r="F49" s="75" t="s">
        <v>761</v>
      </c>
      <c r="G49" s="77" t="s">
        <v>658</v>
      </c>
      <c r="H49" s="77">
        <f>16*619</f>
        <v>9904</v>
      </c>
      <c r="I49" s="77">
        <v>1.0</v>
      </c>
      <c r="J49" s="78"/>
      <c r="K49" s="79" t="str">
        <f t="shared" si="1"/>
        <v>#DIV/0!</v>
      </c>
      <c r="L49" s="80" t="s">
        <v>658</v>
      </c>
      <c r="M49" s="81">
        <v>3.0</v>
      </c>
      <c r="N49" s="81" t="s">
        <v>659</v>
      </c>
      <c r="O49" s="82">
        <v>90.023753</v>
      </c>
      <c r="P49" s="82">
        <v>84.085511</v>
      </c>
      <c r="Q49" s="82">
        <f t="shared" ref="Q49:Q53" si="21">O49-P49</f>
        <v>5.938242</v>
      </c>
      <c r="R49" s="78">
        <f t="shared" ref="R49:R53" si="22">IFS(L49="S",21494/2048*1.25)</f>
        <v>13.11889648</v>
      </c>
      <c r="S49" s="83" t="s">
        <v>1247</v>
      </c>
      <c r="T49" s="84" t="s">
        <v>739</v>
      </c>
      <c r="U49" s="79">
        <v>1.0</v>
      </c>
      <c r="V49" s="83" t="str">
        <f t="shared" ref="V49:V53" si="23">S49/K49</f>
        <v>#DIV/0!</v>
      </c>
      <c r="W49" s="83" t="str">
        <f t="shared" ref="W49:W53" si="24">(S49-K49)*M49*#REF!*#REF!*J49/(249945/845)</f>
        <v>#DIV/0!</v>
      </c>
    </row>
    <row r="50" ht="26.25" customHeight="1">
      <c r="A50" s="72"/>
      <c r="B50" s="73" t="s">
        <v>755</v>
      </c>
      <c r="C50" s="87" t="s">
        <v>676</v>
      </c>
      <c r="D50" s="75">
        <v>3083.0</v>
      </c>
      <c r="E50" s="75"/>
      <c r="F50" s="76" t="s">
        <v>756</v>
      </c>
      <c r="G50" s="77" t="s">
        <v>658</v>
      </c>
      <c r="H50" s="77">
        <f>3083*5</f>
        <v>15415</v>
      </c>
      <c r="I50" s="77">
        <v>1.0</v>
      </c>
      <c r="J50" s="78"/>
      <c r="K50" s="79" t="str">
        <f t="shared" si="1"/>
        <v>#DIV/0!</v>
      </c>
      <c r="L50" s="80" t="s">
        <v>658</v>
      </c>
      <c r="M50" s="81">
        <v>4.0</v>
      </c>
      <c r="N50" s="81" t="s">
        <v>659</v>
      </c>
      <c r="O50" s="82">
        <v>90.023753</v>
      </c>
      <c r="P50" s="82">
        <v>65.320665</v>
      </c>
      <c r="Q50" s="82">
        <f t="shared" si="21"/>
        <v>24.703088</v>
      </c>
      <c r="R50" s="78">
        <f t="shared" si="22"/>
        <v>13.11889648</v>
      </c>
      <c r="S50" s="83">
        <f t="shared" ref="S50:S53" si="25">IFS(N50="B",Q50/M50/100*249945/R50
*U50,N50="C",Q50/M50/100*249945/R50
)</f>
        <v>1176.625896</v>
      </c>
      <c r="T50" s="84" t="s">
        <v>757</v>
      </c>
      <c r="U50" s="79">
        <v>1.0</v>
      </c>
      <c r="V50" s="83" t="str">
        <f t="shared" si="23"/>
        <v>#DIV/0!</v>
      </c>
      <c r="W50" s="83" t="str">
        <f t="shared" si="24"/>
        <v>#DIV/0!</v>
      </c>
    </row>
    <row r="51" ht="26.25" customHeight="1">
      <c r="A51" s="72"/>
      <c r="B51" s="73" t="s">
        <v>755</v>
      </c>
      <c r="C51" s="87" t="s">
        <v>763</v>
      </c>
      <c r="D51" s="75">
        <v>8737.0</v>
      </c>
      <c r="E51" s="75" t="s">
        <v>764</v>
      </c>
      <c r="F51" s="76" t="s">
        <v>765</v>
      </c>
      <c r="G51" s="77" t="s">
        <v>658</v>
      </c>
      <c r="H51" s="77">
        <f>(8737*5+2474*5+421*16)/5</f>
        <v>12558.2</v>
      </c>
      <c r="I51" s="77">
        <v>1.0</v>
      </c>
      <c r="J51" s="78"/>
      <c r="K51" s="79" t="str">
        <f t="shared" si="1"/>
        <v>#DIV/0!</v>
      </c>
      <c r="L51" s="80" t="s">
        <v>658</v>
      </c>
      <c r="M51" s="81">
        <v>5.0</v>
      </c>
      <c r="N51" s="81" t="s">
        <v>659</v>
      </c>
      <c r="O51" s="82">
        <v>90.023753</v>
      </c>
      <c r="P51" s="82">
        <v>64.845606</v>
      </c>
      <c r="Q51" s="82">
        <f t="shared" si="21"/>
        <v>25.178147</v>
      </c>
      <c r="R51" s="78">
        <f t="shared" si="22"/>
        <v>13.11889648</v>
      </c>
      <c r="S51" s="83">
        <f t="shared" si="25"/>
        <v>959.4026387</v>
      </c>
      <c r="T51" s="84" t="s">
        <v>739</v>
      </c>
      <c r="U51" s="79">
        <v>1.0</v>
      </c>
      <c r="V51" s="83" t="str">
        <f t="shared" si="23"/>
        <v>#DIV/0!</v>
      </c>
      <c r="W51" s="83" t="str">
        <f t="shared" si="24"/>
        <v>#DIV/0!</v>
      </c>
    </row>
    <row r="52" ht="26.25" customHeight="1">
      <c r="A52" s="72"/>
      <c r="B52" s="73" t="s">
        <v>755</v>
      </c>
      <c r="C52" s="87" t="s">
        <v>482</v>
      </c>
      <c r="D52" s="75">
        <v>2679.0</v>
      </c>
      <c r="E52" s="76"/>
      <c r="F52" s="76" t="s">
        <v>768</v>
      </c>
      <c r="G52" s="77" t="s">
        <v>658</v>
      </c>
      <c r="H52" s="77">
        <f>2679*8*5</f>
        <v>107160</v>
      </c>
      <c r="I52" s="77">
        <v>1.0</v>
      </c>
      <c r="J52" s="78"/>
      <c r="K52" s="79" t="str">
        <f t="shared" si="1"/>
        <v>#DIV/0!</v>
      </c>
      <c r="L52" s="80" t="s">
        <v>658</v>
      </c>
      <c r="M52" s="81">
        <v>1.0</v>
      </c>
      <c r="N52" s="81" t="s">
        <v>659</v>
      </c>
      <c r="O52" s="82">
        <v>72.921615</v>
      </c>
      <c r="P52" s="82">
        <v>30.047506</v>
      </c>
      <c r="Q52" s="82">
        <f t="shared" si="21"/>
        <v>42.874109</v>
      </c>
      <c r="R52" s="78">
        <f t="shared" si="22"/>
        <v>13.11889648</v>
      </c>
      <c r="S52" s="83">
        <f t="shared" si="25"/>
        <v>8168.498918</v>
      </c>
      <c r="T52" s="84" t="s">
        <v>739</v>
      </c>
      <c r="U52" s="79">
        <v>1.0</v>
      </c>
      <c r="V52" s="83" t="str">
        <f t="shared" si="23"/>
        <v>#DIV/0!</v>
      </c>
      <c r="W52" s="83" t="str">
        <f t="shared" si="24"/>
        <v>#DIV/0!</v>
      </c>
    </row>
    <row r="53" ht="26.25" customHeight="1">
      <c r="A53" s="72"/>
      <c r="B53" s="73" t="s">
        <v>755</v>
      </c>
      <c r="C53" s="87" t="s">
        <v>482</v>
      </c>
      <c r="D53" s="75">
        <v>2975.0</v>
      </c>
      <c r="E53" s="75" t="s">
        <v>766</v>
      </c>
      <c r="F53" s="76" t="s">
        <v>767</v>
      </c>
      <c r="G53" s="77" t="s">
        <v>658</v>
      </c>
      <c r="H53" s="77">
        <f>2975+2955+2936+2916+2896+2877+2857+2837+2817+2798+2778+2758+2738+2719+2699+2679*25</f>
        <v>109531</v>
      </c>
      <c r="I53" s="77">
        <v>1.0</v>
      </c>
      <c r="J53" s="78"/>
      <c r="K53" s="79" t="str">
        <f t="shared" si="1"/>
        <v>#DIV/0!</v>
      </c>
      <c r="L53" s="80" t="s">
        <v>658</v>
      </c>
      <c r="M53" s="81">
        <v>1.0</v>
      </c>
      <c r="N53" s="81" t="s">
        <v>659</v>
      </c>
      <c r="O53" s="82">
        <v>90.023753</v>
      </c>
      <c r="P53" s="82">
        <v>46.199525</v>
      </c>
      <c r="Q53" s="82">
        <f t="shared" si="21"/>
        <v>43.824228</v>
      </c>
      <c r="R53" s="78">
        <f t="shared" si="22"/>
        <v>13.11889648</v>
      </c>
      <c r="S53" s="83">
        <f t="shared" si="25"/>
        <v>8349.518331</v>
      </c>
      <c r="T53" s="84" t="s">
        <v>739</v>
      </c>
      <c r="U53" s="79">
        <v>1.0</v>
      </c>
      <c r="V53" s="83" t="str">
        <f t="shared" si="23"/>
        <v>#DIV/0!</v>
      </c>
      <c r="W53" s="83" t="str">
        <f t="shared" si="24"/>
        <v>#DIV/0!</v>
      </c>
    </row>
    <row r="54" ht="26.25" customHeight="1">
      <c r="A54" s="72"/>
      <c r="B54" s="73" t="s">
        <v>755</v>
      </c>
      <c r="C54" s="87" t="s">
        <v>579</v>
      </c>
      <c r="D54" s="75">
        <v>12230.0</v>
      </c>
      <c r="E54" s="75" t="s">
        <v>769</v>
      </c>
      <c r="F54" s="76" t="s">
        <v>770</v>
      </c>
      <c r="G54" s="77" t="s">
        <v>658</v>
      </c>
      <c r="H54" s="77">
        <f>10*214+9*2775+12230/2+344</f>
        <v>33574</v>
      </c>
      <c r="I54" s="77">
        <v>1.0</v>
      </c>
      <c r="J54" s="78"/>
      <c r="K54" s="79" t="str">
        <f t="shared" si="1"/>
        <v>#DIV/0!</v>
      </c>
      <c r="L54" s="89" t="s">
        <v>303</v>
      </c>
      <c r="M54" s="85" t="s">
        <v>303</v>
      </c>
      <c r="N54" s="85" t="s">
        <v>303</v>
      </c>
      <c r="O54" s="82" t="s">
        <v>303</v>
      </c>
      <c r="P54" s="82" t="s">
        <v>303</v>
      </c>
      <c r="Q54" s="82" t="s">
        <v>303</v>
      </c>
      <c r="R54" s="78" t="s">
        <v>303</v>
      </c>
      <c r="S54" s="83" t="s">
        <v>1247</v>
      </c>
      <c r="T54" s="84" t="s">
        <v>739</v>
      </c>
      <c r="U54" s="79">
        <v>1.0</v>
      </c>
      <c r="V54" s="83">
        <f>92308/81048</f>
        <v>1.138930017</v>
      </c>
      <c r="W54" s="83">
        <f>(92308-81048)/(1500000/845)</f>
        <v>6.343133333</v>
      </c>
    </row>
    <row r="55" ht="26.25" customHeight="1">
      <c r="A55" s="72"/>
      <c r="B55" s="73" t="s">
        <v>755</v>
      </c>
      <c r="C55" s="87" t="s">
        <v>579</v>
      </c>
      <c r="D55" s="75">
        <v>12230.0</v>
      </c>
      <c r="E55" s="75" t="s">
        <v>771</v>
      </c>
      <c r="F55" s="76" t="s">
        <v>772</v>
      </c>
      <c r="G55" s="77" t="s">
        <v>658</v>
      </c>
      <c r="H55" s="77">
        <f>10*214+9*2775+12230</f>
        <v>39345</v>
      </c>
      <c r="I55" s="77">
        <v>1.0</v>
      </c>
      <c r="J55" s="78"/>
      <c r="K55" s="79" t="str">
        <f t="shared" si="1"/>
        <v>#DIV/0!</v>
      </c>
      <c r="L55" s="89" t="s">
        <v>303</v>
      </c>
      <c r="M55" s="85" t="s">
        <v>303</v>
      </c>
      <c r="N55" s="85" t="s">
        <v>303</v>
      </c>
      <c r="O55" s="82" t="s">
        <v>303</v>
      </c>
      <c r="P55" s="82" t="s">
        <v>303</v>
      </c>
      <c r="Q55" s="82" t="s">
        <v>303</v>
      </c>
      <c r="R55" s="78" t="s">
        <v>303</v>
      </c>
      <c r="S55" s="83" t="s">
        <v>1247</v>
      </c>
      <c r="T55" s="84" t="s">
        <v>739</v>
      </c>
      <c r="U55" s="79">
        <v>1.0</v>
      </c>
      <c r="V55" s="83">
        <f>122485/105753</f>
        <v>1.158217734</v>
      </c>
      <c r="W55" s="83">
        <f>(122485-105753)/(1500000/845)</f>
        <v>9.425693333</v>
      </c>
    </row>
    <row r="56" ht="26.25" customHeight="1">
      <c r="A56" s="73"/>
      <c r="B56" s="73" t="s">
        <v>755</v>
      </c>
      <c r="C56" s="87" t="s">
        <v>684</v>
      </c>
      <c r="D56" s="75">
        <v>1741.0</v>
      </c>
      <c r="E56" s="75"/>
      <c r="F56" s="76" t="s">
        <v>756</v>
      </c>
      <c r="G56" s="77" t="s">
        <v>658</v>
      </c>
      <c r="H56" s="77">
        <f>1741*7</f>
        <v>12187</v>
      </c>
      <c r="I56" s="77">
        <v>1.0</v>
      </c>
      <c r="J56" s="78"/>
      <c r="K56" s="79" t="str">
        <f t="shared" si="1"/>
        <v>#DIV/0!</v>
      </c>
      <c r="L56" s="80" t="s">
        <v>658</v>
      </c>
      <c r="M56" s="81">
        <v>5.0</v>
      </c>
      <c r="N56" s="81" t="s">
        <v>659</v>
      </c>
      <c r="O56" s="82">
        <v>90.023753</v>
      </c>
      <c r="P56" s="82">
        <v>65.558195</v>
      </c>
      <c r="Q56" s="82">
        <f t="shared" ref="Q56:Q77" si="26">O56-P56</f>
        <v>24.465558</v>
      </c>
      <c r="R56" s="78">
        <f t="shared" ref="R56:R58" si="27">IFS(L56="S",21494/2048*1.25)</f>
        <v>13.11889648</v>
      </c>
      <c r="S56" s="83">
        <f t="shared" ref="S56:S94" si="28">IFS(N56="B",Q56/M56/100*249945/R56
*U56,N56="C",Q56/M56/100*249945/R56
)</f>
        <v>932.2497363</v>
      </c>
      <c r="T56" s="84" t="s">
        <v>757</v>
      </c>
      <c r="U56" s="79">
        <v>1.0</v>
      </c>
      <c r="V56" s="83" t="str">
        <f t="shared" ref="V56:V77" si="29">S56/K56</f>
        <v>#DIV/0!</v>
      </c>
      <c r="W56" s="83" t="str">
        <f t="shared" ref="W56:W77" si="30">(S56-K56)*M56*#REF!*#REF!*J56/(249945/845)</f>
        <v>#DIV/0!</v>
      </c>
    </row>
    <row r="57" ht="26.25" customHeight="1">
      <c r="A57" s="73"/>
      <c r="B57" s="73" t="s">
        <v>755</v>
      </c>
      <c r="C57" s="87" t="s">
        <v>692</v>
      </c>
      <c r="D57" s="75">
        <v>1188.0</v>
      </c>
      <c r="E57" s="75"/>
      <c r="F57" s="76" t="s">
        <v>756</v>
      </c>
      <c r="G57" s="77" t="s">
        <v>658</v>
      </c>
      <c r="H57" s="77">
        <f>1188*9</f>
        <v>10692</v>
      </c>
      <c r="I57" s="77">
        <v>1.0</v>
      </c>
      <c r="J57" s="78"/>
      <c r="K57" s="79" t="str">
        <f t="shared" si="1"/>
        <v>#DIV/0!</v>
      </c>
      <c r="L57" s="80" t="s">
        <v>658</v>
      </c>
      <c r="M57" s="81">
        <v>5.0</v>
      </c>
      <c r="N57" s="81" t="s">
        <v>659</v>
      </c>
      <c r="O57" s="82">
        <v>90.023753</v>
      </c>
      <c r="P57" s="82">
        <v>68.646081</v>
      </c>
      <c r="Q57" s="82">
        <f t="shared" si="26"/>
        <v>21.377672</v>
      </c>
      <c r="R57" s="78">
        <f t="shared" si="27"/>
        <v>13.11889648</v>
      </c>
      <c r="S57" s="83">
        <f t="shared" si="28"/>
        <v>814.5871468</v>
      </c>
      <c r="T57" s="84" t="s">
        <v>757</v>
      </c>
      <c r="U57" s="79">
        <v>1.0</v>
      </c>
      <c r="V57" s="83" t="str">
        <f t="shared" si="29"/>
        <v>#DIV/0!</v>
      </c>
      <c r="W57" s="83" t="str">
        <f t="shared" si="30"/>
        <v>#DIV/0!</v>
      </c>
    </row>
    <row r="58" ht="26.25" customHeight="1">
      <c r="A58" s="73"/>
      <c r="B58" s="73" t="s">
        <v>755</v>
      </c>
      <c r="C58" s="74" t="s">
        <v>773</v>
      </c>
      <c r="D58" s="75">
        <v>2172.0</v>
      </c>
      <c r="E58" s="75" t="s">
        <v>774</v>
      </c>
      <c r="F58" s="76"/>
      <c r="G58" s="77" t="s">
        <v>658</v>
      </c>
      <c r="H58" s="77">
        <f>2172*7+58*7</f>
        <v>15610</v>
      </c>
      <c r="I58" s="77">
        <v>1.0</v>
      </c>
      <c r="J58" s="78"/>
      <c r="K58" s="79" t="str">
        <f t="shared" si="1"/>
        <v>#DIV/0!</v>
      </c>
      <c r="L58" s="80" t="s">
        <v>658</v>
      </c>
      <c r="M58" s="81">
        <v>4.0</v>
      </c>
      <c r="N58" s="81" t="s">
        <v>659</v>
      </c>
      <c r="O58" s="82">
        <v>90.023753</v>
      </c>
      <c r="P58" s="82">
        <v>64.964371</v>
      </c>
      <c r="Q58" s="82">
        <f t="shared" si="26"/>
        <v>25.059382</v>
      </c>
      <c r="R58" s="78">
        <f t="shared" si="27"/>
        <v>13.11889648</v>
      </c>
      <c r="S58" s="83">
        <f t="shared" si="28"/>
        <v>1193.596436</v>
      </c>
      <c r="T58" s="84" t="s">
        <v>739</v>
      </c>
      <c r="U58" s="79">
        <v>1.0</v>
      </c>
      <c r="V58" s="83" t="str">
        <f t="shared" si="29"/>
        <v>#DIV/0!</v>
      </c>
      <c r="W58" s="83" t="str">
        <f t="shared" si="30"/>
        <v>#DIV/0!</v>
      </c>
    </row>
    <row r="59" ht="26.25" customHeight="1">
      <c r="A59" s="72"/>
      <c r="B59" s="73" t="s">
        <v>755</v>
      </c>
      <c r="C59" s="87" t="s">
        <v>775</v>
      </c>
      <c r="D59" s="90">
        <v>34365.0</v>
      </c>
      <c r="E59" s="90" t="s">
        <v>778</v>
      </c>
      <c r="F59" s="76" t="s">
        <v>779</v>
      </c>
      <c r="G59" s="77" t="s">
        <v>658</v>
      </c>
      <c r="H59" s="77">
        <f>34365+1855+1528</f>
        <v>37748</v>
      </c>
      <c r="I59" s="77">
        <v>1.0</v>
      </c>
      <c r="J59" s="78"/>
      <c r="K59" s="79" t="str">
        <f t="shared" si="1"/>
        <v>#DIV/0!</v>
      </c>
      <c r="L59" s="80" t="s">
        <v>658</v>
      </c>
      <c r="M59" s="81">
        <v>1.0</v>
      </c>
      <c r="N59" s="81" t="s">
        <v>659</v>
      </c>
      <c r="O59" s="82">
        <v>90.023753</v>
      </c>
      <c r="P59" s="82">
        <v>74.940618</v>
      </c>
      <c r="Q59" s="82">
        <f t="shared" si="26"/>
        <v>15.083135</v>
      </c>
      <c r="R59" s="78">
        <f>21494/2048</f>
        <v>10.49511719</v>
      </c>
      <c r="S59" s="83">
        <f t="shared" si="28"/>
        <v>3592.102985</v>
      </c>
      <c r="T59" s="84" t="s">
        <v>739</v>
      </c>
      <c r="U59" s="79">
        <v>1.0</v>
      </c>
      <c r="V59" s="83" t="str">
        <f t="shared" si="29"/>
        <v>#DIV/0!</v>
      </c>
      <c r="W59" s="83" t="str">
        <f t="shared" si="30"/>
        <v>#DIV/0!</v>
      </c>
    </row>
    <row r="60" ht="26.25" customHeight="1">
      <c r="A60" s="72"/>
      <c r="B60" s="73" t="s">
        <v>755</v>
      </c>
      <c r="C60" s="87" t="s">
        <v>775</v>
      </c>
      <c r="D60" s="75">
        <v>32718.0</v>
      </c>
      <c r="E60" s="75" t="s">
        <v>776</v>
      </c>
      <c r="F60" s="76" t="s">
        <v>777</v>
      </c>
      <c r="G60" s="77" t="s">
        <v>658</v>
      </c>
      <c r="H60" s="77">
        <f>32718+2026+1732</f>
        <v>36476</v>
      </c>
      <c r="I60" s="77">
        <v>1.0</v>
      </c>
      <c r="J60" s="78"/>
      <c r="K60" s="79" t="str">
        <f t="shared" si="1"/>
        <v>#DIV/0!</v>
      </c>
      <c r="L60" s="80" t="s">
        <v>658</v>
      </c>
      <c r="M60" s="81">
        <v>1.0</v>
      </c>
      <c r="N60" s="81" t="s">
        <v>659</v>
      </c>
      <c r="O60" s="82">
        <v>90.023753</v>
      </c>
      <c r="P60" s="82">
        <v>75.415677</v>
      </c>
      <c r="Q60" s="82">
        <f t="shared" si="26"/>
        <v>14.608076</v>
      </c>
      <c r="R60" s="78">
        <f t="shared" ref="R60:R77" si="31">IFS(L60="S",21494/2048*1.25)</f>
        <v>13.11889648</v>
      </c>
      <c r="S60" s="83">
        <f t="shared" si="28"/>
        <v>2783.172777</v>
      </c>
      <c r="T60" s="84" t="s">
        <v>739</v>
      </c>
      <c r="U60" s="79">
        <v>1.0</v>
      </c>
      <c r="V60" s="83" t="str">
        <f t="shared" si="29"/>
        <v>#DIV/0!</v>
      </c>
      <c r="W60" s="83" t="str">
        <f t="shared" si="30"/>
        <v>#DIV/0!</v>
      </c>
    </row>
    <row r="61" ht="26.25" customHeight="1">
      <c r="A61" s="72"/>
      <c r="B61" s="73" t="s">
        <v>755</v>
      </c>
      <c r="C61" s="87" t="s">
        <v>775</v>
      </c>
      <c r="D61" s="75">
        <v>1650.0</v>
      </c>
      <c r="E61" s="75"/>
      <c r="F61" s="76"/>
      <c r="G61" s="77" t="s">
        <v>658</v>
      </c>
      <c r="H61" s="77">
        <f>7*1650</f>
        <v>11550</v>
      </c>
      <c r="I61" s="77">
        <v>1.0</v>
      </c>
      <c r="J61" s="78"/>
      <c r="K61" s="79" t="str">
        <f t="shared" si="1"/>
        <v>#DIV/0!</v>
      </c>
      <c r="L61" s="80" t="s">
        <v>658</v>
      </c>
      <c r="M61" s="81">
        <v>4.0</v>
      </c>
      <c r="N61" s="81" t="s">
        <v>659</v>
      </c>
      <c r="O61" s="82">
        <v>90.023753</v>
      </c>
      <c r="P61" s="82">
        <v>71.496437</v>
      </c>
      <c r="Q61" s="82">
        <f t="shared" si="26"/>
        <v>18.527316</v>
      </c>
      <c r="R61" s="78">
        <f t="shared" si="31"/>
        <v>13.11889648</v>
      </c>
      <c r="S61" s="83">
        <f t="shared" si="28"/>
        <v>882.4694217</v>
      </c>
      <c r="T61" s="84" t="s">
        <v>739</v>
      </c>
      <c r="U61" s="79">
        <v>1.0</v>
      </c>
      <c r="V61" s="83" t="str">
        <f t="shared" si="29"/>
        <v>#DIV/0!</v>
      </c>
      <c r="W61" s="83" t="str">
        <f t="shared" si="30"/>
        <v>#DIV/0!</v>
      </c>
    </row>
    <row r="62" ht="26.25" customHeight="1">
      <c r="A62" s="72"/>
      <c r="B62" s="73" t="s">
        <v>755</v>
      </c>
      <c r="C62" s="87" t="s">
        <v>780</v>
      </c>
      <c r="D62" s="75">
        <v>1463.0</v>
      </c>
      <c r="E62" s="75" t="s">
        <v>783</v>
      </c>
      <c r="F62" s="76"/>
      <c r="G62" s="77" t="s">
        <v>658</v>
      </c>
      <c r="H62" s="77">
        <v>1463.0</v>
      </c>
      <c r="I62" s="77">
        <v>1.0</v>
      </c>
      <c r="J62" s="78"/>
      <c r="K62" s="79" t="str">
        <f t="shared" si="1"/>
        <v>#DIV/0!</v>
      </c>
      <c r="L62" s="80" t="s">
        <v>658</v>
      </c>
      <c r="M62" s="81">
        <v>33.0</v>
      </c>
      <c r="N62" s="81" t="s">
        <v>659</v>
      </c>
      <c r="O62" s="82">
        <v>90.023753</v>
      </c>
      <c r="P62" s="82">
        <v>79.216152</v>
      </c>
      <c r="Q62" s="82">
        <f t="shared" si="26"/>
        <v>10.807601</v>
      </c>
      <c r="R62" s="78">
        <f t="shared" si="31"/>
        <v>13.11889648</v>
      </c>
      <c r="S62" s="83">
        <f t="shared" si="28"/>
        <v>111.8707832</v>
      </c>
      <c r="T62" s="84" t="s">
        <v>739</v>
      </c>
      <c r="U62" s="79">
        <f>1463/816</f>
        <v>1.792892157</v>
      </c>
      <c r="V62" s="83" t="str">
        <f t="shared" si="29"/>
        <v>#DIV/0!</v>
      </c>
      <c r="W62" s="83" t="str">
        <f t="shared" si="30"/>
        <v>#DIV/0!</v>
      </c>
    </row>
    <row r="63" ht="26.25" customHeight="1">
      <c r="A63" s="72"/>
      <c r="B63" s="73" t="s">
        <v>755</v>
      </c>
      <c r="C63" s="87" t="s">
        <v>780</v>
      </c>
      <c r="D63" s="75">
        <v>18296.0</v>
      </c>
      <c r="E63" s="75" t="s">
        <v>781</v>
      </c>
      <c r="F63" s="76" t="s">
        <v>782</v>
      </c>
      <c r="G63" s="77" t="s">
        <v>658</v>
      </c>
      <c r="H63" s="77">
        <v>18296.0</v>
      </c>
      <c r="I63" s="77">
        <v>1.0</v>
      </c>
      <c r="J63" s="78"/>
      <c r="K63" s="79" t="str">
        <f t="shared" si="1"/>
        <v>#DIV/0!</v>
      </c>
      <c r="L63" s="80" t="s">
        <v>658</v>
      </c>
      <c r="M63" s="81">
        <v>2.0</v>
      </c>
      <c r="N63" s="81" t="s">
        <v>689</v>
      </c>
      <c r="O63" s="82">
        <v>87.767221</v>
      </c>
      <c r="P63" s="82">
        <v>73.04038</v>
      </c>
      <c r="Q63" s="82">
        <f t="shared" si="26"/>
        <v>14.726841</v>
      </c>
      <c r="R63" s="78">
        <f t="shared" si="31"/>
        <v>13.11889648</v>
      </c>
      <c r="S63" s="83">
        <f t="shared" si="28"/>
        <v>1402.900114</v>
      </c>
      <c r="T63" s="84" t="s">
        <v>739</v>
      </c>
      <c r="U63" s="79">
        <f>18296/5707</f>
        <v>3.205887507</v>
      </c>
      <c r="V63" s="83" t="str">
        <f t="shared" si="29"/>
        <v>#DIV/0!</v>
      </c>
      <c r="W63" s="83" t="str">
        <f t="shared" si="30"/>
        <v>#DIV/0!</v>
      </c>
    </row>
    <row r="64" ht="26.25" customHeight="1">
      <c r="A64" s="72"/>
      <c r="B64" s="73" t="s">
        <v>784</v>
      </c>
      <c r="C64" s="87" t="s">
        <v>656</v>
      </c>
      <c r="D64" s="75">
        <v>6932.0</v>
      </c>
      <c r="E64" s="76"/>
      <c r="F64" s="76" t="s">
        <v>785</v>
      </c>
      <c r="G64" s="77" t="s">
        <v>658</v>
      </c>
      <c r="H64" s="77">
        <v>6932.0</v>
      </c>
      <c r="I64" s="77">
        <v>1.0</v>
      </c>
      <c r="J64" s="78"/>
      <c r="K64" s="79" t="str">
        <f t="shared" si="1"/>
        <v>#DIV/0!</v>
      </c>
      <c r="L64" s="80" t="s">
        <v>658</v>
      </c>
      <c r="M64" s="81">
        <v>6.0</v>
      </c>
      <c r="N64" s="81" t="s">
        <v>659</v>
      </c>
      <c r="O64" s="82">
        <v>90.023753</v>
      </c>
      <c r="P64" s="82">
        <v>73.27791</v>
      </c>
      <c r="Q64" s="82">
        <f t="shared" si="26"/>
        <v>16.745843</v>
      </c>
      <c r="R64" s="78">
        <f t="shared" si="31"/>
        <v>13.11889648</v>
      </c>
      <c r="S64" s="83">
        <f t="shared" si="28"/>
        <v>531.7443854</v>
      </c>
      <c r="T64" s="84" t="s">
        <v>660</v>
      </c>
      <c r="U64" s="79">
        <v>1.0</v>
      </c>
      <c r="V64" s="83" t="str">
        <f t="shared" si="29"/>
        <v>#DIV/0!</v>
      </c>
      <c r="W64" s="83" t="str">
        <f t="shared" si="30"/>
        <v>#DIV/0!</v>
      </c>
    </row>
    <row r="65" ht="26.25" customHeight="1">
      <c r="A65" s="72"/>
      <c r="B65" s="73" t="s">
        <v>784</v>
      </c>
      <c r="C65" s="87" t="s">
        <v>758</v>
      </c>
      <c r="D65" s="75">
        <v>7956.0</v>
      </c>
      <c r="E65" s="76"/>
      <c r="F65" s="76" t="s">
        <v>785</v>
      </c>
      <c r="G65" s="77" t="s">
        <v>658</v>
      </c>
      <c r="H65" s="77">
        <v>7956.0</v>
      </c>
      <c r="I65" s="77">
        <v>1.0</v>
      </c>
      <c r="J65" s="78"/>
      <c r="K65" s="79" t="str">
        <f t="shared" si="1"/>
        <v>#DIV/0!</v>
      </c>
      <c r="L65" s="80" t="s">
        <v>658</v>
      </c>
      <c r="M65" s="81">
        <v>7.0</v>
      </c>
      <c r="N65" s="81" t="s">
        <v>659</v>
      </c>
      <c r="O65" s="82">
        <v>90.023753</v>
      </c>
      <c r="P65" s="82">
        <v>67.814727</v>
      </c>
      <c r="Q65" s="82">
        <f t="shared" si="26"/>
        <v>22.209026</v>
      </c>
      <c r="R65" s="78">
        <f t="shared" si="31"/>
        <v>13.11889648</v>
      </c>
      <c r="S65" s="83">
        <f t="shared" si="28"/>
        <v>604.4753851</v>
      </c>
      <c r="T65" s="84" t="s">
        <v>660</v>
      </c>
      <c r="U65" s="79">
        <v>1.0</v>
      </c>
      <c r="V65" s="83" t="str">
        <f t="shared" si="29"/>
        <v>#DIV/0!</v>
      </c>
      <c r="W65" s="83" t="str">
        <f t="shared" si="30"/>
        <v>#DIV/0!</v>
      </c>
    </row>
    <row r="66" ht="26.25" customHeight="1">
      <c r="A66" s="72"/>
      <c r="B66" s="73" t="s">
        <v>784</v>
      </c>
      <c r="C66" s="87" t="s">
        <v>347</v>
      </c>
      <c r="D66" s="76"/>
      <c r="E66" s="76"/>
      <c r="F66" s="76" t="s">
        <v>785</v>
      </c>
      <c r="G66" s="77" t="s">
        <v>658</v>
      </c>
      <c r="H66" s="77">
        <v>6932.0</v>
      </c>
      <c r="I66" s="91">
        <v>1.0</v>
      </c>
      <c r="J66" s="78"/>
      <c r="K66" s="79" t="str">
        <f t="shared" si="1"/>
        <v>#DIV/0!</v>
      </c>
      <c r="L66" s="80" t="s">
        <v>658</v>
      </c>
      <c r="M66" s="92">
        <v>6.0</v>
      </c>
      <c r="N66" s="92" t="s">
        <v>659</v>
      </c>
      <c r="O66" s="82">
        <v>90.023753</v>
      </c>
      <c r="P66" s="82">
        <v>73.27791</v>
      </c>
      <c r="Q66" s="82">
        <f t="shared" si="26"/>
        <v>16.745843</v>
      </c>
      <c r="R66" s="78">
        <f t="shared" si="31"/>
        <v>13.11889648</v>
      </c>
      <c r="S66" s="83">
        <f t="shared" si="28"/>
        <v>531.7443854</v>
      </c>
      <c r="T66" s="84" t="s">
        <v>739</v>
      </c>
      <c r="U66" s="79">
        <v>1.0</v>
      </c>
      <c r="V66" s="83" t="str">
        <f t="shared" si="29"/>
        <v>#DIV/0!</v>
      </c>
      <c r="W66" s="83" t="str">
        <f t="shared" si="30"/>
        <v>#DIV/0!</v>
      </c>
    </row>
    <row r="67" ht="26.25" customHeight="1">
      <c r="A67" s="72"/>
      <c r="B67" s="73" t="s">
        <v>784</v>
      </c>
      <c r="C67" s="87" t="s">
        <v>786</v>
      </c>
      <c r="D67" s="76">
        <v>19567.0</v>
      </c>
      <c r="E67" s="76" t="s">
        <v>789</v>
      </c>
      <c r="F67" s="76" t="s">
        <v>790</v>
      </c>
      <c r="G67" s="77" t="s">
        <v>658</v>
      </c>
      <c r="H67" s="77">
        <f>19567+55</f>
        <v>19622</v>
      </c>
      <c r="I67" s="91">
        <v>1.0</v>
      </c>
      <c r="J67" s="78"/>
      <c r="K67" s="79" t="str">
        <f t="shared" si="1"/>
        <v>#DIV/0!</v>
      </c>
      <c r="L67" s="80" t="s">
        <v>658</v>
      </c>
      <c r="M67" s="92">
        <v>2.0</v>
      </c>
      <c r="N67" s="92" t="s">
        <v>659</v>
      </c>
      <c r="O67" s="82">
        <v>87.054632</v>
      </c>
      <c r="P67" s="82">
        <v>71.377672</v>
      </c>
      <c r="Q67" s="82">
        <f t="shared" si="26"/>
        <v>15.67696</v>
      </c>
      <c r="R67" s="78">
        <f t="shared" si="31"/>
        <v>13.11889648</v>
      </c>
      <c r="S67" s="83">
        <f t="shared" si="28"/>
        <v>1493.40982</v>
      </c>
      <c r="T67" s="84" t="s">
        <v>739</v>
      </c>
      <c r="U67" s="79">
        <v>1.0</v>
      </c>
      <c r="V67" s="83" t="str">
        <f t="shared" si="29"/>
        <v>#DIV/0!</v>
      </c>
      <c r="W67" s="83" t="str">
        <f t="shared" si="30"/>
        <v>#DIV/0!</v>
      </c>
    </row>
    <row r="68" ht="26.25" customHeight="1">
      <c r="A68" s="72"/>
      <c r="B68" s="73" t="s">
        <v>784</v>
      </c>
      <c r="C68" s="87" t="s">
        <v>786</v>
      </c>
      <c r="D68" s="75">
        <v>5459.0</v>
      </c>
      <c r="E68" s="75" t="s">
        <v>787</v>
      </c>
      <c r="F68" s="75" t="s">
        <v>788</v>
      </c>
      <c r="G68" s="77" t="s">
        <v>658</v>
      </c>
      <c r="H68" s="77">
        <f>(5459*13+1040*5)/13</f>
        <v>5859</v>
      </c>
      <c r="I68" s="91">
        <v>1.0</v>
      </c>
      <c r="J68" s="78"/>
      <c r="K68" s="79" t="str">
        <f t="shared" si="1"/>
        <v>#DIV/0!</v>
      </c>
      <c r="L68" s="80" t="s">
        <v>658</v>
      </c>
      <c r="M68" s="92">
        <v>13.0</v>
      </c>
      <c r="N68" s="92" t="s">
        <v>659</v>
      </c>
      <c r="O68" s="82">
        <v>90.023753</v>
      </c>
      <c r="P68" s="82">
        <v>59.501188</v>
      </c>
      <c r="Q68" s="82">
        <f t="shared" si="26"/>
        <v>30.522565</v>
      </c>
      <c r="R68" s="78">
        <f t="shared" si="31"/>
        <v>13.11889648</v>
      </c>
      <c r="S68" s="83">
        <f t="shared" si="28"/>
        <v>447.3267021</v>
      </c>
      <c r="T68" s="84" t="s">
        <v>739</v>
      </c>
      <c r="U68" s="79">
        <v>1.0</v>
      </c>
      <c r="V68" s="83" t="str">
        <f t="shared" si="29"/>
        <v>#DIV/0!</v>
      </c>
      <c r="W68" s="83" t="str">
        <f t="shared" si="30"/>
        <v>#DIV/0!</v>
      </c>
    </row>
    <row r="69" ht="26.25" customHeight="1">
      <c r="A69" s="72"/>
      <c r="B69" s="73" t="s">
        <v>784</v>
      </c>
      <c r="C69" s="87" t="s">
        <v>791</v>
      </c>
      <c r="D69" s="76">
        <v>7956.0</v>
      </c>
      <c r="E69" s="76"/>
      <c r="F69" s="76" t="s">
        <v>785</v>
      </c>
      <c r="G69" s="77" t="s">
        <v>658</v>
      </c>
      <c r="H69" s="77">
        <v>7956.0</v>
      </c>
      <c r="I69" s="91">
        <v>1.0</v>
      </c>
      <c r="J69" s="78"/>
      <c r="K69" s="79" t="str">
        <f t="shared" si="1"/>
        <v>#DIV/0!</v>
      </c>
      <c r="L69" s="80" t="s">
        <v>658</v>
      </c>
      <c r="M69" s="92">
        <v>10.0</v>
      </c>
      <c r="N69" s="92" t="s">
        <v>659</v>
      </c>
      <c r="O69" s="82">
        <v>90.023753</v>
      </c>
      <c r="P69" s="82">
        <v>58.194774</v>
      </c>
      <c r="Q69" s="82">
        <f t="shared" si="26"/>
        <v>31.828979</v>
      </c>
      <c r="R69" s="78">
        <f t="shared" si="31"/>
        <v>13.11889648</v>
      </c>
      <c r="S69" s="83">
        <f t="shared" si="28"/>
        <v>606.4148891</v>
      </c>
      <c r="T69" s="84" t="s">
        <v>739</v>
      </c>
      <c r="U69" s="79">
        <v>1.0</v>
      </c>
      <c r="V69" s="83" t="str">
        <f t="shared" si="29"/>
        <v>#DIV/0!</v>
      </c>
      <c r="W69" s="83" t="str">
        <f t="shared" si="30"/>
        <v>#DIV/0!</v>
      </c>
    </row>
    <row r="70" ht="26.25" customHeight="1">
      <c r="A70" s="72"/>
      <c r="B70" s="73" t="s">
        <v>784</v>
      </c>
      <c r="C70" s="87" t="s">
        <v>692</v>
      </c>
      <c r="D70" s="75">
        <v>5459.0</v>
      </c>
      <c r="E70" s="76"/>
      <c r="F70" s="76" t="s">
        <v>785</v>
      </c>
      <c r="G70" s="77" t="s">
        <v>658</v>
      </c>
      <c r="H70" s="77">
        <v>5459.0</v>
      </c>
      <c r="I70" s="77">
        <v>1.0</v>
      </c>
      <c r="J70" s="78"/>
      <c r="K70" s="79" t="str">
        <f t="shared" si="1"/>
        <v>#DIV/0!</v>
      </c>
      <c r="L70" s="80" t="s">
        <v>658</v>
      </c>
      <c r="M70" s="81">
        <v>7.0</v>
      </c>
      <c r="N70" s="81" t="s">
        <v>659</v>
      </c>
      <c r="O70" s="82">
        <v>90.023753</v>
      </c>
      <c r="P70" s="82">
        <v>74.703088</v>
      </c>
      <c r="Q70" s="82">
        <f t="shared" si="26"/>
        <v>15.320665</v>
      </c>
      <c r="R70" s="78">
        <f t="shared" si="31"/>
        <v>13.11889648</v>
      </c>
      <c r="S70" s="83">
        <f t="shared" si="28"/>
        <v>416.9910412</v>
      </c>
      <c r="T70" s="84" t="s">
        <v>660</v>
      </c>
      <c r="U70" s="79">
        <v>1.0</v>
      </c>
      <c r="V70" s="83" t="str">
        <f t="shared" si="29"/>
        <v>#DIV/0!</v>
      </c>
      <c r="W70" s="83" t="str">
        <f t="shared" si="30"/>
        <v>#DIV/0!</v>
      </c>
    </row>
    <row r="71" ht="26.25" customHeight="1">
      <c r="A71" s="72"/>
      <c r="B71" s="73" t="s">
        <v>784</v>
      </c>
      <c r="C71" s="87" t="s">
        <v>792</v>
      </c>
      <c r="D71" s="76">
        <v>1489.0</v>
      </c>
      <c r="E71" s="76"/>
      <c r="F71" s="76" t="s">
        <v>785</v>
      </c>
      <c r="G71" s="77" t="s">
        <v>658</v>
      </c>
      <c r="H71" s="77">
        <f>1489*5</f>
        <v>7445</v>
      </c>
      <c r="I71" s="91">
        <v>1.0</v>
      </c>
      <c r="J71" s="78"/>
      <c r="K71" s="79" t="str">
        <f t="shared" si="1"/>
        <v>#DIV/0!</v>
      </c>
      <c r="L71" s="80" t="s">
        <v>658</v>
      </c>
      <c r="M71" s="92">
        <v>7.0</v>
      </c>
      <c r="N71" s="92" t="s">
        <v>659</v>
      </c>
      <c r="O71" s="82">
        <v>90.023753</v>
      </c>
      <c r="P71" s="82">
        <v>69.12114</v>
      </c>
      <c r="Q71" s="82">
        <f t="shared" si="26"/>
        <v>20.902613</v>
      </c>
      <c r="R71" s="78">
        <f t="shared" si="31"/>
        <v>13.11889648</v>
      </c>
      <c r="S71" s="83">
        <f t="shared" si="28"/>
        <v>568.9180176</v>
      </c>
      <c r="T71" s="84" t="s">
        <v>739</v>
      </c>
      <c r="U71" s="79">
        <v>1.0</v>
      </c>
      <c r="V71" s="83" t="str">
        <f t="shared" si="29"/>
        <v>#DIV/0!</v>
      </c>
      <c r="W71" s="83" t="str">
        <f t="shared" si="30"/>
        <v>#DIV/0!</v>
      </c>
    </row>
    <row r="72" ht="26.25" customHeight="1">
      <c r="A72" s="72"/>
      <c r="B72" s="73" t="s">
        <v>784</v>
      </c>
      <c r="C72" s="87" t="s">
        <v>525</v>
      </c>
      <c r="D72" s="76">
        <v>20358.0</v>
      </c>
      <c r="E72" s="76" t="s">
        <v>793</v>
      </c>
      <c r="F72" s="76" t="s">
        <v>794</v>
      </c>
      <c r="G72" s="77" t="s">
        <v>658</v>
      </c>
      <c r="H72" s="77">
        <f>20358+3781+858</f>
        <v>24997</v>
      </c>
      <c r="I72" s="91">
        <v>1.0</v>
      </c>
      <c r="J72" s="78"/>
      <c r="K72" s="79" t="str">
        <f t="shared" si="1"/>
        <v>#DIV/0!</v>
      </c>
      <c r="L72" s="80" t="s">
        <v>658</v>
      </c>
      <c r="M72" s="92">
        <v>2.0</v>
      </c>
      <c r="N72" s="92" t="s">
        <v>659</v>
      </c>
      <c r="O72" s="82">
        <v>71.852732</v>
      </c>
      <c r="P72" s="82">
        <v>51.781473</v>
      </c>
      <c r="Q72" s="82">
        <f t="shared" si="26"/>
        <v>20.071259</v>
      </c>
      <c r="R72" s="78">
        <f t="shared" si="31"/>
        <v>13.11889648</v>
      </c>
      <c r="S72" s="83">
        <f t="shared" si="28"/>
        <v>1912.01708</v>
      </c>
      <c r="T72" s="84" t="s">
        <v>739</v>
      </c>
      <c r="U72" s="79">
        <v>1.0</v>
      </c>
      <c r="V72" s="83" t="str">
        <f t="shared" si="29"/>
        <v>#DIV/0!</v>
      </c>
      <c r="W72" s="83" t="str">
        <f t="shared" si="30"/>
        <v>#DIV/0!</v>
      </c>
    </row>
    <row r="73" ht="26.25" customHeight="1">
      <c r="A73" s="72"/>
      <c r="B73" s="73" t="s">
        <v>795</v>
      </c>
      <c r="C73" s="87" t="s">
        <v>656</v>
      </c>
      <c r="D73" s="75">
        <v>17883.0</v>
      </c>
      <c r="E73" s="75" t="s">
        <v>800</v>
      </c>
      <c r="F73" s="75" t="s">
        <v>801</v>
      </c>
      <c r="G73" s="77" t="s">
        <v>658</v>
      </c>
      <c r="H73" s="77">
        <f>17883+257</f>
        <v>18140</v>
      </c>
      <c r="I73" s="77">
        <v>1.0</v>
      </c>
      <c r="J73" s="78"/>
      <c r="K73" s="79" t="str">
        <f t="shared" si="1"/>
        <v>#DIV/0!</v>
      </c>
      <c r="L73" s="80" t="s">
        <v>658</v>
      </c>
      <c r="M73" s="81">
        <v>7.0</v>
      </c>
      <c r="N73" s="92" t="s">
        <v>659</v>
      </c>
      <c r="O73" s="82">
        <v>75.059382</v>
      </c>
      <c r="P73" s="82">
        <v>24.228029</v>
      </c>
      <c r="Q73" s="82">
        <f t="shared" si="26"/>
        <v>50.831353</v>
      </c>
      <c r="R73" s="78">
        <f t="shared" si="31"/>
        <v>13.11889648</v>
      </c>
      <c r="S73" s="83">
        <f t="shared" si="28"/>
        <v>1383.505143</v>
      </c>
      <c r="T73" s="84" t="s">
        <v>660</v>
      </c>
      <c r="U73" s="79">
        <v>1.0</v>
      </c>
      <c r="V73" s="83" t="str">
        <f t="shared" si="29"/>
        <v>#DIV/0!</v>
      </c>
      <c r="W73" s="83" t="str">
        <f t="shared" si="30"/>
        <v>#DIV/0!</v>
      </c>
    </row>
    <row r="74" ht="26.25" customHeight="1">
      <c r="A74" s="72"/>
      <c r="B74" s="73" t="s">
        <v>795</v>
      </c>
      <c r="C74" s="87" t="s">
        <v>656</v>
      </c>
      <c r="D74" s="75">
        <v>7668.0</v>
      </c>
      <c r="E74" s="75" t="s">
        <v>796</v>
      </c>
      <c r="F74" s="76" t="s">
        <v>371</v>
      </c>
      <c r="G74" s="77" t="s">
        <v>658</v>
      </c>
      <c r="H74" s="77">
        <f>7668+3086</f>
        <v>10754</v>
      </c>
      <c r="I74" s="77">
        <v>1.0</v>
      </c>
      <c r="J74" s="78"/>
      <c r="K74" s="79" t="str">
        <f t="shared" si="1"/>
        <v>#DIV/0!</v>
      </c>
      <c r="L74" s="80" t="s">
        <v>658</v>
      </c>
      <c r="M74" s="81">
        <v>7.0</v>
      </c>
      <c r="N74" s="92" t="s">
        <v>659</v>
      </c>
      <c r="O74" s="82">
        <v>90.023753</v>
      </c>
      <c r="P74" s="82">
        <v>59.857482</v>
      </c>
      <c r="Q74" s="82">
        <f t="shared" si="26"/>
        <v>30.166271</v>
      </c>
      <c r="R74" s="78">
        <f t="shared" si="31"/>
        <v>13.11889648</v>
      </c>
      <c r="S74" s="83">
        <f t="shared" si="28"/>
        <v>821.052138</v>
      </c>
      <c r="T74" s="84" t="s">
        <v>660</v>
      </c>
      <c r="U74" s="79">
        <v>1.0</v>
      </c>
      <c r="V74" s="83" t="str">
        <f t="shared" si="29"/>
        <v>#DIV/0!</v>
      </c>
      <c r="W74" s="83" t="str">
        <f t="shared" si="30"/>
        <v>#DIV/0!</v>
      </c>
    </row>
    <row r="75" ht="26.25" customHeight="1">
      <c r="A75" s="72"/>
      <c r="B75" s="73" t="s">
        <v>795</v>
      </c>
      <c r="C75" s="87" t="s">
        <v>656</v>
      </c>
      <c r="D75" s="75">
        <v>13756.0</v>
      </c>
      <c r="E75" s="75" t="s">
        <v>797</v>
      </c>
      <c r="F75" s="76" t="s">
        <v>798</v>
      </c>
      <c r="G75" s="77" t="s">
        <v>658</v>
      </c>
      <c r="H75" s="77">
        <f>13756+1927</f>
        <v>15683</v>
      </c>
      <c r="I75" s="77">
        <v>1.0</v>
      </c>
      <c r="J75" s="78"/>
      <c r="K75" s="79" t="str">
        <f t="shared" si="1"/>
        <v>#DIV/0!</v>
      </c>
      <c r="L75" s="80" t="s">
        <v>658</v>
      </c>
      <c r="M75" s="81">
        <v>7.0</v>
      </c>
      <c r="N75" s="92" t="s">
        <v>659</v>
      </c>
      <c r="O75" s="82">
        <v>73.752969</v>
      </c>
      <c r="P75" s="82">
        <v>29.691211</v>
      </c>
      <c r="Q75" s="82">
        <f t="shared" si="26"/>
        <v>44.061758</v>
      </c>
      <c r="R75" s="78">
        <f t="shared" si="31"/>
        <v>13.11889648</v>
      </c>
      <c r="S75" s="83">
        <f t="shared" si="28"/>
        <v>1199.253319</v>
      </c>
      <c r="T75" s="84" t="s">
        <v>660</v>
      </c>
      <c r="U75" s="79">
        <v>1.0</v>
      </c>
      <c r="V75" s="83" t="str">
        <f t="shared" si="29"/>
        <v>#DIV/0!</v>
      </c>
      <c r="W75" s="83" t="str">
        <f t="shared" si="30"/>
        <v>#DIV/0!</v>
      </c>
    </row>
    <row r="76" ht="26.25" customHeight="1">
      <c r="A76" s="72"/>
      <c r="B76" s="73" t="s">
        <v>795</v>
      </c>
      <c r="C76" s="87" t="s">
        <v>656</v>
      </c>
      <c r="D76" s="75">
        <v>7633.0</v>
      </c>
      <c r="E76" s="75" t="s">
        <v>802</v>
      </c>
      <c r="F76" s="75"/>
      <c r="G76" s="77" t="s">
        <v>658</v>
      </c>
      <c r="H76" s="77">
        <f>7633+2786</f>
        <v>10419</v>
      </c>
      <c r="I76" s="77">
        <v>1.0</v>
      </c>
      <c r="J76" s="78"/>
      <c r="K76" s="79" t="str">
        <f t="shared" si="1"/>
        <v>#DIV/0!</v>
      </c>
      <c r="L76" s="80" t="s">
        <v>658</v>
      </c>
      <c r="M76" s="81">
        <v>7.0</v>
      </c>
      <c r="N76" s="92" t="s">
        <v>659</v>
      </c>
      <c r="O76" s="82">
        <v>90.023753</v>
      </c>
      <c r="P76" s="82">
        <v>60.688836</v>
      </c>
      <c r="Q76" s="82">
        <f t="shared" si="26"/>
        <v>29.334917</v>
      </c>
      <c r="R76" s="78">
        <f t="shared" si="31"/>
        <v>13.11889648</v>
      </c>
      <c r="S76" s="83">
        <f t="shared" si="28"/>
        <v>798.4247149</v>
      </c>
      <c r="T76" s="84" t="s">
        <v>660</v>
      </c>
      <c r="U76" s="79">
        <v>1.0</v>
      </c>
      <c r="V76" s="83" t="str">
        <f t="shared" si="29"/>
        <v>#DIV/0!</v>
      </c>
      <c r="W76" s="83" t="str">
        <f t="shared" si="30"/>
        <v>#DIV/0!</v>
      </c>
    </row>
    <row r="77" ht="26.25" customHeight="1">
      <c r="A77" s="72"/>
      <c r="B77" s="73" t="s">
        <v>795</v>
      </c>
      <c r="C77" s="87" t="s">
        <v>656</v>
      </c>
      <c r="D77" s="75">
        <v>9968.0</v>
      </c>
      <c r="E77" s="75" t="s">
        <v>799</v>
      </c>
      <c r="F77" s="75" t="s">
        <v>586</v>
      </c>
      <c r="G77" s="77" t="s">
        <v>658</v>
      </c>
      <c r="H77" s="77">
        <f>9968+412</f>
        <v>10380</v>
      </c>
      <c r="I77" s="77">
        <v>1.0</v>
      </c>
      <c r="J77" s="78"/>
      <c r="K77" s="79" t="str">
        <f t="shared" si="1"/>
        <v>#DIV/0!</v>
      </c>
      <c r="L77" s="80" t="s">
        <v>658</v>
      </c>
      <c r="M77" s="81">
        <v>6.0</v>
      </c>
      <c r="N77" s="92" t="s">
        <v>659</v>
      </c>
      <c r="O77" s="82">
        <v>90.023753</v>
      </c>
      <c r="P77" s="82">
        <v>64.964371</v>
      </c>
      <c r="Q77" s="82">
        <f t="shared" si="26"/>
        <v>25.059382</v>
      </c>
      <c r="R77" s="78">
        <f t="shared" si="31"/>
        <v>13.11889648</v>
      </c>
      <c r="S77" s="83">
        <f t="shared" si="28"/>
        <v>795.7309572</v>
      </c>
      <c r="T77" s="84" t="s">
        <v>660</v>
      </c>
      <c r="U77" s="79">
        <v>1.0</v>
      </c>
      <c r="V77" s="83" t="str">
        <f t="shared" si="29"/>
        <v>#DIV/0!</v>
      </c>
      <c r="W77" s="83" t="str">
        <f t="shared" si="30"/>
        <v>#DIV/0!</v>
      </c>
    </row>
    <row r="78" ht="26.25" customHeight="1">
      <c r="A78" s="73"/>
      <c r="B78" s="73" t="s">
        <v>795</v>
      </c>
      <c r="C78" s="74" t="s">
        <v>533</v>
      </c>
      <c r="D78" s="75">
        <v>6903.0</v>
      </c>
      <c r="E78" s="75" t="s">
        <v>803</v>
      </c>
      <c r="F78" s="75" t="s">
        <v>770</v>
      </c>
      <c r="G78" s="77" t="s">
        <v>689</v>
      </c>
      <c r="H78" s="77">
        <v>30411.0</v>
      </c>
      <c r="I78" s="91">
        <v>10.0</v>
      </c>
      <c r="J78" s="78"/>
      <c r="K78" s="79" t="str">
        <f t="shared" si="1"/>
        <v>#DIV/0!</v>
      </c>
      <c r="L78" s="89" t="s">
        <v>303</v>
      </c>
      <c r="M78" s="85" t="s">
        <v>303</v>
      </c>
      <c r="N78" s="85" t="s">
        <v>303</v>
      </c>
      <c r="O78" s="82" t="s">
        <v>303</v>
      </c>
      <c r="P78" s="82" t="s">
        <v>303</v>
      </c>
      <c r="Q78" s="82" t="s">
        <v>303</v>
      </c>
      <c r="R78" s="78" t="s">
        <v>303</v>
      </c>
      <c r="S78" s="83" t="str">
        <f t="shared" si="28"/>
        <v>#N/A</v>
      </c>
      <c r="T78" s="84" t="s">
        <v>705</v>
      </c>
      <c r="U78" s="79">
        <v>1.0</v>
      </c>
      <c r="V78" s="83">
        <f>101183/102075</f>
        <v>0.9912613275</v>
      </c>
      <c r="W78" s="83">
        <f>(101183-102075)/(1500000/845)</f>
        <v>-0.5024933333</v>
      </c>
    </row>
    <row r="79" ht="26.25" customHeight="1">
      <c r="A79" s="72"/>
      <c r="B79" s="73" t="s">
        <v>795</v>
      </c>
      <c r="C79" s="87" t="s">
        <v>429</v>
      </c>
      <c r="D79" s="75">
        <v>2764.0</v>
      </c>
      <c r="E79" s="75" t="s">
        <v>804</v>
      </c>
      <c r="F79" s="76" t="s">
        <v>805</v>
      </c>
      <c r="G79" s="77" t="s">
        <v>658</v>
      </c>
      <c r="H79" s="77">
        <f>1382*2+274*2+2764*19+983+1382+1329+851</f>
        <v>60373</v>
      </c>
      <c r="I79" s="77">
        <v>2.0</v>
      </c>
      <c r="J79" s="78"/>
      <c r="K79" s="79" t="str">
        <f t="shared" si="1"/>
        <v>#DIV/0!</v>
      </c>
      <c r="L79" s="80" t="s">
        <v>658</v>
      </c>
      <c r="M79" s="81">
        <v>2.0</v>
      </c>
      <c r="N79" s="92" t="s">
        <v>659</v>
      </c>
      <c r="O79" s="82">
        <v>90.023753</v>
      </c>
      <c r="P79" s="82">
        <v>65.795724</v>
      </c>
      <c r="Q79" s="82">
        <f t="shared" ref="Q79:Q81" si="32">O79-P79</f>
        <v>24.228029</v>
      </c>
      <c r="R79" s="78">
        <f t="shared" ref="R79:R81" si="33">IFS(L79="S",21494/2048*1.25)</f>
        <v>13.11889648</v>
      </c>
      <c r="S79" s="83">
        <f t="shared" si="28"/>
        <v>2307.996986</v>
      </c>
      <c r="T79" s="84" t="s">
        <v>739</v>
      </c>
      <c r="U79" s="79">
        <v>1.0</v>
      </c>
      <c r="V79" s="83" t="str">
        <f t="shared" ref="V79:V81" si="34">S79/K79</f>
        <v>#DIV/0!</v>
      </c>
      <c r="W79" s="83" t="str">
        <f t="shared" ref="W79:W81" si="35">(S79-K79)*M79*#REF!*#REF!*J79/(249945/845)</f>
        <v>#DIV/0!</v>
      </c>
    </row>
    <row r="80" ht="26.25" customHeight="1">
      <c r="A80" s="73"/>
      <c r="B80" s="73" t="s">
        <v>795</v>
      </c>
      <c r="C80" s="87" t="s">
        <v>806</v>
      </c>
      <c r="D80" s="75">
        <v>680.0</v>
      </c>
      <c r="E80" s="75" t="s">
        <v>807</v>
      </c>
      <c r="F80" s="76"/>
      <c r="G80" s="77" t="s">
        <v>658</v>
      </c>
      <c r="H80" s="77">
        <f>265*5+680*22</f>
        <v>16285</v>
      </c>
      <c r="I80" s="77">
        <v>1.0</v>
      </c>
      <c r="J80" s="78"/>
      <c r="K80" s="79" t="str">
        <f t="shared" si="1"/>
        <v>#DIV/0!</v>
      </c>
      <c r="L80" s="80" t="s">
        <v>658</v>
      </c>
      <c r="M80" s="81">
        <v>1.0</v>
      </c>
      <c r="N80" s="92" t="s">
        <v>659</v>
      </c>
      <c r="O80" s="82">
        <v>90.023753</v>
      </c>
      <c r="P80" s="82">
        <v>83.372922</v>
      </c>
      <c r="Q80" s="82">
        <f t="shared" si="32"/>
        <v>6.650831</v>
      </c>
      <c r="R80" s="78">
        <f t="shared" si="33"/>
        <v>13.11889648</v>
      </c>
      <c r="S80" s="83">
        <f t="shared" si="28"/>
        <v>1267.135507</v>
      </c>
      <c r="T80" s="84" t="s">
        <v>660</v>
      </c>
      <c r="U80" s="79">
        <v>1.0</v>
      </c>
      <c r="V80" s="83" t="str">
        <f t="shared" si="34"/>
        <v>#DIV/0!</v>
      </c>
      <c r="W80" s="83" t="str">
        <f t="shared" si="35"/>
        <v>#DIV/0!</v>
      </c>
    </row>
    <row r="81" ht="26.25" customHeight="1">
      <c r="A81" s="72"/>
      <c r="B81" s="73" t="s">
        <v>795</v>
      </c>
      <c r="C81" s="87" t="s">
        <v>808</v>
      </c>
      <c r="D81" s="75">
        <v>10528.0</v>
      </c>
      <c r="E81" s="76"/>
      <c r="F81" s="76"/>
      <c r="G81" s="77" t="s">
        <v>658</v>
      </c>
      <c r="H81" s="77">
        <v>10528.0</v>
      </c>
      <c r="I81" s="77">
        <v>1.0</v>
      </c>
      <c r="J81" s="78"/>
      <c r="K81" s="79" t="str">
        <f t="shared" si="1"/>
        <v>#DIV/0!</v>
      </c>
      <c r="L81" s="80" t="s">
        <v>658</v>
      </c>
      <c r="M81" s="81">
        <v>6.0</v>
      </c>
      <c r="N81" s="92" t="s">
        <v>659</v>
      </c>
      <c r="O81" s="82">
        <v>90.023753</v>
      </c>
      <c r="P81" s="82">
        <v>64.726841</v>
      </c>
      <c r="Q81" s="82">
        <f t="shared" si="32"/>
        <v>25.296912</v>
      </c>
      <c r="R81" s="78">
        <f t="shared" si="33"/>
        <v>13.11889648</v>
      </c>
      <c r="S81" s="83">
        <f t="shared" si="28"/>
        <v>803.2734406</v>
      </c>
      <c r="T81" s="84" t="s">
        <v>660</v>
      </c>
      <c r="U81" s="79">
        <v>1.0</v>
      </c>
      <c r="V81" s="83" t="str">
        <f t="shared" si="34"/>
        <v>#DIV/0!</v>
      </c>
      <c r="W81" s="83" t="str">
        <f t="shared" si="35"/>
        <v>#DIV/0!</v>
      </c>
    </row>
    <row r="82" ht="26.25" customHeight="1">
      <c r="A82" s="73"/>
      <c r="B82" s="73" t="s">
        <v>795</v>
      </c>
      <c r="C82" s="87" t="s">
        <v>809</v>
      </c>
      <c r="D82" s="93">
        <v>1540.0</v>
      </c>
      <c r="E82" s="76"/>
      <c r="F82" s="76"/>
      <c r="G82" s="77" t="s">
        <v>689</v>
      </c>
      <c r="H82" s="77">
        <v>23100.0</v>
      </c>
      <c r="I82" s="77">
        <v>5.0</v>
      </c>
      <c r="J82" s="78"/>
      <c r="K82" s="79" t="str">
        <f t="shared" si="1"/>
        <v>#DIV/0!</v>
      </c>
      <c r="L82" s="89" t="s">
        <v>303</v>
      </c>
      <c r="M82" s="85" t="s">
        <v>303</v>
      </c>
      <c r="N82" s="85" t="s">
        <v>303</v>
      </c>
      <c r="O82" s="82" t="s">
        <v>303</v>
      </c>
      <c r="P82" s="82" t="s">
        <v>303</v>
      </c>
      <c r="Q82" s="82" t="s">
        <v>303</v>
      </c>
      <c r="R82" s="78" t="s">
        <v>303</v>
      </c>
      <c r="S82" s="83" t="str">
        <f t="shared" si="28"/>
        <v>#N/A</v>
      </c>
      <c r="T82" s="84" t="s">
        <v>705</v>
      </c>
      <c r="U82" s="79">
        <v>1.0</v>
      </c>
      <c r="V82" s="83">
        <f>81657/78120</f>
        <v>1.045276498</v>
      </c>
      <c r="W82" s="83">
        <f>(81657-78120)/(1500000/845)</f>
        <v>1.99251</v>
      </c>
    </row>
    <row r="83" ht="26.25" customHeight="1">
      <c r="A83" s="73"/>
      <c r="B83" s="73" t="s">
        <v>795</v>
      </c>
      <c r="C83" s="87" t="s">
        <v>810</v>
      </c>
      <c r="D83" s="76">
        <v>2931.0</v>
      </c>
      <c r="E83" s="76" t="s">
        <v>811</v>
      </c>
      <c r="F83" s="76" t="s">
        <v>812</v>
      </c>
      <c r="G83" s="77" t="s">
        <v>658</v>
      </c>
      <c r="H83" s="77">
        <f>2918*2+2931*2</f>
        <v>11698</v>
      </c>
      <c r="I83" s="77">
        <v>1.0</v>
      </c>
      <c r="J83" s="78"/>
      <c r="K83" s="79" t="str">
        <f t="shared" si="1"/>
        <v>#DIV/0!</v>
      </c>
      <c r="L83" s="80" t="s">
        <v>658</v>
      </c>
      <c r="M83" s="92">
        <v>2.0</v>
      </c>
      <c r="N83" s="92" t="s">
        <v>659</v>
      </c>
      <c r="O83" s="82">
        <v>85.273159</v>
      </c>
      <c r="P83" s="94">
        <v>75.890736</v>
      </c>
      <c r="Q83" s="82">
        <f t="shared" ref="Q83:Q103" si="36">O83-P83</f>
        <v>9.382423</v>
      </c>
      <c r="R83" s="78">
        <f t="shared" ref="R83:R94" si="37">IFS(L83="S",21494/2048*1.25)</f>
        <v>13.11889648</v>
      </c>
      <c r="S83" s="83">
        <f t="shared" si="28"/>
        <v>893.7831469</v>
      </c>
      <c r="T83" s="84" t="s">
        <v>660</v>
      </c>
      <c r="U83" s="79">
        <v>1.0</v>
      </c>
      <c r="V83" s="83" t="str">
        <f t="shared" ref="V83:V103" si="38">S83/K83</f>
        <v>#DIV/0!</v>
      </c>
      <c r="W83" s="83" t="str">
        <f t="shared" ref="W83:W103" si="39">(S83-K83)*M83*#REF!*#REF!*J83/(249945/845)</f>
        <v>#DIV/0!</v>
      </c>
    </row>
    <row r="84" ht="26.25" customHeight="1">
      <c r="A84" s="73"/>
      <c r="B84" s="73" t="s">
        <v>795</v>
      </c>
      <c r="C84" s="87" t="s">
        <v>810</v>
      </c>
      <c r="D84" s="76">
        <v>3285.0</v>
      </c>
      <c r="E84" s="76" t="s">
        <v>813</v>
      </c>
      <c r="F84" s="76" t="s">
        <v>371</v>
      </c>
      <c r="G84" s="77" t="s">
        <v>658</v>
      </c>
      <c r="H84" s="77">
        <f>3285*2+2628*2</f>
        <v>11826</v>
      </c>
      <c r="I84" s="77">
        <v>1.0</v>
      </c>
      <c r="J84" s="78"/>
      <c r="K84" s="79" t="str">
        <f t="shared" si="1"/>
        <v>#DIV/0!</v>
      </c>
      <c r="L84" s="80" t="s">
        <v>658</v>
      </c>
      <c r="M84" s="92">
        <v>5.0</v>
      </c>
      <c r="N84" s="92" t="s">
        <v>659</v>
      </c>
      <c r="O84" s="82">
        <v>90.023753</v>
      </c>
      <c r="P84" s="94">
        <v>66.270784</v>
      </c>
      <c r="Q84" s="82">
        <f t="shared" si="36"/>
        <v>23.752969</v>
      </c>
      <c r="R84" s="78">
        <f t="shared" si="37"/>
        <v>13.11889648</v>
      </c>
      <c r="S84" s="83">
        <f t="shared" si="28"/>
        <v>905.096834</v>
      </c>
      <c r="T84" s="84" t="s">
        <v>660</v>
      </c>
      <c r="U84" s="79">
        <v>1.0</v>
      </c>
      <c r="V84" s="83" t="str">
        <f t="shared" si="38"/>
        <v>#DIV/0!</v>
      </c>
      <c r="W84" s="83" t="str">
        <f t="shared" si="39"/>
        <v>#DIV/0!</v>
      </c>
    </row>
    <row r="85" ht="26.25" customHeight="1">
      <c r="A85" s="72"/>
      <c r="B85" s="73" t="s">
        <v>795</v>
      </c>
      <c r="C85" s="87" t="s">
        <v>814</v>
      </c>
      <c r="D85" s="75">
        <v>4812.0</v>
      </c>
      <c r="E85" s="75" t="s">
        <v>815</v>
      </c>
      <c r="F85" s="75" t="s">
        <v>816</v>
      </c>
      <c r="G85" s="77" t="s">
        <v>658</v>
      </c>
      <c r="H85" s="77">
        <f>(2*6794+10*(4038+4812))/10</f>
        <v>10208.8</v>
      </c>
      <c r="I85" s="91">
        <v>1.0</v>
      </c>
      <c r="J85" s="78"/>
      <c r="K85" s="79" t="str">
        <f t="shared" si="1"/>
        <v>#DIV/0!</v>
      </c>
      <c r="L85" s="80" t="s">
        <v>658</v>
      </c>
      <c r="M85" s="92">
        <v>10.0</v>
      </c>
      <c r="N85" s="92" t="s">
        <v>659</v>
      </c>
      <c r="O85" s="82">
        <v>90.023753</v>
      </c>
      <c r="P85" s="82">
        <v>49.049881</v>
      </c>
      <c r="Q85" s="82">
        <f t="shared" si="36"/>
        <v>40.973872</v>
      </c>
      <c r="R85" s="78">
        <f t="shared" si="37"/>
        <v>13.11889648</v>
      </c>
      <c r="S85" s="83">
        <f t="shared" si="28"/>
        <v>780.6460284</v>
      </c>
      <c r="T85" s="84" t="s">
        <v>739</v>
      </c>
      <c r="U85" s="79">
        <v>1.0</v>
      </c>
      <c r="V85" s="83" t="str">
        <f t="shared" si="38"/>
        <v>#DIV/0!</v>
      </c>
      <c r="W85" s="83" t="str">
        <f t="shared" si="39"/>
        <v>#DIV/0!</v>
      </c>
    </row>
    <row r="86" ht="26.25" customHeight="1">
      <c r="A86" s="73"/>
      <c r="B86" s="73" t="s">
        <v>795</v>
      </c>
      <c r="C86" s="87" t="s">
        <v>817</v>
      </c>
      <c r="D86" s="75">
        <v>6645.0</v>
      </c>
      <c r="E86" s="75" t="s">
        <v>818</v>
      </c>
      <c r="F86" s="75" t="s">
        <v>819</v>
      </c>
      <c r="G86" s="77" t="s">
        <v>658</v>
      </c>
      <c r="H86" s="77">
        <f>((6645+1683)*4+984*2)/4</f>
        <v>8820</v>
      </c>
      <c r="I86" s="77">
        <v>1.0</v>
      </c>
      <c r="J86" s="78"/>
      <c r="K86" s="79" t="str">
        <f t="shared" si="1"/>
        <v>#DIV/0!</v>
      </c>
      <c r="L86" s="80" t="s">
        <v>658</v>
      </c>
      <c r="M86" s="81">
        <v>4.0</v>
      </c>
      <c r="N86" s="92" t="s">
        <v>659</v>
      </c>
      <c r="O86" s="82">
        <v>86.698337</v>
      </c>
      <c r="P86" s="82">
        <v>72.565321</v>
      </c>
      <c r="Q86" s="82">
        <f t="shared" si="36"/>
        <v>14.133016</v>
      </c>
      <c r="R86" s="78">
        <f t="shared" si="37"/>
        <v>13.11889648</v>
      </c>
      <c r="S86" s="83">
        <f t="shared" si="28"/>
        <v>673.1657438</v>
      </c>
      <c r="T86" s="84" t="s">
        <v>739</v>
      </c>
      <c r="U86" s="79">
        <v>1.0</v>
      </c>
      <c r="V86" s="83" t="str">
        <f t="shared" si="38"/>
        <v>#DIV/0!</v>
      </c>
      <c r="W86" s="83" t="str">
        <f t="shared" si="39"/>
        <v>#DIV/0!</v>
      </c>
    </row>
    <row r="87" ht="26.25" customHeight="1">
      <c r="A87" s="72"/>
      <c r="B87" s="73" t="s">
        <v>795</v>
      </c>
      <c r="C87" s="87" t="s">
        <v>740</v>
      </c>
      <c r="D87" s="76">
        <v>2646.0</v>
      </c>
      <c r="E87" s="76" t="s">
        <v>820</v>
      </c>
      <c r="F87" s="76" t="s">
        <v>812</v>
      </c>
      <c r="G87" s="77" t="s">
        <v>658</v>
      </c>
      <c r="H87" s="77">
        <f>6200+2646</f>
        <v>8846</v>
      </c>
      <c r="I87" s="77">
        <v>1.0</v>
      </c>
      <c r="J87" s="78"/>
      <c r="K87" s="79" t="str">
        <f t="shared" si="1"/>
        <v>#DIV/0!</v>
      </c>
      <c r="L87" s="80" t="s">
        <v>658</v>
      </c>
      <c r="M87" s="92">
        <v>6.0</v>
      </c>
      <c r="N87" s="92" t="s">
        <v>659</v>
      </c>
      <c r="O87" s="82">
        <v>90.023753</v>
      </c>
      <c r="P87" s="94">
        <v>68.764846</v>
      </c>
      <c r="Q87" s="82">
        <f t="shared" si="36"/>
        <v>21.258907</v>
      </c>
      <c r="R87" s="78">
        <f t="shared" si="37"/>
        <v>13.11889648</v>
      </c>
      <c r="S87" s="83">
        <f t="shared" si="28"/>
        <v>675.0513806</v>
      </c>
      <c r="T87" s="84" t="s">
        <v>660</v>
      </c>
      <c r="U87" s="79">
        <v>1.0</v>
      </c>
      <c r="V87" s="83" t="str">
        <f t="shared" si="38"/>
        <v>#DIV/0!</v>
      </c>
      <c r="W87" s="83" t="str">
        <f t="shared" si="39"/>
        <v>#DIV/0!</v>
      </c>
    </row>
    <row r="88" ht="26.25" customHeight="1">
      <c r="A88" s="72"/>
      <c r="B88" s="73" t="s">
        <v>795</v>
      </c>
      <c r="C88" s="87" t="s">
        <v>740</v>
      </c>
      <c r="D88" s="76">
        <v>2646.0</v>
      </c>
      <c r="E88" s="76" t="s">
        <v>821</v>
      </c>
      <c r="F88" s="76" t="s">
        <v>371</v>
      </c>
      <c r="G88" s="77" t="s">
        <v>658</v>
      </c>
      <c r="H88" s="77">
        <f>6392+2646</f>
        <v>9038</v>
      </c>
      <c r="I88" s="77">
        <v>1.0</v>
      </c>
      <c r="J88" s="78"/>
      <c r="K88" s="79" t="str">
        <f t="shared" si="1"/>
        <v>#DIV/0!</v>
      </c>
      <c r="L88" s="80" t="s">
        <v>658</v>
      </c>
      <c r="M88" s="92">
        <v>6.0</v>
      </c>
      <c r="N88" s="92" t="s">
        <v>659</v>
      </c>
      <c r="O88" s="82">
        <v>90.023753</v>
      </c>
      <c r="P88" s="94">
        <v>68.289786</v>
      </c>
      <c r="Q88" s="82">
        <f t="shared" si="36"/>
        <v>21.733967</v>
      </c>
      <c r="R88" s="78">
        <f t="shared" si="37"/>
        <v>13.11889648</v>
      </c>
      <c r="S88" s="83">
        <f t="shared" si="28"/>
        <v>690.1363475</v>
      </c>
      <c r="T88" s="84" t="s">
        <v>660</v>
      </c>
      <c r="U88" s="79">
        <v>1.0</v>
      </c>
      <c r="V88" s="83" t="str">
        <f t="shared" si="38"/>
        <v>#DIV/0!</v>
      </c>
      <c r="W88" s="83" t="str">
        <f t="shared" si="39"/>
        <v>#DIV/0!</v>
      </c>
    </row>
    <row r="89" ht="26.25" customHeight="1">
      <c r="A89" s="72"/>
      <c r="B89" s="73" t="s">
        <v>795</v>
      </c>
      <c r="C89" s="87" t="s">
        <v>822</v>
      </c>
      <c r="D89" s="76">
        <v>8439.0</v>
      </c>
      <c r="E89" s="76" t="s">
        <v>823</v>
      </c>
      <c r="F89" s="76" t="s">
        <v>812</v>
      </c>
      <c r="G89" s="77" t="s">
        <v>658</v>
      </c>
      <c r="H89" s="77">
        <f>8439+3638</f>
        <v>12077</v>
      </c>
      <c r="I89" s="77">
        <v>1.0</v>
      </c>
      <c r="J89" s="78"/>
      <c r="K89" s="79" t="str">
        <f t="shared" si="1"/>
        <v>#DIV/0!</v>
      </c>
      <c r="L89" s="80" t="s">
        <v>658</v>
      </c>
      <c r="M89" s="92">
        <v>5.0</v>
      </c>
      <c r="N89" s="92" t="s">
        <v>659</v>
      </c>
      <c r="O89" s="82">
        <v>90.023753</v>
      </c>
      <c r="P89" s="94">
        <v>65.795724</v>
      </c>
      <c r="Q89" s="82">
        <f t="shared" si="36"/>
        <v>24.228029</v>
      </c>
      <c r="R89" s="78">
        <f t="shared" si="37"/>
        <v>13.11889648</v>
      </c>
      <c r="S89" s="83">
        <f t="shared" si="28"/>
        <v>923.1987943</v>
      </c>
      <c r="T89" s="84" t="s">
        <v>660</v>
      </c>
      <c r="U89" s="79">
        <v>1.0</v>
      </c>
      <c r="V89" s="83" t="str">
        <f t="shared" si="38"/>
        <v>#DIV/0!</v>
      </c>
      <c r="W89" s="83" t="str">
        <f t="shared" si="39"/>
        <v>#DIV/0!</v>
      </c>
    </row>
    <row r="90" ht="26.25" customHeight="1">
      <c r="A90" s="72"/>
      <c r="B90" s="73" t="s">
        <v>795</v>
      </c>
      <c r="C90" s="87" t="s">
        <v>822</v>
      </c>
      <c r="D90" s="76">
        <v>8266.0</v>
      </c>
      <c r="E90" s="76" t="s">
        <v>824</v>
      </c>
      <c r="F90" s="76" t="s">
        <v>371</v>
      </c>
      <c r="G90" s="77" t="s">
        <v>658</v>
      </c>
      <c r="H90" s="77">
        <f>8266+3781</f>
        <v>12047</v>
      </c>
      <c r="I90" s="77">
        <v>1.0</v>
      </c>
      <c r="J90" s="78"/>
      <c r="K90" s="79" t="str">
        <f t="shared" si="1"/>
        <v>#DIV/0!</v>
      </c>
      <c r="L90" s="80" t="s">
        <v>658</v>
      </c>
      <c r="M90" s="92">
        <v>4.0</v>
      </c>
      <c r="N90" s="92" t="s">
        <v>659</v>
      </c>
      <c r="O90" s="82">
        <v>90.023753</v>
      </c>
      <c r="P90" s="94">
        <v>70.665083</v>
      </c>
      <c r="Q90" s="82">
        <f t="shared" si="36"/>
        <v>19.35867</v>
      </c>
      <c r="R90" s="78">
        <f t="shared" si="37"/>
        <v>13.11889648</v>
      </c>
      <c r="S90" s="83">
        <f t="shared" si="28"/>
        <v>922.0674122</v>
      </c>
      <c r="T90" s="84" t="s">
        <v>660</v>
      </c>
      <c r="U90" s="79">
        <v>1.0</v>
      </c>
      <c r="V90" s="83" t="str">
        <f t="shared" si="38"/>
        <v>#DIV/0!</v>
      </c>
      <c r="W90" s="83" t="str">
        <f t="shared" si="39"/>
        <v>#DIV/0!</v>
      </c>
    </row>
    <row r="91" ht="26.25" customHeight="1">
      <c r="A91" s="72"/>
      <c r="B91" s="73" t="s">
        <v>795</v>
      </c>
      <c r="C91" s="87" t="s">
        <v>489</v>
      </c>
      <c r="D91" s="75">
        <v>21494.0</v>
      </c>
      <c r="E91" s="75" t="s">
        <v>825</v>
      </c>
      <c r="F91" s="76"/>
      <c r="G91" s="77" t="s">
        <v>658</v>
      </c>
      <c r="H91" s="77">
        <f>21494+7827</f>
        <v>29321</v>
      </c>
      <c r="I91" s="77">
        <v>1.0</v>
      </c>
      <c r="J91" s="78"/>
      <c r="K91" s="79" t="str">
        <f t="shared" si="1"/>
        <v>#DIV/0!</v>
      </c>
      <c r="L91" s="80" t="s">
        <v>658</v>
      </c>
      <c r="M91" s="81">
        <v>3.0</v>
      </c>
      <c r="N91" s="92" t="s">
        <v>659</v>
      </c>
      <c r="O91" s="82">
        <v>90.023753</v>
      </c>
      <c r="P91" s="82">
        <v>54.750954</v>
      </c>
      <c r="Q91" s="82">
        <f t="shared" si="36"/>
        <v>35.272799</v>
      </c>
      <c r="R91" s="78">
        <f t="shared" si="37"/>
        <v>13.11889648</v>
      </c>
      <c r="S91" s="83">
        <f t="shared" si="28"/>
        <v>2240.091804</v>
      </c>
      <c r="T91" s="84" t="s">
        <v>826</v>
      </c>
      <c r="U91" s="79">
        <v>1.0</v>
      </c>
      <c r="V91" s="83" t="str">
        <f t="shared" si="38"/>
        <v>#DIV/0!</v>
      </c>
      <c r="W91" s="83" t="str">
        <f t="shared" si="39"/>
        <v>#DIV/0!</v>
      </c>
    </row>
    <row r="92" ht="26.25" customHeight="1">
      <c r="A92" s="73"/>
      <c r="B92" s="73" t="s">
        <v>795</v>
      </c>
      <c r="C92" s="87" t="s">
        <v>692</v>
      </c>
      <c r="D92" s="75">
        <v>6115.0</v>
      </c>
      <c r="E92" s="75" t="s">
        <v>827</v>
      </c>
      <c r="F92" s="75"/>
      <c r="G92" s="77" t="s">
        <v>658</v>
      </c>
      <c r="H92" s="77">
        <f>6115+2781</f>
        <v>8896</v>
      </c>
      <c r="I92" s="77">
        <v>1.0</v>
      </c>
      <c r="J92" s="78"/>
      <c r="K92" s="79" t="str">
        <f t="shared" si="1"/>
        <v>#DIV/0!</v>
      </c>
      <c r="L92" s="80" t="s">
        <v>658</v>
      </c>
      <c r="M92" s="92">
        <v>8.0</v>
      </c>
      <c r="N92" s="92" t="s">
        <v>659</v>
      </c>
      <c r="O92" s="82">
        <v>90.023753</v>
      </c>
      <c r="P92" s="94">
        <v>61.52019</v>
      </c>
      <c r="Q92" s="82">
        <f t="shared" si="36"/>
        <v>28.503563</v>
      </c>
      <c r="R92" s="78">
        <f t="shared" si="37"/>
        <v>13.11889648</v>
      </c>
      <c r="S92" s="83">
        <f t="shared" si="28"/>
        <v>678.8226303</v>
      </c>
      <c r="T92" s="84" t="s">
        <v>660</v>
      </c>
      <c r="U92" s="79">
        <v>1.0</v>
      </c>
      <c r="V92" s="83" t="str">
        <f t="shared" si="38"/>
        <v>#DIV/0!</v>
      </c>
      <c r="W92" s="83" t="str">
        <f t="shared" si="39"/>
        <v>#DIV/0!</v>
      </c>
    </row>
    <row r="93" ht="26.25" customHeight="1">
      <c r="A93" s="73"/>
      <c r="B93" s="73" t="s">
        <v>795</v>
      </c>
      <c r="C93" s="87" t="s">
        <v>692</v>
      </c>
      <c r="D93" s="75">
        <v>6115.0</v>
      </c>
      <c r="E93" s="75" t="s">
        <v>829</v>
      </c>
      <c r="F93" s="76" t="s">
        <v>371</v>
      </c>
      <c r="G93" s="77" t="s">
        <v>658</v>
      </c>
      <c r="H93" s="77">
        <f>6115+3128</f>
        <v>9243</v>
      </c>
      <c r="I93" s="77">
        <v>1.0</v>
      </c>
      <c r="J93" s="78"/>
      <c r="K93" s="79" t="str">
        <f t="shared" si="1"/>
        <v>#DIV/0!</v>
      </c>
      <c r="L93" s="80" t="s">
        <v>658</v>
      </c>
      <c r="M93" s="81">
        <v>8.0</v>
      </c>
      <c r="N93" s="92" t="s">
        <v>659</v>
      </c>
      <c r="O93" s="82">
        <v>90.023753</v>
      </c>
      <c r="P93" s="82">
        <v>60.332542</v>
      </c>
      <c r="Q93" s="82">
        <f t="shared" si="36"/>
        <v>29.691211</v>
      </c>
      <c r="R93" s="78">
        <f t="shared" si="37"/>
        <v>13.11889648</v>
      </c>
      <c r="S93" s="83">
        <f t="shared" si="28"/>
        <v>707.1068956</v>
      </c>
      <c r="T93" s="84" t="s">
        <v>660</v>
      </c>
      <c r="U93" s="79">
        <v>1.0</v>
      </c>
      <c r="V93" s="83" t="str">
        <f t="shared" si="38"/>
        <v>#DIV/0!</v>
      </c>
      <c r="W93" s="83" t="str">
        <f t="shared" si="39"/>
        <v>#DIV/0!</v>
      </c>
    </row>
    <row r="94" ht="26.25" customHeight="1">
      <c r="A94" s="72"/>
      <c r="B94" s="73" t="s">
        <v>795</v>
      </c>
      <c r="C94" s="87" t="s">
        <v>830</v>
      </c>
      <c r="D94" s="75">
        <v>7808.0</v>
      </c>
      <c r="E94" s="75" t="s">
        <v>831</v>
      </c>
      <c r="F94" s="75" t="s">
        <v>832</v>
      </c>
      <c r="G94" s="77" t="s">
        <v>658</v>
      </c>
      <c r="H94" s="77">
        <f>7808+2592</f>
        <v>10400</v>
      </c>
      <c r="I94" s="77">
        <v>1.0</v>
      </c>
      <c r="J94" s="78"/>
      <c r="K94" s="79" t="str">
        <f t="shared" si="1"/>
        <v>#DIV/0!</v>
      </c>
      <c r="L94" s="80" t="s">
        <v>658</v>
      </c>
      <c r="M94" s="81">
        <v>5.0</v>
      </c>
      <c r="N94" s="92" t="s">
        <v>659</v>
      </c>
      <c r="O94" s="82">
        <v>90.023753</v>
      </c>
      <c r="P94" s="82">
        <v>69.12114</v>
      </c>
      <c r="Q94" s="82">
        <f t="shared" si="36"/>
        <v>20.902613</v>
      </c>
      <c r="R94" s="78">
        <f t="shared" si="37"/>
        <v>13.11889648</v>
      </c>
      <c r="S94" s="83">
        <f t="shared" si="28"/>
        <v>796.4852246</v>
      </c>
      <c r="T94" s="84" t="s">
        <v>739</v>
      </c>
      <c r="U94" s="79">
        <v>1.0</v>
      </c>
      <c r="V94" s="83" t="str">
        <f t="shared" si="38"/>
        <v>#DIV/0!</v>
      </c>
      <c r="W94" s="83" t="str">
        <f t="shared" si="39"/>
        <v>#DIV/0!</v>
      </c>
    </row>
    <row r="95" ht="26.25" customHeight="1">
      <c r="A95" s="72"/>
      <c r="B95" s="73" t="s">
        <v>795</v>
      </c>
      <c r="C95" s="87" t="s">
        <v>830</v>
      </c>
      <c r="D95" s="93">
        <v>265.0</v>
      </c>
      <c r="E95" s="75"/>
      <c r="F95" s="76" t="s">
        <v>833</v>
      </c>
      <c r="G95" s="77" t="s">
        <v>834</v>
      </c>
      <c r="H95" s="77">
        <v>7975.0</v>
      </c>
      <c r="I95" s="77">
        <v>5.0</v>
      </c>
      <c r="J95" s="78"/>
      <c r="K95" s="79" t="str">
        <f t="shared" si="1"/>
        <v>#DIV/0!</v>
      </c>
      <c r="L95" s="80" t="s">
        <v>834</v>
      </c>
      <c r="M95" s="81">
        <v>5.0</v>
      </c>
      <c r="N95" s="83" t="s">
        <v>659</v>
      </c>
      <c r="O95" s="82">
        <v>100.0</v>
      </c>
      <c r="P95" s="82">
        <v>95.249406</v>
      </c>
      <c r="Q95" s="82">
        <f t="shared" si="36"/>
        <v>4.750594</v>
      </c>
      <c r="R95" s="78">
        <f>1.25*1.22</f>
        <v>1.525</v>
      </c>
      <c r="S95" s="83" t="s">
        <v>1247</v>
      </c>
      <c r="T95" s="84" t="s">
        <v>705</v>
      </c>
      <c r="U95" s="79">
        <v>1.0</v>
      </c>
      <c r="V95" s="83" t="str">
        <f t="shared" si="38"/>
        <v>#DIV/0!</v>
      </c>
      <c r="W95" s="83" t="str">
        <f t="shared" si="39"/>
        <v>#DIV/0!</v>
      </c>
    </row>
    <row r="96" ht="26.25" customHeight="1">
      <c r="A96" s="72"/>
      <c r="B96" s="73" t="s">
        <v>795</v>
      </c>
      <c r="C96" s="74" t="s">
        <v>835</v>
      </c>
      <c r="D96" s="75">
        <v>10317.0</v>
      </c>
      <c r="E96" s="75" t="s">
        <v>836</v>
      </c>
      <c r="F96" s="76" t="s">
        <v>837</v>
      </c>
      <c r="G96" s="77" t="s">
        <v>658</v>
      </c>
      <c r="H96" s="77">
        <f>10317+596</f>
        <v>10913</v>
      </c>
      <c r="I96" s="77">
        <v>1.0</v>
      </c>
      <c r="J96" s="78"/>
      <c r="K96" s="79" t="str">
        <f t="shared" si="1"/>
        <v>#DIV/0!</v>
      </c>
      <c r="L96" s="80" t="s">
        <v>658</v>
      </c>
      <c r="M96" s="81">
        <v>4.0</v>
      </c>
      <c r="N96" s="92" t="s">
        <v>659</v>
      </c>
      <c r="O96" s="82">
        <v>90.023753</v>
      </c>
      <c r="P96" s="82">
        <v>72.446556</v>
      </c>
      <c r="Q96" s="82">
        <f t="shared" si="36"/>
        <v>17.577197</v>
      </c>
      <c r="R96" s="78">
        <f t="shared" ref="R96:R99" si="40">IFS(L96="S",21494/2048*1.25)</f>
        <v>13.11889648</v>
      </c>
      <c r="S96" s="83">
        <f t="shared" ref="S96:S99" si="41">IFS(N96="B",Q96/M96/100*249945/R96
*U96,N96="C",Q96/M96/100*249945/R96
)</f>
        <v>837.2145686</v>
      </c>
      <c r="T96" s="84" t="s">
        <v>739</v>
      </c>
      <c r="U96" s="79">
        <v>1.0</v>
      </c>
      <c r="V96" s="83" t="str">
        <f t="shared" si="38"/>
        <v>#DIV/0!</v>
      </c>
      <c r="W96" s="83" t="str">
        <f t="shared" si="39"/>
        <v>#DIV/0!</v>
      </c>
    </row>
    <row r="97" ht="26.25" customHeight="1">
      <c r="A97" s="72"/>
      <c r="B97" s="73" t="s">
        <v>795</v>
      </c>
      <c r="C97" s="87" t="s">
        <v>838</v>
      </c>
      <c r="D97" s="75">
        <v>6786.0</v>
      </c>
      <c r="E97" s="75" t="s">
        <v>839</v>
      </c>
      <c r="F97" s="76" t="s">
        <v>840</v>
      </c>
      <c r="G97" s="77" t="s">
        <v>658</v>
      </c>
      <c r="H97" s="77">
        <f>6786*6+2036*6+1755*6+71*8</f>
        <v>64030</v>
      </c>
      <c r="I97" s="77">
        <v>6.0</v>
      </c>
      <c r="J97" s="78"/>
      <c r="K97" s="79" t="str">
        <f t="shared" si="1"/>
        <v>#DIV/0!</v>
      </c>
      <c r="L97" s="80" t="s">
        <v>658</v>
      </c>
      <c r="M97" s="81">
        <v>6.0</v>
      </c>
      <c r="N97" s="92" t="s">
        <v>659</v>
      </c>
      <c r="O97" s="82">
        <v>90.023753</v>
      </c>
      <c r="P97" s="82">
        <v>64.370546</v>
      </c>
      <c r="Q97" s="82">
        <f t="shared" si="36"/>
        <v>25.653207</v>
      </c>
      <c r="R97" s="78">
        <f t="shared" si="40"/>
        <v>13.11889648</v>
      </c>
      <c r="S97" s="83">
        <f t="shared" si="41"/>
        <v>814.5871658</v>
      </c>
      <c r="T97" s="84" t="s">
        <v>739</v>
      </c>
      <c r="U97" s="79">
        <v>1.0</v>
      </c>
      <c r="V97" s="83" t="str">
        <f t="shared" si="38"/>
        <v>#DIV/0!</v>
      </c>
      <c r="W97" s="83" t="str">
        <f t="shared" si="39"/>
        <v>#DIV/0!</v>
      </c>
    </row>
    <row r="98" ht="26.25" customHeight="1">
      <c r="A98" s="72"/>
      <c r="B98" s="73" t="s">
        <v>795</v>
      </c>
      <c r="C98" s="87" t="s">
        <v>841</v>
      </c>
      <c r="D98" s="76">
        <v>6624.0</v>
      </c>
      <c r="E98" s="88"/>
      <c r="F98" s="88"/>
      <c r="G98" s="77" t="s">
        <v>658</v>
      </c>
      <c r="H98" s="77">
        <v>6624.0</v>
      </c>
      <c r="I98" s="77">
        <v>1.0</v>
      </c>
      <c r="J98" s="78"/>
      <c r="K98" s="79" t="str">
        <f t="shared" si="1"/>
        <v>#DIV/0!</v>
      </c>
      <c r="L98" s="80" t="s">
        <v>658</v>
      </c>
      <c r="M98" s="92">
        <v>8.0</v>
      </c>
      <c r="N98" s="92" t="s">
        <v>659</v>
      </c>
      <c r="O98" s="82">
        <v>90.023753</v>
      </c>
      <c r="P98" s="94">
        <v>68.764846</v>
      </c>
      <c r="Q98" s="82">
        <f t="shared" si="36"/>
        <v>21.258907</v>
      </c>
      <c r="R98" s="78">
        <f t="shared" si="40"/>
        <v>13.11889648</v>
      </c>
      <c r="S98" s="83">
        <f t="shared" si="41"/>
        <v>506.2885354</v>
      </c>
      <c r="T98" s="84" t="s">
        <v>660</v>
      </c>
      <c r="U98" s="79">
        <v>1.0</v>
      </c>
      <c r="V98" s="83" t="str">
        <f t="shared" si="38"/>
        <v>#DIV/0!</v>
      </c>
      <c r="W98" s="83" t="str">
        <f t="shared" si="39"/>
        <v>#DIV/0!</v>
      </c>
    </row>
    <row r="99" ht="26.25" customHeight="1">
      <c r="A99" s="72"/>
      <c r="B99" s="73" t="s">
        <v>795</v>
      </c>
      <c r="C99" s="87" t="s">
        <v>527</v>
      </c>
      <c r="D99" s="75">
        <v>1699.0</v>
      </c>
      <c r="E99" s="75" t="s">
        <v>842</v>
      </c>
      <c r="F99" s="76" t="s">
        <v>837</v>
      </c>
      <c r="G99" s="77" t="s">
        <v>658</v>
      </c>
      <c r="H99" s="77">
        <f>511+1699*17</f>
        <v>29394</v>
      </c>
      <c r="I99" s="77">
        <v>1.0</v>
      </c>
      <c r="J99" s="78"/>
      <c r="K99" s="79" t="str">
        <f t="shared" si="1"/>
        <v>#DIV/0!</v>
      </c>
      <c r="L99" s="80" t="s">
        <v>658</v>
      </c>
      <c r="M99" s="81">
        <v>1.0</v>
      </c>
      <c r="N99" s="92" t="s">
        <v>659</v>
      </c>
      <c r="O99" s="82">
        <v>90.023753</v>
      </c>
      <c r="P99" s="82">
        <v>78.147268</v>
      </c>
      <c r="Q99" s="82">
        <f t="shared" si="36"/>
        <v>11.876485</v>
      </c>
      <c r="R99" s="78">
        <f t="shared" si="40"/>
        <v>13.11889648</v>
      </c>
      <c r="S99" s="83">
        <f t="shared" si="41"/>
        <v>2262.74218</v>
      </c>
      <c r="T99" s="84" t="s">
        <v>739</v>
      </c>
      <c r="U99" s="79">
        <v>1.0</v>
      </c>
      <c r="V99" s="83" t="str">
        <f t="shared" si="38"/>
        <v>#DIV/0!</v>
      </c>
      <c r="W99" s="83" t="str">
        <f t="shared" si="39"/>
        <v>#DIV/0!</v>
      </c>
    </row>
    <row r="100" ht="26.25" customHeight="1">
      <c r="A100" s="72"/>
      <c r="B100" s="73" t="s">
        <v>795</v>
      </c>
      <c r="C100" s="87" t="s">
        <v>527</v>
      </c>
      <c r="D100" s="93">
        <v>395.0</v>
      </c>
      <c r="E100" s="93" t="s">
        <v>843</v>
      </c>
      <c r="F100" s="76" t="s">
        <v>844</v>
      </c>
      <c r="G100" s="77" t="s">
        <v>689</v>
      </c>
      <c r="H100" s="77">
        <v>10012.0</v>
      </c>
      <c r="I100" s="91">
        <v>3.0</v>
      </c>
      <c r="J100" s="78"/>
      <c r="K100" s="79" t="str">
        <f t="shared" si="1"/>
        <v>#DIV/0!</v>
      </c>
      <c r="L100" s="80" t="s">
        <v>704</v>
      </c>
      <c r="M100" s="81">
        <v>3.0</v>
      </c>
      <c r="N100" s="92" t="s">
        <v>659</v>
      </c>
      <c r="O100" s="82">
        <v>99.64497</v>
      </c>
      <c r="P100" s="82">
        <v>96.923077</v>
      </c>
      <c r="Q100" s="82">
        <f t="shared" si="36"/>
        <v>2.721893</v>
      </c>
      <c r="R100" s="78">
        <f>1.25*1.22</f>
        <v>1.525</v>
      </c>
      <c r="S100" s="83" t="s">
        <v>1247</v>
      </c>
      <c r="T100" s="84" t="s">
        <v>705</v>
      </c>
      <c r="U100" s="79">
        <v>1.0</v>
      </c>
      <c r="V100" s="83" t="str">
        <f t="shared" si="38"/>
        <v>#DIV/0!</v>
      </c>
      <c r="W100" s="83" t="str">
        <f t="shared" si="39"/>
        <v>#DIV/0!</v>
      </c>
    </row>
    <row r="101" ht="26.25" customHeight="1">
      <c r="A101" s="72"/>
      <c r="B101" s="73" t="s">
        <v>845</v>
      </c>
      <c r="C101" s="87" t="s">
        <v>846</v>
      </c>
      <c r="D101" s="75">
        <v>1383.0</v>
      </c>
      <c r="E101" s="75" t="s">
        <v>847</v>
      </c>
      <c r="F101" s="76"/>
      <c r="G101" s="77" t="s">
        <v>658</v>
      </c>
      <c r="H101" s="77">
        <v>1383.0</v>
      </c>
      <c r="I101" s="77">
        <v>1.0</v>
      </c>
      <c r="J101" s="78"/>
      <c r="K101" s="79" t="str">
        <f t="shared" si="1"/>
        <v>#DIV/0!</v>
      </c>
      <c r="L101" s="80" t="s">
        <v>658</v>
      </c>
      <c r="M101" s="81">
        <v>12.0</v>
      </c>
      <c r="N101" s="92" t="s">
        <v>659</v>
      </c>
      <c r="O101" s="82">
        <v>90.023753</v>
      </c>
      <c r="P101" s="82">
        <v>86.342043</v>
      </c>
      <c r="Q101" s="82">
        <f t="shared" si="36"/>
        <v>3.68171</v>
      </c>
      <c r="R101" s="78">
        <f t="shared" ref="R101:R103" si="42">IFS(L101="S",21494/2048*1.25)</f>
        <v>13.11889648</v>
      </c>
      <c r="S101" s="83">
        <f t="shared" ref="S101:S103" si="43">IFS(N101="B",Q101/M101/100*249945/R101
*U101,N101="C",Q101/M101/100*249945/R101
)</f>
        <v>104.8535844</v>
      </c>
      <c r="T101" s="84" t="s">
        <v>739</v>
      </c>
      <c r="U101" s="83">
        <f t="shared" ref="U101:U102" si="44">1383/771</f>
        <v>1.793774319</v>
      </c>
      <c r="V101" s="83" t="str">
        <f t="shared" si="38"/>
        <v>#DIV/0!</v>
      </c>
      <c r="W101" s="83" t="str">
        <f t="shared" si="39"/>
        <v>#DIV/0!</v>
      </c>
    </row>
    <row r="102" ht="26.25" customHeight="1">
      <c r="A102" s="72"/>
      <c r="B102" s="73" t="s">
        <v>845</v>
      </c>
      <c r="C102" s="87" t="s">
        <v>656</v>
      </c>
      <c r="D102" s="76">
        <v>1383.0</v>
      </c>
      <c r="E102" s="76" t="s">
        <v>848</v>
      </c>
      <c r="F102" s="76"/>
      <c r="G102" s="77" t="s">
        <v>658</v>
      </c>
      <c r="H102" s="77">
        <v>1383.0</v>
      </c>
      <c r="I102" s="77">
        <v>1.0</v>
      </c>
      <c r="J102" s="78"/>
      <c r="K102" s="79" t="str">
        <f t="shared" si="1"/>
        <v>#DIV/0!</v>
      </c>
      <c r="L102" s="80" t="s">
        <v>658</v>
      </c>
      <c r="M102" s="92">
        <v>13.0</v>
      </c>
      <c r="N102" s="92" t="s">
        <v>659</v>
      </c>
      <c r="O102" s="82">
        <v>90.023753</v>
      </c>
      <c r="P102" s="94">
        <v>85.985748</v>
      </c>
      <c r="Q102" s="82">
        <f t="shared" si="36"/>
        <v>4.038005</v>
      </c>
      <c r="R102" s="78">
        <f t="shared" si="42"/>
        <v>13.11889648</v>
      </c>
      <c r="S102" s="83">
        <f t="shared" si="43"/>
        <v>106.1545101</v>
      </c>
      <c r="T102" s="84" t="s">
        <v>660</v>
      </c>
      <c r="U102" s="83">
        <f t="shared" si="44"/>
        <v>1.793774319</v>
      </c>
      <c r="V102" s="83" t="str">
        <f t="shared" si="38"/>
        <v>#DIV/0!</v>
      </c>
      <c r="W102" s="83" t="str">
        <f t="shared" si="39"/>
        <v>#DIV/0!</v>
      </c>
    </row>
    <row r="103" ht="26.25" customHeight="1">
      <c r="A103" s="72"/>
      <c r="B103" s="73" t="s">
        <v>845</v>
      </c>
      <c r="C103" s="87" t="s">
        <v>758</v>
      </c>
      <c r="D103" s="76">
        <v>1572.0</v>
      </c>
      <c r="E103" s="76" t="s">
        <v>849</v>
      </c>
      <c r="F103" s="76"/>
      <c r="G103" s="77" t="s">
        <v>658</v>
      </c>
      <c r="H103" s="77">
        <v>1572.0</v>
      </c>
      <c r="I103" s="77">
        <v>1.0</v>
      </c>
      <c r="J103" s="78"/>
      <c r="K103" s="79" t="str">
        <f t="shared" si="1"/>
        <v>#DIV/0!</v>
      </c>
      <c r="L103" s="80" t="s">
        <v>658</v>
      </c>
      <c r="M103" s="92">
        <v>10.0</v>
      </c>
      <c r="N103" s="92" t="s">
        <v>659</v>
      </c>
      <c r="O103" s="82">
        <v>90.023753</v>
      </c>
      <c r="P103" s="94">
        <v>86.698337</v>
      </c>
      <c r="Q103" s="82">
        <f t="shared" si="36"/>
        <v>3.325416</v>
      </c>
      <c r="R103" s="78">
        <f t="shared" si="42"/>
        <v>13.11889648</v>
      </c>
      <c r="S103" s="83">
        <f t="shared" si="43"/>
        <v>117.310796</v>
      </c>
      <c r="T103" s="84" t="s">
        <v>660</v>
      </c>
      <c r="U103" s="83">
        <f>1572/849</f>
        <v>1.851590106</v>
      </c>
      <c r="V103" s="83" t="str">
        <f t="shared" si="38"/>
        <v>#DIV/0!</v>
      </c>
      <c r="W103" s="83" t="str">
        <f t="shared" si="39"/>
        <v>#DIV/0!</v>
      </c>
    </row>
    <row r="104" ht="26.25" customHeight="1">
      <c r="A104" s="72"/>
      <c r="B104" s="73" t="s">
        <v>845</v>
      </c>
      <c r="C104" s="87" t="s">
        <v>850</v>
      </c>
      <c r="D104" s="76"/>
      <c r="E104" s="76"/>
      <c r="F104" s="76" t="s">
        <v>854</v>
      </c>
      <c r="G104" s="77" t="s">
        <v>704</v>
      </c>
      <c r="H104" s="77">
        <f>7552*1.5</f>
        <v>11328</v>
      </c>
      <c r="I104" s="77">
        <v>1.0</v>
      </c>
      <c r="J104" s="78"/>
      <c r="K104" s="79" t="str">
        <f t="shared" si="1"/>
        <v>#DIV/0!</v>
      </c>
      <c r="L104" s="89" t="s">
        <v>303</v>
      </c>
      <c r="M104" s="85" t="s">
        <v>303</v>
      </c>
      <c r="N104" s="85" t="s">
        <v>303</v>
      </c>
      <c r="O104" s="82" t="s">
        <v>303</v>
      </c>
      <c r="P104" s="82" t="s">
        <v>303</v>
      </c>
      <c r="Q104" s="82" t="s">
        <v>303</v>
      </c>
      <c r="R104" s="78" t="s">
        <v>303</v>
      </c>
      <c r="S104" s="83" t="s">
        <v>1247</v>
      </c>
      <c r="T104" s="84" t="s">
        <v>705</v>
      </c>
      <c r="U104" s="83">
        <f t="shared" ref="U104:U106" si="45">578/312</f>
        <v>1.852564103</v>
      </c>
      <c r="V104" s="83">
        <f>40828/42418</f>
        <v>0.9625159131</v>
      </c>
      <c r="W104" s="83">
        <f>(40828-42418)/(1500000/845)</f>
        <v>-0.8957</v>
      </c>
    </row>
    <row r="105" ht="26.25" customHeight="1">
      <c r="A105" s="72"/>
      <c r="B105" s="73" t="s">
        <v>845</v>
      </c>
      <c r="C105" s="87" t="s">
        <v>850</v>
      </c>
      <c r="D105" s="75">
        <v>578.0</v>
      </c>
      <c r="E105" s="75" t="s">
        <v>851</v>
      </c>
      <c r="F105" s="76" t="s">
        <v>852</v>
      </c>
      <c r="G105" s="77" t="s">
        <v>658</v>
      </c>
      <c r="H105" s="77">
        <f>578*3</f>
        <v>1734</v>
      </c>
      <c r="I105" s="77">
        <v>1.0</v>
      </c>
      <c r="J105" s="78"/>
      <c r="K105" s="79" t="str">
        <f t="shared" si="1"/>
        <v>#DIV/0!</v>
      </c>
      <c r="L105" s="80" t="s">
        <v>658</v>
      </c>
      <c r="M105" s="81">
        <v>8.0</v>
      </c>
      <c r="N105" s="92" t="s">
        <v>659</v>
      </c>
      <c r="O105" s="82">
        <v>90.023753</v>
      </c>
      <c r="P105" s="82">
        <v>87.054632</v>
      </c>
      <c r="Q105" s="82">
        <f t="shared" ref="Q105:Q108" si="46">O105-P105</f>
        <v>2.969121</v>
      </c>
      <c r="R105" s="78">
        <f>IFS(L105="S",21494/2048*1.25)</f>
        <v>13.11889648</v>
      </c>
      <c r="S105" s="83">
        <f>IFS(N105="B",Q105/M105/100*249945/R105
*U105,N105="C",Q105/M105/100*249945/R105
)</f>
        <v>130.9960807</v>
      </c>
      <c r="T105" s="84" t="s">
        <v>739</v>
      </c>
      <c r="U105" s="83">
        <f t="shared" si="45"/>
        <v>1.852564103</v>
      </c>
      <c r="V105" s="83" t="str">
        <f t="shared" ref="V105:V108" si="47">S105/K105</f>
        <v>#DIV/0!</v>
      </c>
      <c r="W105" s="83" t="str">
        <f>(S105-K105)*M105*#REF!*#REF!*J105/(249945/845)</f>
        <v>#DIV/0!</v>
      </c>
    </row>
    <row r="106" ht="26.25" customHeight="1">
      <c r="A106" s="72"/>
      <c r="B106" s="73" t="s">
        <v>845</v>
      </c>
      <c r="C106" s="87" t="s">
        <v>850</v>
      </c>
      <c r="D106" s="76"/>
      <c r="E106" s="76"/>
      <c r="F106" s="76" t="s">
        <v>853</v>
      </c>
      <c r="G106" s="77" t="s">
        <v>704</v>
      </c>
      <c r="H106" s="77">
        <f>4801*1.5</f>
        <v>7201.5</v>
      </c>
      <c r="I106" s="77">
        <v>1.0</v>
      </c>
      <c r="J106" s="78"/>
      <c r="K106" s="79" t="str">
        <f t="shared" si="1"/>
        <v>#DIV/0!</v>
      </c>
      <c r="L106" s="80" t="s">
        <v>704</v>
      </c>
      <c r="M106" s="81">
        <v>1.0</v>
      </c>
      <c r="N106" s="81" t="s">
        <v>689</v>
      </c>
      <c r="O106" s="82">
        <v>99.526627</v>
      </c>
      <c r="P106" s="82">
        <v>95.621302</v>
      </c>
      <c r="Q106" s="82">
        <f t="shared" si="46"/>
        <v>3.905325</v>
      </c>
      <c r="R106" s="78">
        <f>1.25*1.22</f>
        <v>1.525</v>
      </c>
      <c r="S106" s="83" t="s">
        <v>1247</v>
      </c>
      <c r="T106" s="84" t="s">
        <v>705</v>
      </c>
      <c r="U106" s="83">
        <f t="shared" si="45"/>
        <v>1.852564103</v>
      </c>
      <c r="V106" s="83" t="str">
        <f t="shared" si="47"/>
        <v>#DIV/0!</v>
      </c>
      <c r="W106" s="83" t="str">
        <f>(S106-K106)*M106*#REF!*#REF!*J106/(182596/845)</f>
        <v>#DIV/0!</v>
      </c>
    </row>
    <row r="107" ht="26.25" customHeight="1">
      <c r="A107" s="85"/>
      <c r="B107" s="85" t="s">
        <v>845</v>
      </c>
      <c r="C107" s="74" t="s">
        <v>855</v>
      </c>
      <c r="D107" s="75">
        <v>1698.0</v>
      </c>
      <c r="E107" s="75" t="s">
        <v>856</v>
      </c>
      <c r="F107" s="76"/>
      <c r="G107" s="77" t="s">
        <v>658</v>
      </c>
      <c r="H107" s="77">
        <v>1698.0</v>
      </c>
      <c r="I107" s="77">
        <v>1.0</v>
      </c>
      <c r="J107" s="78"/>
      <c r="K107" s="79" t="str">
        <f t="shared" si="1"/>
        <v>#DIV/0!</v>
      </c>
      <c r="L107" s="80" t="s">
        <v>658</v>
      </c>
      <c r="M107" s="81">
        <v>8.0</v>
      </c>
      <c r="N107" s="81" t="s">
        <v>689</v>
      </c>
      <c r="O107" s="82">
        <v>90.023753</v>
      </c>
      <c r="P107" s="82">
        <v>84.56057</v>
      </c>
      <c r="Q107" s="82">
        <f t="shared" si="46"/>
        <v>5.463183</v>
      </c>
      <c r="R107" s="78">
        <f t="shared" ref="R107:R108" si="48">IFS(L107="S",21494/2048*1.25)</f>
        <v>13.11889648</v>
      </c>
      <c r="S107" s="83">
        <f t="shared" ref="S107:S108" si="49">IFS(N107="B",Q107/M107/100*249945/R107
*U107,N107="C",Q107/M107/100*249945/R107
)</f>
        <v>130.107673</v>
      </c>
      <c r="T107" s="84" t="s">
        <v>757</v>
      </c>
      <c r="U107" s="83">
        <f>1698/1090</f>
        <v>1.557798165</v>
      </c>
      <c r="V107" s="83" t="str">
        <f t="shared" si="47"/>
        <v>#DIV/0!</v>
      </c>
      <c r="W107" s="83" t="str">
        <f t="shared" ref="W107:W108" si="50">(S107-K107)*M107*#REF!*#REF!*J107/(249945/845)</f>
        <v>#DIV/0!</v>
      </c>
    </row>
    <row r="108" ht="26.25" customHeight="1">
      <c r="A108" s="85"/>
      <c r="B108" s="85" t="s">
        <v>845</v>
      </c>
      <c r="C108" s="74" t="s">
        <v>857</v>
      </c>
      <c r="D108" s="75">
        <v>4366.0</v>
      </c>
      <c r="E108" s="75" t="s">
        <v>858</v>
      </c>
      <c r="F108" s="76"/>
      <c r="G108" s="77" t="s">
        <v>658</v>
      </c>
      <c r="H108" s="77">
        <v>4366.0</v>
      </c>
      <c r="I108" s="77">
        <v>1.0</v>
      </c>
      <c r="J108" s="78"/>
      <c r="K108" s="79" t="str">
        <f t="shared" si="1"/>
        <v>#DIV/0!</v>
      </c>
      <c r="L108" s="80" t="s">
        <v>658</v>
      </c>
      <c r="M108" s="81">
        <v>10.0</v>
      </c>
      <c r="N108" s="81" t="s">
        <v>689</v>
      </c>
      <c r="O108" s="82">
        <v>90.023753</v>
      </c>
      <c r="P108" s="82">
        <v>72.565321</v>
      </c>
      <c r="Q108" s="82">
        <f t="shared" si="46"/>
        <v>17.458432</v>
      </c>
      <c r="R108" s="78">
        <f t="shared" si="48"/>
        <v>13.11889648</v>
      </c>
      <c r="S108" s="83">
        <f t="shared" si="49"/>
        <v>332.6230824</v>
      </c>
      <c r="T108" s="84" t="s">
        <v>757</v>
      </c>
      <c r="U108" s="83">
        <f>4366/1092</f>
        <v>3.998168498</v>
      </c>
      <c r="V108" s="83" t="str">
        <f t="shared" si="47"/>
        <v>#DIV/0!</v>
      </c>
      <c r="W108" s="83" t="str">
        <f t="shared" si="50"/>
        <v>#DIV/0!</v>
      </c>
    </row>
    <row r="109" ht="26.25" customHeight="1">
      <c r="A109" s="72"/>
      <c r="B109" s="85" t="s">
        <v>845</v>
      </c>
      <c r="C109" s="74" t="s">
        <v>457</v>
      </c>
      <c r="D109" s="75"/>
      <c r="E109" s="75"/>
      <c r="F109" s="75" t="s">
        <v>861</v>
      </c>
      <c r="G109" s="77" t="s">
        <v>704</v>
      </c>
      <c r="H109" s="77">
        <f>(15269-(152+199+105+246+293+340)/1.5)*1.5</f>
        <v>21568.5</v>
      </c>
      <c r="I109" s="77">
        <v>1.0</v>
      </c>
      <c r="J109" s="78"/>
      <c r="K109" s="79" t="str">
        <f t="shared" si="1"/>
        <v>#DIV/0!</v>
      </c>
      <c r="L109" s="89" t="s">
        <v>303</v>
      </c>
      <c r="M109" s="85" t="s">
        <v>303</v>
      </c>
      <c r="N109" s="85" t="s">
        <v>303</v>
      </c>
      <c r="O109" s="82" t="s">
        <v>303</v>
      </c>
      <c r="P109" s="82" t="s">
        <v>303</v>
      </c>
      <c r="Q109" s="82" t="s">
        <v>303</v>
      </c>
      <c r="R109" s="78" t="s">
        <v>303</v>
      </c>
      <c r="S109" s="83" t="s">
        <v>1247</v>
      </c>
      <c r="T109" s="84" t="s">
        <v>705</v>
      </c>
      <c r="U109" s="83">
        <f t="shared" ref="U109:U111" si="51">7754/4852</f>
        <v>1.598103875</v>
      </c>
      <c r="V109" s="83">
        <f>113609/117985</f>
        <v>0.9629105395</v>
      </c>
      <c r="W109" s="83">
        <f>(113609-117985)/(1500000/845)</f>
        <v>-2.465146667</v>
      </c>
    </row>
    <row r="110" ht="26.25" customHeight="1">
      <c r="A110" s="72"/>
      <c r="B110" s="73" t="s">
        <v>845</v>
      </c>
      <c r="C110" s="87" t="s">
        <v>457</v>
      </c>
      <c r="D110" s="75">
        <v>7754.0</v>
      </c>
      <c r="E110" s="75" t="s">
        <v>859</v>
      </c>
      <c r="F110" s="76" t="s">
        <v>860</v>
      </c>
      <c r="G110" s="77" t="s">
        <v>658</v>
      </c>
      <c r="H110" s="77">
        <v>7754.0</v>
      </c>
      <c r="I110" s="77">
        <v>1.0</v>
      </c>
      <c r="J110" s="78"/>
      <c r="K110" s="79" t="str">
        <f t="shared" si="1"/>
        <v>#DIV/0!</v>
      </c>
      <c r="L110" s="80" t="s">
        <v>658</v>
      </c>
      <c r="M110" s="81">
        <v>7.0</v>
      </c>
      <c r="N110" s="92" t="s">
        <v>689</v>
      </c>
      <c r="O110" s="82">
        <v>90.023753</v>
      </c>
      <c r="P110" s="82">
        <v>68.289786</v>
      </c>
      <c r="Q110" s="82">
        <f>O110-P110</f>
        <v>21.733967</v>
      </c>
      <c r="R110" s="78">
        <f>IFS(L110="S",21494/2048*1.25)</f>
        <v>13.11889648</v>
      </c>
      <c r="S110" s="83">
        <f>IFS(N110="B",Q110/M110/100*249945/R110
*U110,N110="C",Q110/M110/100*249945/R110
)</f>
        <v>591.5454407</v>
      </c>
      <c r="T110" s="84" t="s">
        <v>739</v>
      </c>
      <c r="U110" s="83">
        <f t="shared" si="51"/>
        <v>1.598103875</v>
      </c>
      <c r="V110" s="83" t="str">
        <f>S110/K110</f>
        <v>#DIV/0!</v>
      </c>
      <c r="W110" s="83" t="str">
        <f>(S110-K110)*M110*#REF!*#REF!*J110/(249945/845)</f>
        <v>#DIV/0!</v>
      </c>
    </row>
    <row r="111" ht="26.25" customHeight="1">
      <c r="A111" s="72"/>
      <c r="B111" s="73" t="s">
        <v>845</v>
      </c>
      <c r="C111" s="87" t="s">
        <v>457</v>
      </c>
      <c r="D111" s="76"/>
      <c r="E111" s="76"/>
      <c r="F111" s="76" t="s">
        <v>862</v>
      </c>
      <c r="G111" s="77" t="s">
        <v>704</v>
      </c>
      <c r="H111" s="77">
        <f>11749*1.5</f>
        <v>17623.5</v>
      </c>
      <c r="I111" s="77">
        <v>1.0</v>
      </c>
      <c r="J111" s="78"/>
      <c r="K111" s="79" t="str">
        <f t="shared" si="1"/>
        <v>#DIV/0!</v>
      </c>
      <c r="L111" s="89" t="s">
        <v>303</v>
      </c>
      <c r="M111" s="85" t="s">
        <v>303</v>
      </c>
      <c r="N111" s="85" t="s">
        <v>303</v>
      </c>
      <c r="O111" s="82" t="s">
        <v>303</v>
      </c>
      <c r="P111" s="82" t="s">
        <v>303</v>
      </c>
      <c r="Q111" s="82" t="s">
        <v>303</v>
      </c>
      <c r="R111" s="78" t="s">
        <v>303</v>
      </c>
      <c r="S111" s="83" t="s">
        <v>1247</v>
      </c>
      <c r="T111" s="84" t="s">
        <v>705</v>
      </c>
      <c r="U111" s="83">
        <f t="shared" si="51"/>
        <v>1.598103875</v>
      </c>
      <c r="V111" s="83">
        <f>113609/105052</f>
        <v>1.081454899</v>
      </c>
      <c r="W111" s="83">
        <f>(113609-105052)/(1500000/845)</f>
        <v>4.820443333</v>
      </c>
    </row>
    <row r="112" ht="26.25" customHeight="1">
      <c r="A112" s="72"/>
      <c r="B112" s="73" t="s">
        <v>845</v>
      </c>
      <c r="C112" s="87" t="s">
        <v>863</v>
      </c>
      <c r="D112" s="75">
        <v>1944.0</v>
      </c>
      <c r="E112" s="75" t="s">
        <v>868</v>
      </c>
      <c r="F112" s="75" t="s">
        <v>869</v>
      </c>
      <c r="G112" s="77" t="s">
        <v>658</v>
      </c>
      <c r="H112" s="77">
        <f>1944+845</f>
        <v>2789</v>
      </c>
      <c r="I112" s="77">
        <v>1.0</v>
      </c>
      <c r="J112" s="78"/>
      <c r="K112" s="79" t="str">
        <f t="shared" si="1"/>
        <v>#DIV/0!</v>
      </c>
      <c r="L112" s="80" t="s">
        <v>658</v>
      </c>
      <c r="M112" s="81">
        <v>5.0</v>
      </c>
      <c r="N112" s="92" t="s">
        <v>689</v>
      </c>
      <c r="O112" s="82">
        <v>90.023753</v>
      </c>
      <c r="P112" s="82">
        <v>84.441805</v>
      </c>
      <c r="Q112" s="82">
        <f t="shared" ref="Q112:Q113" si="52">O112-P112</f>
        <v>5.581948</v>
      </c>
      <c r="R112" s="78">
        <f t="shared" ref="R112:R113" si="53">IFS(L112="S",21494/2048*1.25)</f>
        <v>13.11889648</v>
      </c>
      <c r="S112" s="83">
        <f t="shared" ref="S112:S114" si="54">IFS(N112="B",Q112/M112/100*249945/R112
*U112,N112="C",Q112/M112/100*249945/R112
)</f>
        <v>212.6977668</v>
      </c>
      <c r="T112" s="84" t="s">
        <v>739</v>
      </c>
      <c r="U112" s="83">
        <f>(1944+845)/(1050+845)</f>
        <v>1.47176781</v>
      </c>
      <c r="V112" s="83" t="str">
        <f t="shared" ref="V112:V113" si="55">S112/K112</f>
        <v>#DIV/0!</v>
      </c>
      <c r="W112" s="83" t="str">
        <f t="shared" ref="W112:W113" si="56">(S112-K112)*M112*#REF!*#REF!*J112/(249945/845)</f>
        <v>#DIV/0!</v>
      </c>
    </row>
    <row r="113" ht="26.25" customHeight="1">
      <c r="A113" s="72"/>
      <c r="B113" s="73" t="s">
        <v>845</v>
      </c>
      <c r="C113" s="87" t="s">
        <v>863</v>
      </c>
      <c r="D113" s="75">
        <v>1481.0</v>
      </c>
      <c r="E113" s="75" t="s">
        <v>864</v>
      </c>
      <c r="F113" s="75" t="s">
        <v>865</v>
      </c>
      <c r="G113" s="77" t="s">
        <v>658</v>
      </c>
      <c r="H113" s="77">
        <v>1481.0</v>
      </c>
      <c r="I113" s="77">
        <v>1.0</v>
      </c>
      <c r="J113" s="78"/>
      <c r="K113" s="79" t="str">
        <f t="shared" si="1"/>
        <v>#DIV/0!</v>
      </c>
      <c r="L113" s="80" t="s">
        <v>658</v>
      </c>
      <c r="M113" s="81">
        <v>9.0</v>
      </c>
      <c r="N113" s="92" t="s">
        <v>689</v>
      </c>
      <c r="O113" s="82">
        <v>90.023753</v>
      </c>
      <c r="P113" s="82">
        <v>84.679335</v>
      </c>
      <c r="Q113" s="82">
        <f t="shared" si="52"/>
        <v>5.344418</v>
      </c>
      <c r="R113" s="78">
        <f t="shared" si="53"/>
        <v>13.11889648</v>
      </c>
      <c r="S113" s="83">
        <f t="shared" si="54"/>
        <v>113.1371037</v>
      </c>
      <c r="T113" s="84" t="s">
        <v>739</v>
      </c>
      <c r="U113" s="83">
        <f>1481/800</f>
        <v>1.85125</v>
      </c>
      <c r="V113" s="83" t="str">
        <f t="shared" si="55"/>
        <v>#DIV/0!</v>
      </c>
      <c r="W113" s="83" t="str">
        <f t="shared" si="56"/>
        <v>#DIV/0!</v>
      </c>
    </row>
    <row r="114" ht="26.25" customHeight="1">
      <c r="A114" s="72"/>
      <c r="B114" s="73" t="s">
        <v>845</v>
      </c>
      <c r="C114" s="87" t="s">
        <v>863</v>
      </c>
      <c r="D114" s="76"/>
      <c r="E114" s="76"/>
      <c r="F114" s="76" t="s">
        <v>866</v>
      </c>
      <c r="G114" s="77" t="s">
        <v>689</v>
      </c>
      <c r="H114" s="77">
        <v>44377.0</v>
      </c>
      <c r="I114" s="77">
        <v>30.0</v>
      </c>
      <c r="J114" s="95"/>
      <c r="K114" s="79" t="str">
        <f t="shared" si="1"/>
        <v>#DIV/0!</v>
      </c>
      <c r="L114" s="89" t="s">
        <v>303</v>
      </c>
      <c r="M114" s="85" t="s">
        <v>303</v>
      </c>
      <c r="N114" s="85" t="s">
        <v>303</v>
      </c>
      <c r="O114" s="82" t="s">
        <v>303</v>
      </c>
      <c r="P114" s="82" t="s">
        <v>303</v>
      </c>
      <c r="Q114" s="82" t="s">
        <v>303</v>
      </c>
      <c r="R114" s="78" t="s">
        <v>303</v>
      </c>
      <c r="S114" s="83" t="str">
        <f t="shared" si="54"/>
        <v>#N/A</v>
      </c>
      <c r="T114" s="84" t="s">
        <v>867</v>
      </c>
      <c r="U114" s="83">
        <f>AVERAGE(1.851,1.472)</f>
        <v>1.6615</v>
      </c>
      <c r="V114" s="83">
        <f>(55030-8876)/44377</f>
        <v>1.040043266</v>
      </c>
      <c r="W114" s="83">
        <f>((55030-8876)-44377)/(1500000/845)</f>
        <v>1.001043333</v>
      </c>
    </row>
    <row r="115" ht="26.25" customHeight="1">
      <c r="A115" s="72"/>
      <c r="B115" s="73" t="s">
        <v>845</v>
      </c>
      <c r="C115" s="87" t="s">
        <v>870</v>
      </c>
      <c r="D115" s="75">
        <v>1162.0</v>
      </c>
      <c r="E115" s="75" t="s">
        <v>871</v>
      </c>
      <c r="F115" s="75" t="s">
        <v>872</v>
      </c>
      <c r="G115" s="77" t="s">
        <v>658</v>
      </c>
      <c r="H115" s="77">
        <f>1162+2037+3012+4027+5043+6044+7033+8031+29861</f>
        <v>66250</v>
      </c>
      <c r="I115" s="77">
        <v>1.0</v>
      </c>
      <c r="J115" s="78"/>
      <c r="K115" s="79" t="str">
        <f t="shared" si="1"/>
        <v>#DIV/0!</v>
      </c>
      <c r="L115" s="89" t="s">
        <v>303</v>
      </c>
      <c r="M115" s="85" t="s">
        <v>303</v>
      </c>
      <c r="N115" s="85" t="s">
        <v>303</v>
      </c>
      <c r="O115" s="82" t="s">
        <v>303</v>
      </c>
      <c r="P115" s="82" t="s">
        <v>303</v>
      </c>
      <c r="Q115" s="82" t="s">
        <v>303</v>
      </c>
      <c r="R115" s="78" t="s">
        <v>303</v>
      </c>
      <c r="S115" s="83" t="s">
        <v>1247</v>
      </c>
      <c r="T115" s="84" t="s">
        <v>757</v>
      </c>
      <c r="U115" s="83">
        <f t="shared" ref="U115:U117" si="57">1383/771</f>
        <v>1.793774319</v>
      </c>
      <c r="V115" s="83">
        <f>83432/84866</f>
        <v>0.9831027738</v>
      </c>
      <c r="W115" s="83">
        <f>(83432-84866)/(1500000/845)</f>
        <v>-0.80782</v>
      </c>
    </row>
    <row r="116" ht="26.25" customHeight="1">
      <c r="A116" s="72"/>
      <c r="B116" s="73" t="s">
        <v>845</v>
      </c>
      <c r="C116" s="87" t="s">
        <v>870</v>
      </c>
      <c r="D116" s="75">
        <v>1383.0</v>
      </c>
      <c r="E116" s="75" t="s">
        <v>875</v>
      </c>
      <c r="F116" s="76"/>
      <c r="G116" s="77" t="s">
        <v>658</v>
      </c>
      <c r="H116" s="77">
        <v>1383.0</v>
      </c>
      <c r="I116" s="77">
        <v>1.0</v>
      </c>
      <c r="J116" s="78"/>
      <c r="K116" s="79" t="str">
        <f t="shared" si="1"/>
        <v>#DIV/0!</v>
      </c>
      <c r="L116" s="80" t="s">
        <v>658</v>
      </c>
      <c r="M116" s="81">
        <v>8.0</v>
      </c>
      <c r="N116" s="92" t="s">
        <v>689</v>
      </c>
      <c r="O116" s="82">
        <v>90.023753</v>
      </c>
      <c r="P116" s="82">
        <v>85.510689</v>
      </c>
      <c r="Q116" s="82">
        <f>O116-P116</f>
        <v>4.513064</v>
      </c>
      <c r="R116" s="78">
        <f>IFS(L116="S",21494/2048*1.25)</f>
        <v>13.11889648</v>
      </c>
      <c r="S116" s="83">
        <f>IFS(N116="B",Q116/M116/100*249945/R116
*U116,N116="C",Q116/M116/100*249945/R116
)</f>
        <v>107.4802464</v>
      </c>
      <c r="T116" s="84" t="s">
        <v>739</v>
      </c>
      <c r="U116" s="83">
        <f t="shared" si="57"/>
        <v>1.793774319</v>
      </c>
      <c r="V116" s="83" t="str">
        <f>S116/K116</f>
        <v>#DIV/0!</v>
      </c>
      <c r="W116" s="83" t="str">
        <f>(S116-K116)*M116*#REF!*#REF!*J116/(249945/845)</f>
        <v>#DIV/0!</v>
      </c>
    </row>
    <row r="117" ht="26.25" customHeight="1">
      <c r="A117" s="72"/>
      <c r="B117" s="73" t="s">
        <v>845</v>
      </c>
      <c r="C117" s="87" t="s">
        <v>870</v>
      </c>
      <c r="D117" s="75">
        <v>4298.0</v>
      </c>
      <c r="E117" s="75" t="s">
        <v>873</v>
      </c>
      <c r="F117" s="75" t="s">
        <v>874</v>
      </c>
      <c r="G117" s="77" t="s">
        <v>658</v>
      </c>
      <c r="H117" s="77">
        <f>4298+5830+7291+8652+9906+10229+10454+10643+31994</f>
        <v>99297</v>
      </c>
      <c r="I117" s="77">
        <v>1.0</v>
      </c>
      <c r="J117" s="78"/>
      <c r="K117" s="79" t="str">
        <f t="shared" si="1"/>
        <v>#DIV/0!</v>
      </c>
      <c r="L117" s="89" t="s">
        <v>303</v>
      </c>
      <c r="M117" s="85" t="s">
        <v>303</v>
      </c>
      <c r="N117" s="85" t="s">
        <v>303</v>
      </c>
      <c r="O117" s="82" t="s">
        <v>303</v>
      </c>
      <c r="P117" s="82" t="s">
        <v>303</v>
      </c>
      <c r="Q117" s="82" t="s">
        <v>303</v>
      </c>
      <c r="R117" s="78" t="s">
        <v>303</v>
      </c>
      <c r="S117" s="83" t="s">
        <v>1247</v>
      </c>
      <c r="T117" s="84" t="s">
        <v>757</v>
      </c>
      <c r="U117" s="83">
        <f t="shared" si="57"/>
        <v>1.793774319</v>
      </c>
      <c r="V117" s="83">
        <f>76331/73286</f>
        <v>1.041549546</v>
      </c>
      <c r="W117" s="83">
        <f>(76331-73286)/(1500000/845)</f>
        <v>1.71535</v>
      </c>
    </row>
    <row r="118" ht="26.25" customHeight="1">
      <c r="A118" s="72"/>
      <c r="B118" s="73" t="s">
        <v>845</v>
      </c>
      <c r="C118" s="87" t="s">
        <v>876</v>
      </c>
      <c r="D118" s="76">
        <v>915.0</v>
      </c>
      <c r="E118" s="75" t="s">
        <v>877</v>
      </c>
      <c r="F118" s="76" t="s">
        <v>852</v>
      </c>
      <c r="G118" s="77" t="s">
        <v>658</v>
      </c>
      <c r="H118" s="77">
        <f>915*2</f>
        <v>1830</v>
      </c>
      <c r="I118" s="77">
        <v>1.0</v>
      </c>
      <c r="J118" s="78"/>
      <c r="K118" s="79" t="str">
        <f t="shared" si="1"/>
        <v>#DIV/0!</v>
      </c>
      <c r="L118" s="80" t="s">
        <v>658</v>
      </c>
      <c r="M118" s="92">
        <v>11.0</v>
      </c>
      <c r="N118" s="92" t="s">
        <v>659</v>
      </c>
      <c r="O118" s="82">
        <v>90.023753</v>
      </c>
      <c r="P118" s="94">
        <v>86.342043</v>
      </c>
      <c r="Q118" s="82">
        <f>O118-P118</f>
        <v>3.68171</v>
      </c>
      <c r="R118" s="78">
        <f>IFS(L118="S",21494/2048*1.25)</f>
        <v>13.11889648</v>
      </c>
      <c r="S118" s="83">
        <f>IFS(N118="B",Q118/M118/100*249945/R118
*U118,N118="C",Q118/M118/100*249945/R118
)</f>
        <v>140.2593441</v>
      </c>
      <c r="T118" s="84" t="s">
        <v>660</v>
      </c>
      <c r="U118" s="83">
        <f t="shared" ref="U118:U120" si="58">915/416</f>
        <v>2.199519231</v>
      </c>
      <c r="V118" s="83" t="str">
        <f>S118/K118</f>
        <v>#DIV/0!</v>
      </c>
      <c r="W118" s="83" t="str">
        <f>(S118-K118)*M118*#REF!*#REF!*J118/(249945/845)</f>
        <v>#DIV/0!</v>
      </c>
    </row>
    <row r="119" ht="26.25" customHeight="1">
      <c r="A119" s="72"/>
      <c r="B119" s="73" t="s">
        <v>845</v>
      </c>
      <c r="C119" s="87" t="s">
        <v>876</v>
      </c>
      <c r="D119" s="76"/>
      <c r="E119" s="76"/>
      <c r="F119" s="76" t="s">
        <v>879</v>
      </c>
      <c r="G119" s="77" t="s">
        <v>704</v>
      </c>
      <c r="H119" s="77">
        <f>11521*1.5</f>
        <v>17281.5</v>
      </c>
      <c r="I119" s="77">
        <v>1.0</v>
      </c>
      <c r="J119" s="78"/>
      <c r="K119" s="79" t="str">
        <f t="shared" si="1"/>
        <v>#DIV/0!</v>
      </c>
      <c r="L119" s="89" t="s">
        <v>303</v>
      </c>
      <c r="M119" s="85" t="s">
        <v>303</v>
      </c>
      <c r="N119" s="85" t="s">
        <v>303</v>
      </c>
      <c r="O119" s="82" t="s">
        <v>303</v>
      </c>
      <c r="P119" s="82" t="s">
        <v>303</v>
      </c>
      <c r="Q119" s="82" t="s">
        <v>303</v>
      </c>
      <c r="R119" s="78" t="s">
        <v>303</v>
      </c>
      <c r="S119" s="83" t="s">
        <v>1247</v>
      </c>
      <c r="T119" s="84" t="s">
        <v>705</v>
      </c>
      <c r="U119" s="83">
        <f t="shared" si="58"/>
        <v>2.199519231</v>
      </c>
      <c r="V119" s="83">
        <f>108284/107668</f>
        <v>1.005721291</v>
      </c>
      <c r="W119" s="83">
        <f>(108284-107668)/(1500000/845)</f>
        <v>0.3470133333</v>
      </c>
    </row>
    <row r="120" ht="26.25" customHeight="1">
      <c r="A120" s="72"/>
      <c r="B120" s="73" t="s">
        <v>845</v>
      </c>
      <c r="C120" s="87" t="s">
        <v>876</v>
      </c>
      <c r="D120" s="76"/>
      <c r="E120" s="76"/>
      <c r="F120" s="76" t="s">
        <v>878</v>
      </c>
      <c r="G120" s="77" t="s">
        <v>704</v>
      </c>
      <c r="H120" s="77">
        <f>8374*1.5</f>
        <v>12561</v>
      </c>
      <c r="I120" s="77">
        <v>1.0</v>
      </c>
      <c r="J120" s="78"/>
      <c r="K120" s="79" t="str">
        <f t="shared" si="1"/>
        <v>#DIV/0!</v>
      </c>
      <c r="L120" s="80" t="s">
        <v>704</v>
      </c>
      <c r="M120" s="81">
        <v>1.0</v>
      </c>
      <c r="N120" s="81" t="s">
        <v>689</v>
      </c>
      <c r="O120" s="82">
        <v>99.526627</v>
      </c>
      <c r="P120" s="82">
        <v>92.662722</v>
      </c>
      <c r="Q120" s="82">
        <f t="shared" ref="Q120:Q121" si="59">O120-P120</f>
        <v>6.863905</v>
      </c>
      <c r="R120" s="78">
        <f>1.25*1.22</f>
        <v>1.525</v>
      </c>
      <c r="S120" s="83" t="s">
        <v>1247</v>
      </c>
      <c r="T120" s="84" t="s">
        <v>705</v>
      </c>
      <c r="U120" s="83">
        <f t="shared" si="58"/>
        <v>2.199519231</v>
      </c>
      <c r="V120" s="83" t="str">
        <f t="shared" ref="V120:V121" si="60">S120/K120</f>
        <v>#DIV/0!</v>
      </c>
      <c r="W120" s="83" t="str">
        <f>(S120-K120)*M120*#REF!*#REF!*J120/(182596/845)</f>
        <v>#DIV/0!</v>
      </c>
    </row>
    <row r="121" ht="26.25" customHeight="1">
      <c r="A121" s="72"/>
      <c r="B121" s="73" t="s">
        <v>845</v>
      </c>
      <c r="C121" s="87" t="s">
        <v>382</v>
      </c>
      <c r="D121" s="75">
        <v>1520.0</v>
      </c>
      <c r="E121" s="75" t="s">
        <v>880</v>
      </c>
      <c r="F121" s="76"/>
      <c r="G121" s="77" t="s">
        <v>658</v>
      </c>
      <c r="H121" s="77">
        <v>1520.0</v>
      </c>
      <c r="I121" s="77">
        <v>1.0</v>
      </c>
      <c r="J121" s="78"/>
      <c r="K121" s="79" t="str">
        <f t="shared" si="1"/>
        <v>#DIV/0!</v>
      </c>
      <c r="L121" s="80" t="s">
        <v>658</v>
      </c>
      <c r="M121" s="81">
        <v>11.0</v>
      </c>
      <c r="N121" s="92" t="s">
        <v>689</v>
      </c>
      <c r="O121" s="82">
        <v>90.023753</v>
      </c>
      <c r="P121" s="82">
        <v>83.372922</v>
      </c>
      <c r="Q121" s="82">
        <f t="shared" si="59"/>
        <v>6.650831</v>
      </c>
      <c r="R121" s="78">
        <f>IFS(L121="S",21494/2048*1.25)</f>
        <v>13.11889648</v>
      </c>
      <c r="S121" s="83">
        <f t="shared" ref="S121:S122" si="61">IFS(N121="B",Q121/M121/100*249945/R121
*U121,N121="C",Q121/M121/100*249945/R121
)</f>
        <v>115.194137</v>
      </c>
      <c r="T121" s="84" t="s">
        <v>739</v>
      </c>
      <c r="U121" s="83">
        <f>1520/847</f>
        <v>1.794569067</v>
      </c>
      <c r="V121" s="83" t="str">
        <f t="shared" si="60"/>
        <v>#DIV/0!</v>
      </c>
      <c r="W121" s="83" t="str">
        <f>(S121-K121)*M121*#REF!*#REF!*J121/(249945/845)</f>
        <v>#DIV/0!</v>
      </c>
    </row>
    <row r="122" ht="26.25" customHeight="1">
      <c r="A122" s="72"/>
      <c r="B122" s="73" t="s">
        <v>845</v>
      </c>
      <c r="C122" s="87" t="s">
        <v>569</v>
      </c>
      <c r="D122" s="75">
        <v>1467.0</v>
      </c>
      <c r="E122" s="75" t="s">
        <v>881</v>
      </c>
      <c r="F122" s="76" t="s">
        <v>882</v>
      </c>
      <c r="G122" s="77" t="s">
        <v>658</v>
      </c>
      <c r="H122" s="77">
        <f>1467*5+1216*5</f>
        <v>13415</v>
      </c>
      <c r="I122" s="77">
        <v>5.0</v>
      </c>
      <c r="J122" s="78"/>
      <c r="K122" s="79" t="str">
        <f t="shared" si="1"/>
        <v>#DIV/0!</v>
      </c>
      <c r="L122" s="89" t="s">
        <v>303</v>
      </c>
      <c r="M122" s="85" t="s">
        <v>303</v>
      </c>
      <c r="N122" s="85" t="s">
        <v>303</v>
      </c>
      <c r="O122" s="82" t="s">
        <v>303</v>
      </c>
      <c r="P122" s="82" t="s">
        <v>303</v>
      </c>
      <c r="Q122" s="82" t="s">
        <v>303</v>
      </c>
      <c r="R122" s="78" t="s">
        <v>303</v>
      </c>
      <c r="S122" s="83" t="str">
        <f t="shared" si="61"/>
        <v>#N/A</v>
      </c>
      <c r="T122" s="84" t="s">
        <v>739</v>
      </c>
      <c r="U122" s="83">
        <f t="shared" ref="U122:U124" si="62">(1467*5+1216*5)/(941*5+1216*5)</f>
        <v>1.243857209</v>
      </c>
      <c r="V122" s="83">
        <f>33728/33930</f>
        <v>0.9940465665</v>
      </c>
      <c r="W122" s="83">
        <f>(33728-33930)/(1500000/845)</f>
        <v>-0.1137933333</v>
      </c>
    </row>
    <row r="123" ht="26.25" customHeight="1">
      <c r="A123" s="72"/>
      <c r="B123" s="73" t="s">
        <v>845</v>
      </c>
      <c r="C123" s="87" t="s">
        <v>569</v>
      </c>
      <c r="D123" s="76"/>
      <c r="E123" s="76"/>
      <c r="F123" s="76" t="s">
        <v>883</v>
      </c>
      <c r="G123" s="77" t="s">
        <v>704</v>
      </c>
      <c r="H123" s="77">
        <f>11386*1.5</f>
        <v>17079</v>
      </c>
      <c r="I123" s="77">
        <v>1.0</v>
      </c>
      <c r="J123" s="78"/>
      <c r="K123" s="79" t="str">
        <f t="shared" si="1"/>
        <v>#DIV/0!</v>
      </c>
      <c r="L123" s="89" t="s">
        <v>303</v>
      </c>
      <c r="M123" s="85" t="s">
        <v>303</v>
      </c>
      <c r="N123" s="85" t="s">
        <v>303</v>
      </c>
      <c r="O123" s="82" t="s">
        <v>303</v>
      </c>
      <c r="P123" s="82" t="s">
        <v>303</v>
      </c>
      <c r="Q123" s="82" t="s">
        <v>303</v>
      </c>
      <c r="R123" s="78" t="s">
        <v>303</v>
      </c>
      <c r="S123" s="83" t="s">
        <v>1247</v>
      </c>
      <c r="T123" s="84" t="s">
        <v>705</v>
      </c>
      <c r="U123" s="83">
        <f t="shared" si="62"/>
        <v>1.243857209</v>
      </c>
      <c r="V123" s="83">
        <f>140237/135109</f>
        <v>1.03795454</v>
      </c>
      <c r="W123" s="83">
        <f>(140237-135109)/(1500000/845)</f>
        <v>2.888773333</v>
      </c>
    </row>
    <row r="124" ht="26.25" customHeight="1">
      <c r="A124" s="72"/>
      <c r="B124" s="73" t="s">
        <v>845</v>
      </c>
      <c r="C124" s="87" t="s">
        <v>569</v>
      </c>
      <c r="D124" s="76"/>
      <c r="E124" s="76"/>
      <c r="F124" s="76" t="s">
        <v>884</v>
      </c>
      <c r="G124" s="77" t="s">
        <v>704</v>
      </c>
      <c r="H124" s="77">
        <f>9068*1.5</f>
        <v>13602</v>
      </c>
      <c r="I124" s="77">
        <v>1.0</v>
      </c>
      <c r="J124" s="78"/>
      <c r="K124" s="79" t="str">
        <f t="shared" si="1"/>
        <v>#DIV/0!</v>
      </c>
      <c r="L124" s="89" t="s">
        <v>303</v>
      </c>
      <c r="M124" s="85" t="s">
        <v>303</v>
      </c>
      <c r="N124" s="85" t="s">
        <v>303</v>
      </c>
      <c r="O124" s="82" t="s">
        <v>303</v>
      </c>
      <c r="P124" s="82" t="s">
        <v>303</v>
      </c>
      <c r="Q124" s="82" t="s">
        <v>303</v>
      </c>
      <c r="R124" s="78" t="s">
        <v>303</v>
      </c>
      <c r="S124" s="83" t="s">
        <v>1247</v>
      </c>
      <c r="T124" s="84" t="s">
        <v>705</v>
      </c>
      <c r="U124" s="83">
        <f t="shared" si="62"/>
        <v>1.243857209</v>
      </c>
      <c r="V124" s="83">
        <f>133136/126842</f>
        <v>1.049620788</v>
      </c>
      <c r="W124" s="83">
        <f>(133136-126842)/(1500000/845)</f>
        <v>3.54562</v>
      </c>
    </row>
    <row r="125" ht="26.25" customHeight="1">
      <c r="A125" s="72"/>
      <c r="B125" s="73" t="s">
        <v>845</v>
      </c>
      <c r="C125" s="87" t="s">
        <v>684</v>
      </c>
      <c r="D125" s="76"/>
      <c r="E125" s="76"/>
      <c r="F125" s="76" t="s">
        <v>885</v>
      </c>
      <c r="G125" s="77" t="s">
        <v>704</v>
      </c>
      <c r="H125" s="77">
        <f>6515*1.5</f>
        <v>9772.5</v>
      </c>
      <c r="I125" s="77">
        <v>1.0</v>
      </c>
      <c r="J125" s="78"/>
      <c r="K125" s="79" t="str">
        <f t="shared" si="1"/>
        <v>#DIV/0!</v>
      </c>
      <c r="L125" s="89" t="s">
        <v>303</v>
      </c>
      <c r="M125" s="85" t="s">
        <v>303</v>
      </c>
      <c r="N125" s="85" t="s">
        <v>303</v>
      </c>
      <c r="O125" s="82" t="s">
        <v>303</v>
      </c>
      <c r="P125" s="82" t="s">
        <v>303</v>
      </c>
      <c r="Q125" s="82" t="s">
        <v>303</v>
      </c>
      <c r="R125" s="78" t="s">
        <v>303</v>
      </c>
      <c r="S125" s="83" t="s">
        <v>1247</v>
      </c>
      <c r="T125" s="84" t="s">
        <v>705</v>
      </c>
      <c r="U125" s="83">
        <f t="shared" ref="U125:U127" si="63">1222/941</f>
        <v>1.298618491</v>
      </c>
      <c r="V125" s="83">
        <f>104734/109844</f>
        <v>0.95347948</v>
      </c>
      <c r="W125" s="83">
        <f>(104734-109844)/(1500000/845)</f>
        <v>-2.878633333</v>
      </c>
    </row>
    <row r="126" ht="26.25" customHeight="1">
      <c r="A126" s="72"/>
      <c r="B126" s="73" t="s">
        <v>845</v>
      </c>
      <c r="C126" s="87" t="s">
        <v>684</v>
      </c>
      <c r="D126" s="76">
        <v>1222.0</v>
      </c>
      <c r="E126" s="76" t="s">
        <v>887</v>
      </c>
      <c r="F126" s="76"/>
      <c r="G126" s="77" t="s">
        <v>658</v>
      </c>
      <c r="H126" s="77">
        <v>1222.0</v>
      </c>
      <c r="I126" s="77">
        <v>1.0</v>
      </c>
      <c r="J126" s="78"/>
      <c r="K126" s="79" t="str">
        <f t="shared" si="1"/>
        <v>#DIV/0!</v>
      </c>
      <c r="L126" s="80" t="s">
        <v>658</v>
      </c>
      <c r="M126" s="92">
        <v>16.0</v>
      </c>
      <c r="N126" s="92" t="s">
        <v>659</v>
      </c>
      <c r="O126" s="82">
        <v>90.023753</v>
      </c>
      <c r="P126" s="94">
        <v>83.966746</v>
      </c>
      <c r="Q126" s="82">
        <f t="shared" ref="Q126:Q127" si="64">O126-P126</f>
        <v>6.057007</v>
      </c>
      <c r="R126" s="78">
        <f>IFS(L126="S",21494/2048*1.25)</f>
        <v>13.11889648</v>
      </c>
      <c r="S126" s="83">
        <f>IFS(N126="B",Q126/M126/100*249945/R126
*U126,N126="C",Q126/M126/100*249945/R126
)</f>
        <v>93.66273247</v>
      </c>
      <c r="T126" s="84" t="s">
        <v>660</v>
      </c>
      <c r="U126" s="83">
        <f t="shared" si="63"/>
        <v>1.298618491</v>
      </c>
      <c r="V126" s="83" t="str">
        <f t="shared" ref="V126:V127" si="65">S126/K126</f>
        <v>#DIV/0!</v>
      </c>
      <c r="W126" s="83" t="str">
        <f>(S126-K126)*M126*#REF!*#REF!*J126/(249945/845)</f>
        <v>#DIV/0!</v>
      </c>
    </row>
    <row r="127" ht="26.25" customHeight="1">
      <c r="A127" s="72"/>
      <c r="B127" s="73" t="s">
        <v>845</v>
      </c>
      <c r="C127" s="87" t="s">
        <v>684</v>
      </c>
      <c r="D127" s="76"/>
      <c r="E127" s="76"/>
      <c r="F127" s="76" t="s">
        <v>886</v>
      </c>
      <c r="G127" s="77" t="s">
        <v>704</v>
      </c>
      <c r="H127" s="77">
        <f>8276*1.5</f>
        <v>12414</v>
      </c>
      <c r="I127" s="77">
        <v>1.0</v>
      </c>
      <c r="J127" s="78"/>
      <c r="K127" s="79" t="str">
        <f t="shared" si="1"/>
        <v>#DIV/0!</v>
      </c>
      <c r="L127" s="80" t="s">
        <v>704</v>
      </c>
      <c r="M127" s="81">
        <v>1.0</v>
      </c>
      <c r="N127" s="81" t="s">
        <v>689</v>
      </c>
      <c r="O127" s="82">
        <v>99.526627</v>
      </c>
      <c r="P127" s="82">
        <v>92.662722</v>
      </c>
      <c r="Q127" s="82">
        <f t="shared" si="64"/>
        <v>6.863905</v>
      </c>
      <c r="R127" s="78">
        <f>1.25*1.22</f>
        <v>1.525</v>
      </c>
      <c r="S127" s="83" t="s">
        <v>1247</v>
      </c>
      <c r="T127" s="84" t="s">
        <v>705</v>
      </c>
      <c r="U127" s="83">
        <f t="shared" si="63"/>
        <v>1.298618491</v>
      </c>
      <c r="V127" s="83" t="str">
        <f t="shared" si="65"/>
        <v>#DIV/0!</v>
      </c>
      <c r="W127" s="83" t="str">
        <f>(S127-K127)*M127*#REF!*#REF!*J127/(182596/845)</f>
        <v>#DIV/0!</v>
      </c>
    </row>
    <row r="128" ht="26.25" customHeight="1">
      <c r="A128" s="72"/>
      <c r="B128" s="73" t="s">
        <v>845</v>
      </c>
      <c r="C128" s="74" t="s">
        <v>888</v>
      </c>
      <c r="D128" s="75"/>
      <c r="E128" s="75"/>
      <c r="F128" s="75" t="s">
        <v>890</v>
      </c>
      <c r="G128" s="77" t="s">
        <v>704</v>
      </c>
      <c r="H128" s="77">
        <f>12782*1.5</f>
        <v>19173</v>
      </c>
      <c r="I128" s="91">
        <v>1.0</v>
      </c>
      <c r="J128" s="78"/>
      <c r="K128" s="79" t="str">
        <f t="shared" si="1"/>
        <v>#DIV/0!</v>
      </c>
      <c r="L128" s="89" t="s">
        <v>303</v>
      </c>
      <c r="M128" s="85" t="s">
        <v>303</v>
      </c>
      <c r="N128" s="85" t="s">
        <v>303</v>
      </c>
      <c r="O128" s="82" t="s">
        <v>303</v>
      </c>
      <c r="P128" s="82" t="s">
        <v>303</v>
      </c>
      <c r="Q128" s="82" t="s">
        <v>303</v>
      </c>
      <c r="R128" s="78" t="s">
        <v>303</v>
      </c>
      <c r="S128" s="83" t="s">
        <v>1247</v>
      </c>
      <c r="T128" s="84" t="s">
        <v>891</v>
      </c>
      <c r="U128" s="83">
        <f t="shared" ref="U128:U130" si="66">3186/2627</f>
        <v>1.212790255</v>
      </c>
      <c r="V128" s="83">
        <f>101183/102552</f>
        <v>0.9866506748</v>
      </c>
      <c r="W128" s="83">
        <f>(101183-102552)/(1500000/845)</f>
        <v>-0.7712033333</v>
      </c>
    </row>
    <row r="129" ht="26.25" customHeight="1">
      <c r="A129" s="72"/>
      <c r="B129" s="73" t="s">
        <v>845</v>
      </c>
      <c r="C129" s="74" t="s">
        <v>888</v>
      </c>
      <c r="D129" s="75">
        <v>3168.0</v>
      </c>
      <c r="E129" s="76" t="s">
        <v>892</v>
      </c>
      <c r="F129" s="76"/>
      <c r="G129" s="77" t="s">
        <v>658</v>
      </c>
      <c r="H129" s="77">
        <v>3168.0</v>
      </c>
      <c r="I129" s="77">
        <v>1.0</v>
      </c>
      <c r="J129" s="78"/>
      <c r="K129" s="79" t="str">
        <f t="shared" si="1"/>
        <v>#DIV/0!</v>
      </c>
      <c r="L129" s="80" t="s">
        <v>658</v>
      </c>
      <c r="M129" s="92">
        <v>6.0</v>
      </c>
      <c r="N129" s="92" t="s">
        <v>659</v>
      </c>
      <c r="O129" s="82">
        <v>88.71734</v>
      </c>
      <c r="P129" s="94">
        <v>82.422803</v>
      </c>
      <c r="Q129" s="82">
        <f t="shared" ref="Q129:Q131" si="67">O129-P129</f>
        <v>6.294537</v>
      </c>
      <c r="R129" s="78">
        <f>IFS(L129="S",21494/2048*1.25)</f>
        <v>13.11889648</v>
      </c>
      <c r="S129" s="83">
        <f>IFS(N129="B",Q129/M129/100*249945/R129
*U129,N129="C",Q129/M129/100*249945/R129
)</f>
        <v>242.4071286</v>
      </c>
      <c r="T129" s="84" t="s">
        <v>893</v>
      </c>
      <c r="U129" s="83">
        <f t="shared" si="66"/>
        <v>1.212790255</v>
      </c>
      <c r="V129" s="83" t="str">
        <f t="shared" ref="V129:V131" si="68">S129/K129</f>
        <v>#DIV/0!</v>
      </c>
      <c r="W129" s="83" t="str">
        <f t="shared" ref="W129:W131" si="69">(S129-K129)*M129*#REF!*#REF!*J129/(249945/845)</f>
        <v>#DIV/0!</v>
      </c>
    </row>
    <row r="130" ht="26.25" customHeight="1">
      <c r="A130" s="72"/>
      <c r="B130" s="73" t="s">
        <v>845</v>
      </c>
      <c r="C130" s="74" t="s">
        <v>888</v>
      </c>
      <c r="D130" s="75"/>
      <c r="E130" s="75"/>
      <c r="F130" s="75" t="s">
        <v>889</v>
      </c>
      <c r="G130" s="77" t="s">
        <v>704</v>
      </c>
      <c r="H130" s="77">
        <f>7426*1.5</f>
        <v>11139</v>
      </c>
      <c r="I130" s="77">
        <v>1.0</v>
      </c>
      <c r="J130" s="78"/>
      <c r="K130" s="79" t="str">
        <f t="shared" si="1"/>
        <v>#DIV/0!</v>
      </c>
      <c r="L130" s="80" t="s">
        <v>704</v>
      </c>
      <c r="M130" s="81">
        <v>1.0</v>
      </c>
      <c r="N130" s="81" t="s">
        <v>689</v>
      </c>
      <c r="O130" s="82">
        <v>99.526627</v>
      </c>
      <c r="P130" s="82">
        <v>93.254438</v>
      </c>
      <c r="Q130" s="82">
        <f t="shared" si="67"/>
        <v>6.272189</v>
      </c>
      <c r="R130" s="78">
        <f>1.25*1.22</f>
        <v>1.525</v>
      </c>
      <c r="S130" s="83" t="s">
        <v>1247</v>
      </c>
      <c r="T130" s="84" t="s">
        <v>705</v>
      </c>
      <c r="U130" s="83">
        <f t="shared" si="66"/>
        <v>1.212790255</v>
      </c>
      <c r="V130" s="83" t="str">
        <f t="shared" si="68"/>
        <v>#DIV/0!</v>
      </c>
      <c r="W130" s="83" t="str">
        <f t="shared" si="69"/>
        <v>#DIV/0!</v>
      </c>
    </row>
    <row r="131" ht="26.25" customHeight="1">
      <c r="A131" s="72"/>
      <c r="B131" s="73" t="s">
        <v>845</v>
      </c>
      <c r="C131" s="87" t="s">
        <v>894</v>
      </c>
      <c r="D131" s="75">
        <v>1728.0</v>
      </c>
      <c r="E131" s="75" t="s">
        <v>895</v>
      </c>
      <c r="F131" s="76"/>
      <c r="G131" s="77" t="s">
        <v>658</v>
      </c>
      <c r="H131" s="77">
        <v>1728.0</v>
      </c>
      <c r="I131" s="77">
        <v>1.0</v>
      </c>
      <c r="J131" s="78"/>
      <c r="K131" s="79" t="str">
        <f t="shared" si="1"/>
        <v>#DIV/0!</v>
      </c>
      <c r="L131" s="80" t="s">
        <v>658</v>
      </c>
      <c r="M131" s="81">
        <v>7.0</v>
      </c>
      <c r="N131" s="92" t="s">
        <v>689</v>
      </c>
      <c r="O131" s="82">
        <v>90.023753</v>
      </c>
      <c r="P131" s="82">
        <v>85.154394</v>
      </c>
      <c r="Q131" s="82">
        <f t="shared" si="67"/>
        <v>4.869359</v>
      </c>
      <c r="R131" s="78">
        <f>IFS(L131="S",21494/2048*1.25)</f>
        <v>13.11889648</v>
      </c>
      <c r="S131" s="83">
        <f t="shared" ref="S131:S133" si="70">IFS(N131="B",Q131/M131/100*249945/R131
*U131,N131="C",Q131/M131/100*249945/R131
)</f>
        <v>132.5320461</v>
      </c>
      <c r="T131" s="84" t="s">
        <v>896</v>
      </c>
      <c r="U131" s="83">
        <f>1728/933</f>
        <v>1.852090032</v>
      </c>
      <c r="V131" s="83" t="str">
        <f t="shared" si="68"/>
        <v>#DIV/0!</v>
      </c>
      <c r="W131" s="83" t="str">
        <f t="shared" si="69"/>
        <v>#DIV/0!</v>
      </c>
    </row>
    <row r="132" ht="26.25" customHeight="1">
      <c r="A132" s="72"/>
      <c r="B132" s="73" t="s">
        <v>845</v>
      </c>
      <c r="C132" s="87" t="s">
        <v>897</v>
      </c>
      <c r="D132" s="75">
        <v>981.0</v>
      </c>
      <c r="E132" s="75" t="s">
        <v>898</v>
      </c>
      <c r="F132" s="76"/>
      <c r="G132" s="77" t="s">
        <v>658</v>
      </c>
      <c r="H132" s="77">
        <f>981+325</f>
        <v>1306</v>
      </c>
      <c r="I132" s="77">
        <v>1.0</v>
      </c>
      <c r="J132" s="78"/>
      <c r="K132" s="79" t="str">
        <f t="shared" si="1"/>
        <v>#DIV/0!</v>
      </c>
      <c r="L132" s="89" t="s">
        <v>303</v>
      </c>
      <c r="M132" s="85" t="s">
        <v>303</v>
      </c>
      <c r="N132" s="85" t="s">
        <v>303</v>
      </c>
      <c r="O132" s="82" t="s">
        <v>303</v>
      </c>
      <c r="P132" s="82" t="s">
        <v>303</v>
      </c>
      <c r="Q132" s="82" t="s">
        <v>303</v>
      </c>
      <c r="R132" s="78" t="s">
        <v>303</v>
      </c>
      <c r="S132" s="83" t="str">
        <f t="shared" si="70"/>
        <v>#N/A</v>
      </c>
      <c r="T132" s="84" t="s">
        <v>739</v>
      </c>
      <c r="U132" s="83">
        <f>(981+325)/(364+325)</f>
        <v>1.895500726</v>
      </c>
      <c r="V132" s="83">
        <f>40828/37864</f>
        <v>1.078280161</v>
      </c>
      <c r="W132" s="83">
        <f>(40828-37864)/(1500000/845)</f>
        <v>1.66972</v>
      </c>
    </row>
    <row r="133" ht="26.25" customHeight="1">
      <c r="A133" s="72"/>
      <c r="B133" s="73" t="s">
        <v>845</v>
      </c>
      <c r="C133" s="87" t="s">
        <v>899</v>
      </c>
      <c r="D133" s="75">
        <v>2385.0</v>
      </c>
      <c r="E133" s="75" t="s">
        <v>900</v>
      </c>
      <c r="F133" s="76" t="s">
        <v>762</v>
      </c>
      <c r="G133" s="77" t="s">
        <v>658</v>
      </c>
      <c r="H133" s="77">
        <v>2385.0</v>
      </c>
      <c r="I133" s="77">
        <v>1.0</v>
      </c>
      <c r="J133" s="78"/>
      <c r="K133" s="79" t="str">
        <f t="shared" si="1"/>
        <v>#DIV/0!</v>
      </c>
      <c r="L133" s="80" t="s">
        <v>658</v>
      </c>
      <c r="M133" s="81">
        <v>15.0</v>
      </c>
      <c r="N133" s="92" t="s">
        <v>659</v>
      </c>
      <c r="O133" s="82">
        <v>89.073634</v>
      </c>
      <c r="P133" s="82">
        <v>84.56057</v>
      </c>
      <c r="Q133" s="82">
        <f>O133-P133</f>
        <v>4.513064</v>
      </c>
      <c r="R133" s="78">
        <f>IFS(L133="S",21494/2048*1.25)</f>
        <v>13.11889648</v>
      </c>
      <c r="S133" s="83">
        <f t="shared" si="70"/>
        <v>183.2639054</v>
      </c>
      <c r="T133" s="84" t="s">
        <v>739</v>
      </c>
      <c r="U133" s="83">
        <f t="shared" ref="U133:U135" si="71">2385/746</f>
        <v>3.197050938</v>
      </c>
      <c r="V133" s="83" t="str">
        <f>S133/K133</f>
        <v>#DIV/0!</v>
      </c>
      <c r="W133" s="83" t="str">
        <f>(S133-K133)*M133*#REF!*#REF!*J133/(249945/845)</f>
        <v>#DIV/0!</v>
      </c>
    </row>
    <row r="134" ht="26.25" customHeight="1">
      <c r="A134" s="72"/>
      <c r="B134" s="73" t="s">
        <v>845</v>
      </c>
      <c r="C134" s="87" t="s">
        <v>899</v>
      </c>
      <c r="D134" s="76"/>
      <c r="E134" s="76"/>
      <c r="F134" s="76" t="s">
        <v>902</v>
      </c>
      <c r="G134" s="77" t="s">
        <v>704</v>
      </c>
      <c r="H134" s="77">
        <f>12354*1.5</f>
        <v>18531</v>
      </c>
      <c r="I134" s="77">
        <v>1.0</v>
      </c>
      <c r="J134" s="78"/>
      <c r="K134" s="79" t="str">
        <f t="shared" si="1"/>
        <v>#DIV/0!</v>
      </c>
      <c r="L134" s="89" t="s">
        <v>303</v>
      </c>
      <c r="M134" s="85" t="s">
        <v>303</v>
      </c>
      <c r="N134" s="85" t="s">
        <v>303</v>
      </c>
      <c r="O134" s="82" t="s">
        <v>303</v>
      </c>
      <c r="P134" s="82" t="s">
        <v>303</v>
      </c>
      <c r="Q134" s="82" t="s">
        <v>303</v>
      </c>
      <c r="R134" s="78" t="s">
        <v>303</v>
      </c>
      <c r="S134" s="83" t="s">
        <v>1247</v>
      </c>
      <c r="T134" s="84" t="s">
        <v>705</v>
      </c>
      <c r="U134" s="83">
        <f t="shared" si="71"/>
        <v>3.197050938</v>
      </c>
      <c r="V134" s="83">
        <f>108284/104315</f>
        <v>1.038048219</v>
      </c>
      <c r="W134" s="83">
        <f>(108284-104315)/(1500000/845)</f>
        <v>2.23587</v>
      </c>
    </row>
    <row r="135" ht="26.25" customHeight="1">
      <c r="A135" s="72"/>
      <c r="B135" s="73" t="s">
        <v>845</v>
      </c>
      <c r="C135" s="87" t="s">
        <v>899</v>
      </c>
      <c r="D135" s="76"/>
      <c r="E135" s="76"/>
      <c r="F135" s="76" t="s">
        <v>901</v>
      </c>
      <c r="G135" s="77" t="s">
        <v>704</v>
      </c>
      <c r="H135" s="77">
        <f>4026*1.5</f>
        <v>6039</v>
      </c>
      <c r="I135" s="77">
        <v>1.0</v>
      </c>
      <c r="J135" s="78"/>
      <c r="K135" s="79" t="str">
        <f t="shared" si="1"/>
        <v>#DIV/0!</v>
      </c>
      <c r="L135" s="80" t="s">
        <v>704</v>
      </c>
      <c r="M135" s="81">
        <v>1.0</v>
      </c>
      <c r="N135" s="81" t="s">
        <v>689</v>
      </c>
      <c r="O135" s="82">
        <v>99.526627</v>
      </c>
      <c r="P135" s="82">
        <v>96.094675</v>
      </c>
      <c r="Q135" s="82">
        <f t="shared" ref="Q135:Q149" si="72">O135-P135</f>
        <v>3.431952</v>
      </c>
      <c r="R135" s="78">
        <f>1.25*1.22</f>
        <v>1.525</v>
      </c>
      <c r="S135" s="83" t="s">
        <v>1247</v>
      </c>
      <c r="T135" s="84" t="s">
        <v>705</v>
      </c>
      <c r="U135" s="83">
        <f t="shared" si="71"/>
        <v>3.197050938</v>
      </c>
      <c r="V135" s="83" t="str">
        <f t="shared" ref="V135:V149" si="73">S135/K135</f>
        <v>#DIV/0!</v>
      </c>
      <c r="W135" s="83" t="str">
        <f t="shared" ref="W135:W149" si="74">(S135-K135)*M135*#REF!*#REF!*J135/(249945/845)</f>
        <v>#DIV/0!</v>
      </c>
    </row>
    <row r="136" ht="26.25" customHeight="1">
      <c r="A136" s="72"/>
      <c r="B136" s="73" t="s">
        <v>845</v>
      </c>
      <c r="C136" s="87" t="s">
        <v>903</v>
      </c>
      <c r="D136" s="75">
        <v>1383.0</v>
      </c>
      <c r="E136" s="75" t="s">
        <v>904</v>
      </c>
      <c r="F136" s="76" t="s">
        <v>736</v>
      </c>
      <c r="G136" s="77" t="s">
        <v>689</v>
      </c>
      <c r="H136" s="77">
        <v>4086.0</v>
      </c>
      <c r="I136" s="77">
        <v>9.0</v>
      </c>
      <c r="J136" s="78"/>
      <c r="K136" s="79" t="str">
        <f t="shared" si="1"/>
        <v>#DIV/0!</v>
      </c>
      <c r="L136" s="80" t="s">
        <v>658</v>
      </c>
      <c r="M136" s="81">
        <v>9.0</v>
      </c>
      <c r="N136" s="92" t="s">
        <v>689</v>
      </c>
      <c r="O136" s="82">
        <v>90.023753</v>
      </c>
      <c r="P136" s="82">
        <v>82.422803</v>
      </c>
      <c r="Q136" s="82">
        <f t="shared" si="72"/>
        <v>7.60095</v>
      </c>
      <c r="R136" s="78">
        <f>IFS(L136="S",21494/2048*1.25)</f>
        <v>13.11889648</v>
      </c>
      <c r="S136" s="83">
        <f>IFS(N136="B",Q136/M136/100*249945/R136
*U136,N136="C",Q136/M136/100*249945/R136
)</f>
        <v>160.9061021</v>
      </c>
      <c r="T136" s="84" t="s">
        <v>739</v>
      </c>
      <c r="U136" s="79">
        <f t="shared" ref="U136:U137" si="75">4086/2799</f>
        <v>1.459807074</v>
      </c>
      <c r="V136" s="83" t="str">
        <f t="shared" si="73"/>
        <v>#DIV/0!</v>
      </c>
      <c r="W136" s="83" t="str">
        <f t="shared" si="74"/>
        <v>#DIV/0!</v>
      </c>
    </row>
    <row r="137" ht="26.25" customHeight="1">
      <c r="A137" s="72"/>
      <c r="B137" s="73" t="s">
        <v>845</v>
      </c>
      <c r="C137" s="87" t="s">
        <v>903</v>
      </c>
      <c r="D137" s="93">
        <v>884.0</v>
      </c>
      <c r="E137" s="93" t="s">
        <v>905</v>
      </c>
      <c r="F137" s="76" t="s">
        <v>906</v>
      </c>
      <c r="G137" s="77" t="s">
        <v>704</v>
      </c>
      <c r="H137" s="77">
        <f>7316*1.5</f>
        <v>10974</v>
      </c>
      <c r="I137" s="77">
        <v>1.0</v>
      </c>
      <c r="J137" s="78"/>
      <c r="K137" s="79" t="str">
        <f t="shared" si="1"/>
        <v>#DIV/0!</v>
      </c>
      <c r="L137" s="80" t="s">
        <v>704</v>
      </c>
      <c r="M137" s="81">
        <v>1.0</v>
      </c>
      <c r="N137" s="81" t="s">
        <v>689</v>
      </c>
      <c r="O137" s="82">
        <v>99.526627</v>
      </c>
      <c r="P137" s="82">
        <v>93.727811</v>
      </c>
      <c r="Q137" s="82">
        <f t="shared" si="72"/>
        <v>5.798816</v>
      </c>
      <c r="R137" s="78">
        <f>1.25*1.22</f>
        <v>1.525</v>
      </c>
      <c r="S137" s="83" t="s">
        <v>1247</v>
      </c>
      <c r="T137" s="84" t="s">
        <v>705</v>
      </c>
      <c r="U137" s="79">
        <f t="shared" si="75"/>
        <v>1.459807074</v>
      </c>
      <c r="V137" s="83" t="str">
        <f t="shared" si="73"/>
        <v>#DIV/0!</v>
      </c>
      <c r="W137" s="83" t="str">
        <f t="shared" si="74"/>
        <v>#DIV/0!</v>
      </c>
    </row>
    <row r="138" ht="26.25" customHeight="1">
      <c r="A138" s="72"/>
      <c r="B138" s="73" t="s">
        <v>907</v>
      </c>
      <c r="C138" s="87" t="s">
        <v>908</v>
      </c>
      <c r="D138" s="76">
        <v>6558.0</v>
      </c>
      <c r="E138" s="76" t="s">
        <v>909</v>
      </c>
      <c r="F138" s="76" t="s">
        <v>910</v>
      </c>
      <c r="G138" s="77" t="s">
        <v>658</v>
      </c>
      <c r="H138" s="77">
        <f>6558*3</f>
        <v>19674</v>
      </c>
      <c r="I138" s="77">
        <v>1.0</v>
      </c>
      <c r="J138" s="78"/>
      <c r="K138" s="79" t="str">
        <f t="shared" si="1"/>
        <v>#DIV/0!</v>
      </c>
      <c r="L138" s="80" t="s">
        <v>658</v>
      </c>
      <c r="M138" s="92">
        <v>3.0</v>
      </c>
      <c r="N138" s="92" t="s">
        <v>689</v>
      </c>
      <c r="O138" s="82">
        <v>90.023753</v>
      </c>
      <c r="P138" s="94">
        <v>66.389549</v>
      </c>
      <c r="Q138" s="82">
        <f t="shared" si="72"/>
        <v>23.634204</v>
      </c>
      <c r="R138" s="78">
        <f t="shared" ref="R138:R149" si="76">IFS(L138="S",21494/2048*1.25)</f>
        <v>13.11889648</v>
      </c>
      <c r="S138" s="83">
        <f t="shared" ref="S138:S149" si="77">IFS(N138="B",Q138/M138/100*249945/R138
*U138,N138="C",Q138/M138/100*249945/R138
)</f>
        <v>1500.95224</v>
      </c>
      <c r="T138" s="84" t="s">
        <v>660</v>
      </c>
      <c r="U138" s="83">
        <f>6558/1906</f>
        <v>3.440713536</v>
      </c>
      <c r="V138" s="83" t="str">
        <f t="shared" si="73"/>
        <v>#DIV/0!</v>
      </c>
      <c r="W138" s="83" t="str">
        <f t="shared" si="74"/>
        <v>#DIV/0!</v>
      </c>
    </row>
    <row r="139" ht="26.25" customHeight="1">
      <c r="A139" s="72"/>
      <c r="B139" s="73" t="s">
        <v>907</v>
      </c>
      <c r="C139" s="87" t="s">
        <v>911</v>
      </c>
      <c r="D139" s="75">
        <v>14067.0</v>
      </c>
      <c r="E139" s="75" t="s">
        <v>912</v>
      </c>
      <c r="F139" s="88"/>
      <c r="G139" s="77" t="s">
        <v>658</v>
      </c>
      <c r="H139" s="77">
        <v>14067.0</v>
      </c>
      <c r="I139" s="77">
        <v>1.0</v>
      </c>
      <c r="J139" s="78"/>
      <c r="K139" s="79" t="str">
        <f t="shared" si="1"/>
        <v>#DIV/0!</v>
      </c>
      <c r="L139" s="80" t="s">
        <v>658</v>
      </c>
      <c r="M139" s="81">
        <v>3.0</v>
      </c>
      <c r="N139" s="81" t="s">
        <v>689</v>
      </c>
      <c r="O139" s="82">
        <v>90.023753</v>
      </c>
      <c r="P139" s="82">
        <v>73.159145</v>
      </c>
      <c r="Q139" s="82">
        <f t="shared" si="72"/>
        <v>16.864608</v>
      </c>
      <c r="R139" s="78">
        <f t="shared" si="76"/>
        <v>13.11889648</v>
      </c>
      <c r="S139" s="83">
        <f t="shared" si="77"/>
        <v>1071.031254</v>
      </c>
      <c r="T139" s="84" t="s">
        <v>739</v>
      </c>
      <c r="U139" s="83">
        <f>14067/4088</f>
        <v>3.441046967</v>
      </c>
      <c r="V139" s="83" t="str">
        <f t="shared" si="73"/>
        <v>#DIV/0!</v>
      </c>
      <c r="W139" s="83" t="str">
        <f t="shared" si="74"/>
        <v>#DIV/0!</v>
      </c>
    </row>
    <row r="140" ht="26.25" customHeight="1">
      <c r="A140" s="72"/>
      <c r="B140" s="73" t="s">
        <v>907</v>
      </c>
      <c r="C140" s="87" t="s">
        <v>459</v>
      </c>
      <c r="D140" s="75">
        <v>5735.0</v>
      </c>
      <c r="E140" s="75" t="s">
        <v>913</v>
      </c>
      <c r="F140" s="75" t="s">
        <v>914</v>
      </c>
      <c r="G140" s="77" t="s">
        <v>658</v>
      </c>
      <c r="H140" s="77">
        <f>5735*3</f>
        <v>17205</v>
      </c>
      <c r="I140" s="77">
        <v>1.0</v>
      </c>
      <c r="J140" s="78"/>
      <c r="K140" s="79" t="str">
        <f t="shared" si="1"/>
        <v>#DIV/0!</v>
      </c>
      <c r="L140" s="80" t="s">
        <v>658</v>
      </c>
      <c r="M140" s="81">
        <v>2.0</v>
      </c>
      <c r="N140" s="81" t="s">
        <v>689</v>
      </c>
      <c r="O140" s="82">
        <v>90.023753</v>
      </c>
      <c r="P140" s="82">
        <v>76.247031</v>
      </c>
      <c r="Q140" s="82">
        <f t="shared" si="72"/>
        <v>13.776722</v>
      </c>
      <c r="R140" s="78">
        <f t="shared" si="76"/>
        <v>13.11889648</v>
      </c>
      <c r="S140" s="83">
        <f t="shared" si="77"/>
        <v>1312.390407</v>
      </c>
      <c r="T140" s="84" t="s">
        <v>739</v>
      </c>
      <c r="U140" s="83">
        <f>5735/1667</f>
        <v>3.440311938</v>
      </c>
      <c r="V140" s="83" t="str">
        <f t="shared" si="73"/>
        <v>#DIV/0!</v>
      </c>
      <c r="W140" s="83" t="str">
        <f t="shared" si="74"/>
        <v>#DIV/0!</v>
      </c>
    </row>
    <row r="141" ht="26.25" customHeight="1">
      <c r="A141" s="72"/>
      <c r="B141" s="73" t="s">
        <v>907</v>
      </c>
      <c r="C141" s="74" t="s">
        <v>559</v>
      </c>
      <c r="D141" s="75">
        <v>15830.0</v>
      </c>
      <c r="E141" s="75" t="s">
        <v>915</v>
      </c>
      <c r="F141" s="75" t="s">
        <v>916</v>
      </c>
      <c r="G141" s="77" t="s">
        <v>658</v>
      </c>
      <c r="H141" s="77">
        <v>15830.0</v>
      </c>
      <c r="I141" s="77">
        <v>1.0</v>
      </c>
      <c r="J141" s="78"/>
      <c r="K141" s="79" t="str">
        <f t="shared" si="1"/>
        <v>#DIV/0!</v>
      </c>
      <c r="L141" s="80" t="s">
        <v>658</v>
      </c>
      <c r="M141" s="81">
        <v>6.0</v>
      </c>
      <c r="N141" s="81" t="s">
        <v>689</v>
      </c>
      <c r="O141" s="82">
        <v>90.023753</v>
      </c>
      <c r="P141" s="82">
        <v>52.019002</v>
      </c>
      <c r="Q141" s="82">
        <f t="shared" si="72"/>
        <v>38.004751</v>
      </c>
      <c r="R141" s="78">
        <f t="shared" si="76"/>
        <v>13.11889648</v>
      </c>
      <c r="S141" s="83">
        <f t="shared" si="77"/>
        <v>1206.795798</v>
      </c>
      <c r="T141" s="84" t="s">
        <v>739</v>
      </c>
      <c r="U141" s="83">
        <f>15830/4600</f>
        <v>3.441304348</v>
      </c>
      <c r="V141" s="83" t="str">
        <f t="shared" si="73"/>
        <v>#DIV/0!</v>
      </c>
      <c r="W141" s="83" t="str">
        <f t="shared" si="74"/>
        <v>#DIV/0!</v>
      </c>
    </row>
    <row r="142" ht="26.25" customHeight="1">
      <c r="A142" s="72"/>
      <c r="B142" s="73" t="s">
        <v>907</v>
      </c>
      <c r="C142" s="87" t="s">
        <v>917</v>
      </c>
      <c r="D142" s="75">
        <v>12798.0</v>
      </c>
      <c r="E142" s="75" t="s">
        <v>918</v>
      </c>
      <c r="F142" s="76"/>
      <c r="G142" s="77" t="s">
        <v>658</v>
      </c>
      <c r="H142" s="77">
        <v>12798.0</v>
      </c>
      <c r="I142" s="77">
        <v>1.0</v>
      </c>
      <c r="J142" s="78"/>
      <c r="K142" s="79" t="str">
        <f t="shared" si="1"/>
        <v>#DIV/0!</v>
      </c>
      <c r="L142" s="80" t="s">
        <v>658</v>
      </c>
      <c r="M142" s="81">
        <v>3.0</v>
      </c>
      <c r="N142" s="81" t="s">
        <v>689</v>
      </c>
      <c r="O142" s="82">
        <v>90.023753</v>
      </c>
      <c r="P142" s="82">
        <v>74.584323</v>
      </c>
      <c r="Q142" s="82">
        <f t="shared" si="72"/>
        <v>15.43943</v>
      </c>
      <c r="R142" s="78">
        <f t="shared" si="76"/>
        <v>13.11889648</v>
      </c>
      <c r="S142" s="83">
        <f t="shared" si="77"/>
        <v>980.5215797</v>
      </c>
      <c r="T142" s="84" t="s">
        <v>739</v>
      </c>
      <c r="U142" s="83">
        <f>12798/3719</f>
        <v>3.441247647</v>
      </c>
      <c r="V142" s="83" t="str">
        <f t="shared" si="73"/>
        <v>#DIV/0!</v>
      </c>
      <c r="W142" s="83" t="str">
        <f t="shared" si="74"/>
        <v>#DIV/0!</v>
      </c>
    </row>
    <row r="143" ht="26.25" customHeight="1">
      <c r="A143" s="72"/>
      <c r="B143" s="73" t="s">
        <v>907</v>
      </c>
      <c r="C143" s="87" t="s">
        <v>684</v>
      </c>
      <c r="D143" s="76">
        <v>13686.0</v>
      </c>
      <c r="E143" s="76" t="s">
        <v>919</v>
      </c>
      <c r="F143" s="76" t="s">
        <v>756</v>
      </c>
      <c r="G143" s="77" t="s">
        <v>658</v>
      </c>
      <c r="H143" s="77">
        <v>13686.0</v>
      </c>
      <c r="I143" s="77">
        <v>1.0</v>
      </c>
      <c r="J143" s="78"/>
      <c r="K143" s="79" t="str">
        <f t="shared" si="1"/>
        <v>#DIV/0!</v>
      </c>
      <c r="L143" s="80" t="s">
        <v>658</v>
      </c>
      <c r="M143" s="92">
        <v>5.0</v>
      </c>
      <c r="N143" s="92" t="s">
        <v>689</v>
      </c>
      <c r="O143" s="82">
        <v>90.023753</v>
      </c>
      <c r="P143" s="94">
        <v>62.707838</v>
      </c>
      <c r="Q143" s="82">
        <f t="shared" si="72"/>
        <v>27.315915</v>
      </c>
      <c r="R143" s="78">
        <f t="shared" si="76"/>
        <v>13.11889648</v>
      </c>
      <c r="S143" s="83">
        <f t="shared" si="77"/>
        <v>1040.861384</v>
      </c>
      <c r="T143" s="84" t="s">
        <v>660</v>
      </c>
      <c r="U143" s="83">
        <f>13686/3977</f>
        <v>3.441287403</v>
      </c>
      <c r="V143" s="83" t="str">
        <f t="shared" si="73"/>
        <v>#DIV/0!</v>
      </c>
      <c r="W143" s="83" t="str">
        <f t="shared" si="74"/>
        <v>#DIV/0!</v>
      </c>
    </row>
    <row r="144" ht="26.25" customHeight="1">
      <c r="A144" s="72"/>
      <c r="B144" s="73" t="s">
        <v>907</v>
      </c>
      <c r="C144" s="87" t="s">
        <v>920</v>
      </c>
      <c r="D144" s="75">
        <v>32000.0</v>
      </c>
      <c r="E144" s="75" t="s">
        <v>921</v>
      </c>
      <c r="F144" s="88"/>
      <c r="G144" s="77" t="s">
        <v>658</v>
      </c>
      <c r="H144" s="77">
        <v>32000.0</v>
      </c>
      <c r="I144" s="77">
        <v>1.0</v>
      </c>
      <c r="J144" s="78"/>
      <c r="K144" s="79" t="str">
        <f t="shared" si="1"/>
        <v>#DIV/0!</v>
      </c>
      <c r="L144" s="80" t="s">
        <v>658</v>
      </c>
      <c r="M144" s="81">
        <v>4.0</v>
      </c>
      <c r="N144" s="81" t="s">
        <v>689</v>
      </c>
      <c r="O144" s="82">
        <v>90.023753</v>
      </c>
      <c r="P144" s="82">
        <v>38.836105</v>
      </c>
      <c r="Q144" s="82">
        <f t="shared" si="72"/>
        <v>51.187648</v>
      </c>
      <c r="R144" s="78">
        <f t="shared" si="76"/>
        <v>13.11889648</v>
      </c>
      <c r="S144" s="83">
        <f t="shared" si="77"/>
        <v>2438.104587</v>
      </c>
      <c r="T144" s="84" t="s">
        <v>739</v>
      </c>
      <c r="U144" s="83">
        <f>32000/23149</f>
        <v>1.38234913</v>
      </c>
      <c r="V144" s="83" t="str">
        <f t="shared" si="73"/>
        <v>#DIV/0!</v>
      </c>
      <c r="W144" s="83" t="str">
        <f t="shared" si="74"/>
        <v>#DIV/0!</v>
      </c>
    </row>
    <row r="145" ht="26.25" customHeight="1">
      <c r="A145" s="72"/>
      <c r="B145" s="73" t="s">
        <v>907</v>
      </c>
      <c r="C145" s="87" t="s">
        <v>411</v>
      </c>
      <c r="D145" s="75">
        <v>20697.0</v>
      </c>
      <c r="E145" s="75" t="s">
        <v>924</v>
      </c>
      <c r="F145" s="76" t="s">
        <v>925</v>
      </c>
      <c r="G145" s="77" t="s">
        <v>658</v>
      </c>
      <c r="H145" s="77">
        <v>20697.0</v>
      </c>
      <c r="I145" s="77">
        <v>1.0</v>
      </c>
      <c r="J145" s="78"/>
      <c r="K145" s="79" t="str">
        <f t="shared" si="1"/>
        <v>#DIV/0!</v>
      </c>
      <c r="L145" s="80" t="s">
        <v>658</v>
      </c>
      <c r="M145" s="81">
        <v>4.0</v>
      </c>
      <c r="N145" s="81" t="s">
        <v>689</v>
      </c>
      <c r="O145" s="82">
        <v>79.216152</v>
      </c>
      <c r="P145" s="82">
        <v>46.08076</v>
      </c>
      <c r="Q145" s="82">
        <f t="shared" si="72"/>
        <v>33.135392</v>
      </c>
      <c r="R145" s="78">
        <f t="shared" si="76"/>
        <v>13.11889648</v>
      </c>
      <c r="S145" s="83">
        <f t="shared" si="77"/>
        <v>1578.262616</v>
      </c>
      <c r="T145" s="84" t="s">
        <v>739</v>
      </c>
      <c r="U145" s="83">
        <f>20967/6015</f>
        <v>3.485785536</v>
      </c>
      <c r="V145" s="83" t="str">
        <f t="shared" si="73"/>
        <v>#DIV/0!</v>
      </c>
      <c r="W145" s="83" t="str">
        <f t="shared" si="74"/>
        <v>#DIV/0!</v>
      </c>
    </row>
    <row r="146" ht="26.25" customHeight="1">
      <c r="A146" s="72"/>
      <c r="B146" s="73" t="s">
        <v>907</v>
      </c>
      <c r="C146" s="87" t="s">
        <v>411</v>
      </c>
      <c r="D146" s="75">
        <v>8653.0</v>
      </c>
      <c r="E146" s="75" t="s">
        <v>922</v>
      </c>
      <c r="F146" s="76" t="s">
        <v>923</v>
      </c>
      <c r="G146" s="77" t="s">
        <v>658</v>
      </c>
      <c r="H146" s="77">
        <f>8653*3*2</f>
        <v>51918</v>
      </c>
      <c r="I146" s="77">
        <v>2.0</v>
      </c>
      <c r="J146" s="78"/>
      <c r="K146" s="79" t="str">
        <f t="shared" si="1"/>
        <v>#DIV/0!</v>
      </c>
      <c r="L146" s="80" t="s">
        <v>658</v>
      </c>
      <c r="M146" s="81">
        <v>2.0</v>
      </c>
      <c r="N146" s="81" t="s">
        <v>689</v>
      </c>
      <c r="O146" s="82">
        <v>90.023753</v>
      </c>
      <c r="P146" s="82">
        <v>69.239905</v>
      </c>
      <c r="Q146" s="82">
        <f t="shared" si="72"/>
        <v>20.783848</v>
      </c>
      <c r="R146" s="78">
        <f t="shared" si="76"/>
        <v>13.11889648</v>
      </c>
      <c r="S146" s="83">
        <f t="shared" si="77"/>
        <v>1979.899336</v>
      </c>
      <c r="T146" s="84" t="s">
        <v>896</v>
      </c>
      <c r="U146" s="83">
        <f>8653/2515</f>
        <v>3.44055666</v>
      </c>
      <c r="V146" s="83" t="str">
        <f t="shared" si="73"/>
        <v>#DIV/0!</v>
      </c>
      <c r="W146" s="83" t="str">
        <f t="shared" si="74"/>
        <v>#DIV/0!</v>
      </c>
    </row>
    <row r="147" ht="26.25" customHeight="1">
      <c r="A147" s="72"/>
      <c r="B147" s="73" t="s">
        <v>926</v>
      </c>
      <c r="C147" s="87" t="s">
        <v>656</v>
      </c>
      <c r="D147" s="76">
        <v>1377.0</v>
      </c>
      <c r="E147" s="76" t="s">
        <v>927</v>
      </c>
      <c r="F147" s="88"/>
      <c r="G147" s="77" t="s">
        <v>658</v>
      </c>
      <c r="H147" s="77">
        <v>1377.0</v>
      </c>
      <c r="I147" s="77">
        <v>1.0</v>
      </c>
      <c r="J147" s="78"/>
      <c r="K147" s="79" t="str">
        <f t="shared" si="1"/>
        <v>#DIV/0!</v>
      </c>
      <c r="L147" s="80" t="s">
        <v>658</v>
      </c>
      <c r="M147" s="92">
        <v>52.0</v>
      </c>
      <c r="N147" s="92" t="s">
        <v>659</v>
      </c>
      <c r="O147" s="82">
        <v>90.023753</v>
      </c>
      <c r="P147" s="94">
        <v>69.5962</v>
      </c>
      <c r="Q147" s="82">
        <f t="shared" si="72"/>
        <v>20.427553</v>
      </c>
      <c r="R147" s="78">
        <f t="shared" si="76"/>
        <v>13.11889648</v>
      </c>
      <c r="S147" s="83">
        <f t="shared" si="77"/>
        <v>104.9500387</v>
      </c>
      <c r="T147" s="84" t="s">
        <v>660</v>
      </c>
      <c r="U147" s="83">
        <f>1377/982</f>
        <v>1.402240326</v>
      </c>
      <c r="V147" s="83" t="str">
        <f t="shared" si="73"/>
        <v>#DIV/0!</v>
      </c>
      <c r="W147" s="83" t="str">
        <f t="shared" si="74"/>
        <v>#DIV/0!</v>
      </c>
    </row>
    <row r="148" ht="26.25" customHeight="1">
      <c r="A148" s="72"/>
      <c r="B148" s="73" t="s">
        <v>926</v>
      </c>
      <c r="C148" s="87" t="s">
        <v>758</v>
      </c>
      <c r="D148" s="76">
        <v>1111.0</v>
      </c>
      <c r="E148" s="76" t="s">
        <v>928</v>
      </c>
      <c r="F148" s="88"/>
      <c r="G148" s="77" t="s">
        <v>658</v>
      </c>
      <c r="H148" s="77">
        <v>1111.0</v>
      </c>
      <c r="I148" s="77">
        <v>1.0</v>
      </c>
      <c r="J148" s="78"/>
      <c r="K148" s="79" t="str">
        <f t="shared" si="1"/>
        <v>#DIV/0!</v>
      </c>
      <c r="L148" s="80" t="s">
        <v>658</v>
      </c>
      <c r="M148" s="92">
        <v>46.0</v>
      </c>
      <c r="N148" s="92" t="s">
        <v>659</v>
      </c>
      <c r="O148" s="82">
        <v>90.023753</v>
      </c>
      <c r="P148" s="94">
        <v>74.346793</v>
      </c>
      <c r="Q148" s="82">
        <f t="shared" si="72"/>
        <v>15.67696</v>
      </c>
      <c r="R148" s="78">
        <f t="shared" si="76"/>
        <v>13.11889648</v>
      </c>
      <c r="S148" s="83">
        <f t="shared" si="77"/>
        <v>84.66923402</v>
      </c>
      <c r="T148" s="84" t="s">
        <v>660</v>
      </c>
      <c r="U148" s="83">
        <f>1111/852</f>
        <v>1.30399061</v>
      </c>
      <c r="V148" s="83" t="str">
        <f t="shared" si="73"/>
        <v>#DIV/0!</v>
      </c>
      <c r="W148" s="83" t="str">
        <f t="shared" si="74"/>
        <v>#DIV/0!</v>
      </c>
    </row>
    <row r="149" ht="26.25" customHeight="1">
      <c r="A149" s="85"/>
      <c r="B149" s="85" t="s">
        <v>926</v>
      </c>
      <c r="C149" s="74" t="s">
        <v>929</v>
      </c>
      <c r="D149" s="75">
        <v>827.0</v>
      </c>
      <c r="E149" s="75" t="s">
        <v>930</v>
      </c>
      <c r="F149" s="76"/>
      <c r="G149" s="77" t="s">
        <v>658</v>
      </c>
      <c r="H149" s="77">
        <v>827.0</v>
      </c>
      <c r="I149" s="77">
        <v>1.0</v>
      </c>
      <c r="J149" s="78"/>
      <c r="K149" s="79" t="str">
        <f t="shared" si="1"/>
        <v>#DIV/0!</v>
      </c>
      <c r="L149" s="80" t="s">
        <v>658</v>
      </c>
      <c r="M149" s="81">
        <v>63.0</v>
      </c>
      <c r="N149" s="81" t="s">
        <v>659</v>
      </c>
      <c r="O149" s="82">
        <v>90.023753</v>
      </c>
      <c r="P149" s="82">
        <v>73.990499</v>
      </c>
      <c r="Q149" s="82">
        <f t="shared" si="72"/>
        <v>16.033254</v>
      </c>
      <c r="R149" s="78">
        <f t="shared" si="76"/>
        <v>13.11889648</v>
      </c>
      <c r="S149" s="83">
        <f t="shared" si="77"/>
        <v>63.24766884</v>
      </c>
      <c r="T149" s="84" t="s">
        <v>663</v>
      </c>
      <c r="U149" s="83">
        <f>827/634</f>
        <v>1.304416404</v>
      </c>
      <c r="V149" s="83" t="str">
        <f t="shared" si="73"/>
        <v>#DIV/0!</v>
      </c>
      <c r="W149" s="83" t="str">
        <f t="shared" si="74"/>
        <v>#DIV/0!</v>
      </c>
    </row>
    <row r="150" ht="26.25" customHeight="1">
      <c r="A150" s="72"/>
      <c r="B150" s="73" t="s">
        <v>926</v>
      </c>
      <c r="C150" s="87" t="s">
        <v>931</v>
      </c>
      <c r="D150" s="75">
        <v>1620.0</v>
      </c>
      <c r="E150" s="75" t="s">
        <v>932</v>
      </c>
      <c r="F150" s="75" t="s">
        <v>933</v>
      </c>
      <c r="G150" s="77" t="s">
        <v>658</v>
      </c>
      <c r="H150" s="77">
        <f>1620*48+1131*6</f>
        <v>84546</v>
      </c>
      <c r="I150" s="77">
        <v>48.0</v>
      </c>
      <c r="J150" s="95"/>
      <c r="K150" s="79" t="str">
        <f t="shared" si="1"/>
        <v>#DIV/0!</v>
      </c>
      <c r="L150" s="89" t="s">
        <v>303</v>
      </c>
      <c r="M150" s="85" t="s">
        <v>303</v>
      </c>
      <c r="N150" s="85" t="s">
        <v>303</v>
      </c>
      <c r="O150" s="82" t="s">
        <v>303</v>
      </c>
      <c r="P150" s="82" t="s">
        <v>303</v>
      </c>
      <c r="Q150" s="82" t="s">
        <v>303</v>
      </c>
      <c r="R150" s="78" t="s">
        <v>303</v>
      </c>
      <c r="S150" s="83" t="s">
        <v>1247</v>
      </c>
      <c r="T150" s="84" t="s">
        <v>739</v>
      </c>
      <c r="U150" s="83">
        <f>(1620*8+1131)/(1292*8+1131)</f>
        <v>1.228830557</v>
      </c>
      <c r="V150" s="83">
        <f>30178/27891</f>
        <v>1.081997777</v>
      </c>
      <c r="W150" s="83">
        <f>(30178-27891)/(1500000/845)</f>
        <v>1.288343333</v>
      </c>
    </row>
    <row r="151" ht="26.25" customHeight="1">
      <c r="A151" s="72"/>
      <c r="B151" s="73" t="s">
        <v>926</v>
      </c>
      <c r="C151" s="87" t="s">
        <v>563</v>
      </c>
      <c r="D151" s="75">
        <v>5556.0</v>
      </c>
      <c r="E151" s="75" t="s">
        <v>934</v>
      </c>
      <c r="F151" s="75" t="s">
        <v>935</v>
      </c>
      <c r="G151" s="77" t="s">
        <v>658</v>
      </c>
      <c r="H151" s="77">
        <f>5556+1217</f>
        <v>6773</v>
      </c>
      <c r="I151" s="77">
        <v>1.0</v>
      </c>
      <c r="J151" s="78"/>
      <c r="K151" s="79" t="str">
        <f t="shared" si="1"/>
        <v>#DIV/0!</v>
      </c>
      <c r="L151" s="80" t="s">
        <v>658</v>
      </c>
      <c r="M151" s="81">
        <v>20.0</v>
      </c>
      <c r="N151" s="92" t="s">
        <v>659</v>
      </c>
      <c r="O151" s="82">
        <v>76.247031</v>
      </c>
      <c r="P151" s="82">
        <v>22.090261</v>
      </c>
      <c r="Q151" s="82">
        <f t="shared" ref="Q151:Q152" si="78">O151-P151</f>
        <v>54.15677</v>
      </c>
      <c r="R151" s="78">
        <f t="shared" ref="R151:R152" si="79">IFS(L151="S",21494/2048*1.25)</f>
        <v>13.11889648</v>
      </c>
      <c r="S151" s="83">
        <f t="shared" ref="S151:S172" si="80">IFS(N151="B",Q151/M151/100*249945/R151
*U151,N151="C",Q151/M151/100*249945/R151
)</f>
        <v>515.9052019</v>
      </c>
      <c r="T151" s="84" t="s">
        <v>739</v>
      </c>
      <c r="U151" s="79">
        <v>1.0</v>
      </c>
      <c r="V151" s="83" t="str">
        <f t="shared" ref="V151:V152" si="81">S151/K151</f>
        <v>#DIV/0!</v>
      </c>
      <c r="W151" s="83" t="str">
        <f t="shared" ref="W151:W152" si="82">(S151-K151)*M151*#REF!*#REF!*J151/(249945/845)</f>
        <v>#DIV/0!</v>
      </c>
    </row>
    <row r="152" ht="26.25" customHeight="1">
      <c r="A152" s="72"/>
      <c r="B152" s="73" t="s">
        <v>926</v>
      </c>
      <c r="C152" s="87" t="s">
        <v>563</v>
      </c>
      <c r="D152" s="75">
        <v>7778.0</v>
      </c>
      <c r="E152" s="76"/>
      <c r="F152" s="76"/>
      <c r="G152" s="77" t="s">
        <v>658</v>
      </c>
      <c r="H152" s="77">
        <v>7778.0</v>
      </c>
      <c r="I152" s="77">
        <v>1.0</v>
      </c>
      <c r="J152" s="78"/>
      <c r="K152" s="79" t="str">
        <f t="shared" si="1"/>
        <v>#DIV/0!</v>
      </c>
      <c r="L152" s="80" t="s">
        <v>658</v>
      </c>
      <c r="M152" s="81">
        <v>14.0</v>
      </c>
      <c r="N152" s="92" t="s">
        <v>659</v>
      </c>
      <c r="O152" s="82">
        <v>90.023753</v>
      </c>
      <c r="P152" s="82">
        <v>46.437055</v>
      </c>
      <c r="Q152" s="82">
        <f t="shared" si="78"/>
        <v>43.586698</v>
      </c>
      <c r="R152" s="78">
        <f t="shared" si="79"/>
        <v>13.11889648</v>
      </c>
      <c r="S152" s="83">
        <f t="shared" si="80"/>
        <v>593.1616736</v>
      </c>
      <c r="T152" s="84" t="s">
        <v>739</v>
      </c>
      <c r="U152" s="79">
        <v>1.0</v>
      </c>
      <c r="V152" s="83" t="str">
        <f t="shared" si="81"/>
        <v>#DIV/0!</v>
      </c>
      <c r="W152" s="83" t="str">
        <f t="shared" si="82"/>
        <v>#DIV/0!</v>
      </c>
    </row>
    <row r="153" ht="26.25" customHeight="1">
      <c r="A153" s="72"/>
      <c r="B153" s="73" t="s">
        <v>926</v>
      </c>
      <c r="C153" s="87" t="s">
        <v>936</v>
      </c>
      <c r="D153" s="75">
        <v>771.0</v>
      </c>
      <c r="E153" s="75" t="s">
        <v>937</v>
      </c>
      <c r="F153" s="76"/>
      <c r="G153" s="77" t="s">
        <v>658</v>
      </c>
      <c r="H153" s="77">
        <v>771.0</v>
      </c>
      <c r="I153" s="77">
        <v>1.0</v>
      </c>
      <c r="J153" s="78"/>
      <c r="K153" s="79" t="str">
        <f t="shared" si="1"/>
        <v>#DIV/0!</v>
      </c>
      <c r="L153" s="89" t="s">
        <v>303</v>
      </c>
      <c r="M153" s="85" t="s">
        <v>303</v>
      </c>
      <c r="N153" s="85" t="s">
        <v>303</v>
      </c>
      <c r="O153" s="82" t="s">
        <v>303</v>
      </c>
      <c r="P153" s="82" t="s">
        <v>303</v>
      </c>
      <c r="Q153" s="82" t="s">
        <v>303</v>
      </c>
      <c r="R153" s="78" t="s">
        <v>303</v>
      </c>
      <c r="S153" s="83" t="str">
        <f t="shared" si="80"/>
        <v>#N/A</v>
      </c>
      <c r="T153" s="84" t="s">
        <v>739</v>
      </c>
      <c r="U153" s="83">
        <f>771/639</f>
        <v>1.20657277</v>
      </c>
      <c r="V153" s="83">
        <f>31953/32079</f>
        <v>0.9960721968</v>
      </c>
      <c r="W153" s="83">
        <f>(31953-32079)/(1500000/845)</f>
        <v>-0.07098</v>
      </c>
    </row>
    <row r="154" ht="26.25" customHeight="1">
      <c r="A154" s="72"/>
      <c r="B154" s="73" t="s">
        <v>926</v>
      </c>
      <c r="C154" s="87" t="s">
        <v>676</v>
      </c>
      <c r="D154" s="76">
        <v>1620.0</v>
      </c>
      <c r="E154" s="76" t="s">
        <v>938</v>
      </c>
      <c r="F154" s="88"/>
      <c r="G154" s="77" t="s">
        <v>658</v>
      </c>
      <c r="H154" s="77">
        <v>1620.0</v>
      </c>
      <c r="I154" s="77">
        <v>1.0</v>
      </c>
      <c r="J154" s="78"/>
      <c r="K154" s="79" t="str">
        <f t="shared" si="1"/>
        <v>#DIV/0!</v>
      </c>
      <c r="L154" s="80" t="s">
        <v>658</v>
      </c>
      <c r="M154" s="92">
        <v>20.0</v>
      </c>
      <c r="N154" s="92" t="s">
        <v>659</v>
      </c>
      <c r="O154" s="82">
        <v>90.023753</v>
      </c>
      <c r="P154" s="94">
        <v>80.997625</v>
      </c>
      <c r="Q154" s="82">
        <f t="shared" ref="Q154:Q156" si="83">O154-P154</f>
        <v>9.026128</v>
      </c>
      <c r="R154" s="78">
        <f t="shared" ref="R154:R156" si="84">IFS(L154="S",21494/2048*1.25)</f>
        <v>13.11889648</v>
      </c>
      <c r="S154" s="83">
        <f t="shared" si="80"/>
        <v>123.9274016</v>
      </c>
      <c r="T154" s="84" t="s">
        <v>896</v>
      </c>
      <c r="U154" s="83">
        <f>1620/1124</f>
        <v>1.441281139</v>
      </c>
      <c r="V154" s="83" t="str">
        <f t="shared" ref="V154:V156" si="85">S154/K154</f>
        <v>#DIV/0!</v>
      </c>
      <c r="W154" s="83" t="str">
        <f t="shared" ref="W154:W156" si="86">(S154-K154)*M154*#REF!*#REF!*J154/(249945/845)</f>
        <v>#DIV/0!</v>
      </c>
    </row>
    <row r="155" ht="26.25" customHeight="1">
      <c r="A155" s="72"/>
      <c r="B155" s="73" t="s">
        <v>926</v>
      </c>
      <c r="C155" s="87" t="s">
        <v>692</v>
      </c>
      <c r="D155" s="76">
        <v>787.0</v>
      </c>
      <c r="E155" s="76" t="s">
        <v>939</v>
      </c>
      <c r="F155" s="88"/>
      <c r="G155" s="77" t="s">
        <v>658</v>
      </c>
      <c r="H155" s="77">
        <v>787.0</v>
      </c>
      <c r="I155" s="77">
        <v>1.0</v>
      </c>
      <c r="J155" s="78"/>
      <c r="K155" s="79" t="str">
        <f t="shared" si="1"/>
        <v>#DIV/0!</v>
      </c>
      <c r="L155" s="80" t="s">
        <v>658</v>
      </c>
      <c r="M155" s="92">
        <v>64.0</v>
      </c>
      <c r="N155" s="92" t="s">
        <v>659</v>
      </c>
      <c r="O155" s="82">
        <v>90.023753</v>
      </c>
      <c r="P155" s="94">
        <v>74.465558</v>
      </c>
      <c r="Q155" s="82">
        <f t="shared" si="83"/>
        <v>15.558195</v>
      </c>
      <c r="R155" s="78">
        <f t="shared" si="84"/>
        <v>13.11889648</v>
      </c>
      <c r="S155" s="83">
        <f t="shared" si="80"/>
        <v>60.34818018</v>
      </c>
      <c r="T155" s="84" t="s">
        <v>660</v>
      </c>
      <c r="U155" s="83">
        <f>787/604</f>
        <v>1.302980132</v>
      </c>
      <c r="V155" s="83" t="str">
        <f t="shared" si="85"/>
        <v>#DIV/0!</v>
      </c>
      <c r="W155" s="83" t="str">
        <f t="shared" si="86"/>
        <v>#DIV/0!</v>
      </c>
    </row>
    <row r="156" ht="26.25" customHeight="1">
      <c r="A156" s="72"/>
      <c r="B156" s="85" t="s">
        <v>926</v>
      </c>
      <c r="C156" s="74" t="s">
        <v>940</v>
      </c>
      <c r="D156" s="75">
        <v>2262.0</v>
      </c>
      <c r="E156" s="75" t="s">
        <v>941</v>
      </c>
      <c r="F156" s="75"/>
      <c r="G156" s="77" t="s">
        <v>658</v>
      </c>
      <c r="H156" s="77">
        <v>2262.0</v>
      </c>
      <c r="I156" s="77">
        <v>1.0</v>
      </c>
      <c r="J156" s="78"/>
      <c r="K156" s="79" t="str">
        <f t="shared" si="1"/>
        <v>#DIV/0!</v>
      </c>
      <c r="L156" s="80" t="s">
        <v>658</v>
      </c>
      <c r="M156" s="81">
        <v>38.0</v>
      </c>
      <c r="N156" s="81" t="s">
        <v>659</v>
      </c>
      <c r="O156" s="82">
        <v>90.023753</v>
      </c>
      <c r="P156" s="82">
        <v>66.152019</v>
      </c>
      <c r="Q156" s="82">
        <f t="shared" si="83"/>
        <v>23.871734</v>
      </c>
      <c r="R156" s="78">
        <f t="shared" si="84"/>
        <v>13.11889648</v>
      </c>
      <c r="S156" s="83">
        <f t="shared" si="80"/>
        <v>172.4409736</v>
      </c>
      <c r="T156" s="84" t="s">
        <v>757</v>
      </c>
      <c r="U156" s="83">
        <f>2262/1570</f>
        <v>1.440764331</v>
      </c>
      <c r="V156" s="83" t="str">
        <f t="shared" si="85"/>
        <v>#DIV/0!</v>
      </c>
      <c r="W156" s="83" t="str">
        <f t="shared" si="86"/>
        <v>#DIV/0!</v>
      </c>
    </row>
    <row r="157" ht="26.25" customHeight="1">
      <c r="A157" s="72"/>
      <c r="B157" s="73" t="s">
        <v>926</v>
      </c>
      <c r="C157" s="87" t="s">
        <v>413</v>
      </c>
      <c r="D157" s="75">
        <v>1377.0</v>
      </c>
      <c r="E157" s="75" t="s">
        <v>927</v>
      </c>
      <c r="F157" s="75" t="s">
        <v>942</v>
      </c>
      <c r="G157" s="77" t="s">
        <v>704</v>
      </c>
      <c r="H157" s="77">
        <f>22317*1.5</f>
        <v>33475.5</v>
      </c>
      <c r="I157" s="77">
        <v>173.0</v>
      </c>
      <c r="J157" s="78"/>
      <c r="K157" s="79" t="str">
        <f t="shared" si="1"/>
        <v>#DIV/0!</v>
      </c>
      <c r="L157" s="89" t="s">
        <v>303</v>
      </c>
      <c r="M157" s="85" t="s">
        <v>303</v>
      </c>
      <c r="N157" s="85" t="s">
        <v>303</v>
      </c>
      <c r="O157" s="82" t="s">
        <v>303</v>
      </c>
      <c r="P157" s="82" t="s">
        <v>303</v>
      </c>
      <c r="Q157" s="82" t="s">
        <v>303</v>
      </c>
      <c r="R157" s="78" t="s">
        <v>303</v>
      </c>
      <c r="S157" s="83" t="str">
        <f t="shared" si="80"/>
        <v>#N/A</v>
      </c>
      <c r="T157" s="84" t="s">
        <v>705</v>
      </c>
      <c r="U157" s="83">
        <f>1377/982</f>
        <v>1.402240326</v>
      </c>
      <c r="V157" s="83">
        <f>24852/24942</f>
        <v>0.9963916286</v>
      </c>
      <c r="W157" s="83">
        <f>(24852-24942)/(1500000/845)</f>
        <v>-0.0507</v>
      </c>
    </row>
    <row r="158" ht="26.25" customHeight="1">
      <c r="A158" s="72"/>
      <c r="B158" s="73" t="s">
        <v>926</v>
      </c>
      <c r="C158" s="87" t="s">
        <v>943</v>
      </c>
      <c r="D158" s="75">
        <v>7838.0</v>
      </c>
      <c r="E158" s="75" t="s">
        <v>944</v>
      </c>
      <c r="F158" s="88"/>
      <c r="G158" s="77" t="s">
        <v>658</v>
      </c>
      <c r="H158" s="77">
        <f>7838+2280</f>
        <v>10118</v>
      </c>
      <c r="I158" s="77">
        <v>1.0</v>
      </c>
      <c r="J158" s="78"/>
      <c r="K158" s="79" t="str">
        <f t="shared" si="1"/>
        <v>#DIV/0!</v>
      </c>
      <c r="L158" s="80" t="s">
        <v>658</v>
      </c>
      <c r="M158" s="81">
        <v>11.0</v>
      </c>
      <c r="N158" s="79" t="s">
        <v>659</v>
      </c>
      <c r="O158" s="82">
        <v>90.023753</v>
      </c>
      <c r="P158" s="82">
        <v>45.486936</v>
      </c>
      <c r="Q158" s="82">
        <f t="shared" ref="Q158:Q169" si="87">O158-P158</f>
        <v>44.536817</v>
      </c>
      <c r="R158" s="78">
        <f t="shared" ref="R158:R169" si="88">IFS(L158="S",21494/2048*1.25)</f>
        <v>13.11889648</v>
      </c>
      <c r="S158" s="83">
        <f t="shared" si="80"/>
        <v>771.3893493</v>
      </c>
      <c r="T158" s="84" t="s">
        <v>739</v>
      </c>
      <c r="U158" s="79">
        <v>1.0</v>
      </c>
      <c r="V158" s="83" t="str">
        <f t="shared" ref="V158:V169" si="89">S158/K158</f>
        <v>#DIV/0!</v>
      </c>
      <c r="W158" s="83" t="str">
        <f t="shared" ref="W158:W169" si="90">(S158-K158)*M158*#REF!*#REF!*J158/(249945/845)</f>
        <v>#DIV/0!</v>
      </c>
    </row>
    <row r="159" ht="26.25" customHeight="1">
      <c r="A159" s="72"/>
      <c r="B159" s="73" t="s">
        <v>945</v>
      </c>
      <c r="C159" s="87" t="s">
        <v>656</v>
      </c>
      <c r="D159" s="76">
        <v>557.0</v>
      </c>
      <c r="E159" s="76" t="s">
        <v>946</v>
      </c>
      <c r="F159" s="76" t="s">
        <v>852</v>
      </c>
      <c r="G159" s="77" t="s">
        <v>658</v>
      </c>
      <c r="H159" s="77">
        <f>557*3</f>
        <v>1671</v>
      </c>
      <c r="I159" s="77">
        <v>1.0</v>
      </c>
      <c r="J159" s="78"/>
      <c r="K159" s="79" t="str">
        <f t="shared" si="1"/>
        <v>#DIV/0!</v>
      </c>
      <c r="L159" s="80" t="s">
        <v>658</v>
      </c>
      <c r="M159" s="92">
        <v>14.0</v>
      </c>
      <c r="N159" s="92" t="s">
        <v>659</v>
      </c>
      <c r="O159" s="82">
        <v>90.023753</v>
      </c>
      <c r="P159" s="94">
        <v>84.441805</v>
      </c>
      <c r="Q159" s="82">
        <f t="shared" si="87"/>
        <v>5.581948</v>
      </c>
      <c r="R159" s="78">
        <f t="shared" si="88"/>
        <v>13.11889648</v>
      </c>
      <c r="S159" s="83">
        <f t="shared" si="80"/>
        <v>125.9275682</v>
      </c>
      <c r="T159" s="84" t="s">
        <v>660</v>
      </c>
      <c r="U159" s="83">
        <f>557/336</f>
        <v>1.657738095</v>
      </c>
      <c r="V159" s="83" t="str">
        <f t="shared" si="89"/>
        <v>#DIV/0!</v>
      </c>
      <c r="W159" s="83" t="str">
        <f t="shared" si="90"/>
        <v>#DIV/0!</v>
      </c>
    </row>
    <row r="160" ht="26.25" customHeight="1">
      <c r="A160" s="72"/>
      <c r="B160" s="73" t="s">
        <v>945</v>
      </c>
      <c r="C160" s="87" t="s">
        <v>947</v>
      </c>
      <c r="D160" s="76">
        <v>462.0</v>
      </c>
      <c r="E160" s="76" t="s">
        <v>948</v>
      </c>
      <c r="F160" s="76" t="s">
        <v>852</v>
      </c>
      <c r="G160" s="77" t="s">
        <v>658</v>
      </c>
      <c r="H160" s="77">
        <f>462*4</f>
        <v>1848</v>
      </c>
      <c r="I160" s="77">
        <v>1.0</v>
      </c>
      <c r="J160" s="78"/>
      <c r="K160" s="79" t="str">
        <f t="shared" si="1"/>
        <v>#DIV/0!</v>
      </c>
      <c r="L160" s="80" t="s">
        <v>658</v>
      </c>
      <c r="M160" s="92">
        <v>12.0</v>
      </c>
      <c r="N160" s="92" t="s">
        <v>659</v>
      </c>
      <c r="O160" s="82">
        <v>90.023753</v>
      </c>
      <c r="P160" s="94">
        <v>85.510689</v>
      </c>
      <c r="Q160" s="82">
        <f t="shared" si="87"/>
        <v>4.513064</v>
      </c>
      <c r="R160" s="78">
        <f t="shared" si="88"/>
        <v>13.11889648</v>
      </c>
      <c r="S160" s="83">
        <f t="shared" si="80"/>
        <v>139.67897</v>
      </c>
      <c r="T160" s="84" t="s">
        <v>660</v>
      </c>
      <c r="U160" s="83">
        <f>462/237</f>
        <v>1.949367089</v>
      </c>
      <c r="V160" s="83" t="str">
        <f t="shared" si="89"/>
        <v>#DIV/0!</v>
      </c>
      <c r="W160" s="83" t="str">
        <f t="shared" si="90"/>
        <v>#DIV/0!</v>
      </c>
    </row>
    <row r="161" ht="26.25" customHeight="1">
      <c r="A161" s="72"/>
      <c r="B161" s="73" t="s">
        <v>945</v>
      </c>
      <c r="C161" s="87" t="s">
        <v>949</v>
      </c>
      <c r="D161" s="75">
        <v>481.0</v>
      </c>
      <c r="E161" s="75" t="s">
        <v>950</v>
      </c>
      <c r="F161" s="76" t="s">
        <v>852</v>
      </c>
      <c r="G161" s="77" t="s">
        <v>658</v>
      </c>
      <c r="H161" s="77">
        <f>481*3</f>
        <v>1443</v>
      </c>
      <c r="I161" s="77">
        <v>1.0</v>
      </c>
      <c r="J161" s="78"/>
      <c r="K161" s="79" t="str">
        <f t="shared" si="1"/>
        <v>#DIV/0!</v>
      </c>
      <c r="L161" s="80" t="s">
        <v>658</v>
      </c>
      <c r="M161" s="81">
        <v>17.0</v>
      </c>
      <c r="N161" s="81" t="s">
        <v>659</v>
      </c>
      <c r="O161" s="82">
        <v>90.023753</v>
      </c>
      <c r="P161" s="82">
        <v>83.847981</v>
      </c>
      <c r="Q161" s="82">
        <f t="shared" si="87"/>
        <v>6.175772</v>
      </c>
      <c r="R161" s="78">
        <f t="shared" si="88"/>
        <v>13.11889648</v>
      </c>
      <c r="S161" s="83">
        <f t="shared" si="80"/>
        <v>110.6032941</v>
      </c>
      <c r="T161" s="84" t="s">
        <v>739</v>
      </c>
      <c r="U161" s="83">
        <f>481/301</f>
        <v>1.598006645</v>
      </c>
      <c r="V161" s="83" t="str">
        <f t="shared" si="89"/>
        <v>#DIV/0!</v>
      </c>
      <c r="W161" s="83" t="str">
        <f t="shared" si="90"/>
        <v>#DIV/0!</v>
      </c>
    </row>
    <row r="162" ht="26.25" customHeight="1">
      <c r="A162" s="85"/>
      <c r="B162" s="85" t="s">
        <v>945</v>
      </c>
      <c r="C162" s="74" t="s">
        <v>951</v>
      </c>
      <c r="D162" s="75">
        <v>513.0</v>
      </c>
      <c r="E162" s="75" t="s">
        <v>952</v>
      </c>
      <c r="F162" s="76" t="s">
        <v>852</v>
      </c>
      <c r="G162" s="77" t="s">
        <v>658</v>
      </c>
      <c r="H162" s="77">
        <f>513*3</f>
        <v>1539</v>
      </c>
      <c r="I162" s="77">
        <v>1.0</v>
      </c>
      <c r="J162" s="78"/>
      <c r="K162" s="79" t="str">
        <f t="shared" si="1"/>
        <v>#DIV/0!</v>
      </c>
      <c r="L162" s="80" t="s">
        <v>658</v>
      </c>
      <c r="M162" s="81">
        <v>19.0</v>
      </c>
      <c r="N162" s="81" t="s">
        <v>659</v>
      </c>
      <c r="O162" s="82">
        <v>90.023753</v>
      </c>
      <c r="P162" s="82">
        <v>83.491686</v>
      </c>
      <c r="Q162" s="82">
        <f t="shared" si="87"/>
        <v>6.532067</v>
      </c>
      <c r="R162" s="78">
        <f t="shared" si="88"/>
        <v>13.11889648</v>
      </c>
      <c r="S162" s="83">
        <f t="shared" si="80"/>
        <v>117.4885408</v>
      </c>
      <c r="T162" s="84" t="s">
        <v>663</v>
      </c>
      <c r="U162" s="83">
        <f>513/286</f>
        <v>1.793706294</v>
      </c>
      <c r="V162" s="83" t="str">
        <f t="shared" si="89"/>
        <v>#DIV/0!</v>
      </c>
      <c r="W162" s="83" t="str">
        <f t="shared" si="90"/>
        <v>#DIV/0!</v>
      </c>
    </row>
    <row r="163" ht="26.25" customHeight="1">
      <c r="A163" s="72"/>
      <c r="B163" s="73" t="s">
        <v>945</v>
      </c>
      <c r="C163" s="87" t="s">
        <v>953</v>
      </c>
      <c r="D163" s="75">
        <v>557.0</v>
      </c>
      <c r="E163" s="75" t="s">
        <v>946</v>
      </c>
      <c r="F163" s="76" t="s">
        <v>852</v>
      </c>
      <c r="G163" s="77" t="s">
        <v>658</v>
      </c>
      <c r="H163" s="77">
        <f>557*3</f>
        <v>1671</v>
      </c>
      <c r="I163" s="77">
        <v>1.0</v>
      </c>
      <c r="J163" s="78"/>
      <c r="K163" s="79" t="str">
        <f t="shared" si="1"/>
        <v>#DIV/0!</v>
      </c>
      <c r="L163" s="80" t="s">
        <v>658</v>
      </c>
      <c r="M163" s="81">
        <v>16.0</v>
      </c>
      <c r="N163" s="81" t="s">
        <v>659</v>
      </c>
      <c r="O163" s="82">
        <v>90.023753</v>
      </c>
      <c r="P163" s="82">
        <v>83.491686</v>
      </c>
      <c r="Q163" s="82">
        <f t="shared" si="87"/>
        <v>6.532067</v>
      </c>
      <c r="R163" s="78">
        <f t="shared" si="88"/>
        <v>13.11889648</v>
      </c>
      <c r="S163" s="83">
        <f t="shared" si="80"/>
        <v>128.9417957</v>
      </c>
      <c r="T163" s="84" t="s">
        <v>739</v>
      </c>
      <c r="U163" s="83">
        <f>557/336</f>
        <v>1.657738095</v>
      </c>
      <c r="V163" s="83" t="str">
        <f t="shared" si="89"/>
        <v>#DIV/0!</v>
      </c>
      <c r="W163" s="83" t="str">
        <f t="shared" si="90"/>
        <v>#DIV/0!</v>
      </c>
    </row>
    <row r="164" ht="26.25" customHeight="1">
      <c r="A164" s="85"/>
      <c r="B164" s="85" t="s">
        <v>945</v>
      </c>
      <c r="C164" s="74" t="s">
        <v>954</v>
      </c>
      <c r="D164" s="75">
        <v>590.0</v>
      </c>
      <c r="E164" s="75" t="s">
        <v>955</v>
      </c>
      <c r="F164" s="76" t="s">
        <v>852</v>
      </c>
      <c r="G164" s="77" t="s">
        <v>658</v>
      </c>
      <c r="H164" s="77">
        <f>590*3</f>
        <v>1770</v>
      </c>
      <c r="I164" s="77">
        <v>1.0</v>
      </c>
      <c r="J164" s="78"/>
      <c r="K164" s="79" t="str">
        <f t="shared" si="1"/>
        <v>#DIV/0!</v>
      </c>
      <c r="L164" s="80" t="s">
        <v>658</v>
      </c>
      <c r="M164" s="81">
        <v>12.0</v>
      </c>
      <c r="N164" s="81" t="s">
        <v>659</v>
      </c>
      <c r="O164" s="82">
        <v>90.023753</v>
      </c>
      <c r="P164" s="82">
        <v>85.273159</v>
      </c>
      <c r="Q164" s="82">
        <f t="shared" si="87"/>
        <v>4.750594</v>
      </c>
      <c r="R164" s="78">
        <f t="shared" si="88"/>
        <v>13.11889648</v>
      </c>
      <c r="S164" s="83">
        <f t="shared" si="80"/>
        <v>135.2601709</v>
      </c>
      <c r="T164" s="84" t="s">
        <v>757</v>
      </c>
      <c r="U164" s="83">
        <f>590/329</f>
        <v>1.79331307</v>
      </c>
      <c r="V164" s="83" t="str">
        <f t="shared" si="89"/>
        <v>#DIV/0!</v>
      </c>
      <c r="W164" s="83" t="str">
        <f t="shared" si="90"/>
        <v>#DIV/0!</v>
      </c>
    </row>
    <row r="165" ht="26.25" customHeight="1">
      <c r="A165" s="72"/>
      <c r="B165" s="73" t="s">
        <v>945</v>
      </c>
      <c r="C165" s="87" t="s">
        <v>956</v>
      </c>
      <c r="D165" s="75">
        <v>1264.0</v>
      </c>
      <c r="E165" s="75" t="s">
        <v>957</v>
      </c>
      <c r="F165" s="76" t="s">
        <v>958</v>
      </c>
      <c r="G165" s="77" t="s">
        <v>658</v>
      </c>
      <c r="H165" s="77">
        <f>1264+934</f>
        <v>2198</v>
      </c>
      <c r="I165" s="77">
        <v>1.0</v>
      </c>
      <c r="J165" s="78"/>
      <c r="K165" s="79" t="str">
        <f t="shared" si="1"/>
        <v>#DIV/0!</v>
      </c>
      <c r="L165" s="80" t="s">
        <v>658</v>
      </c>
      <c r="M165" s="81">
        <v>15.0</v>
      </c>
      <c r="N165" s="81" t="s">
        <v>659</v>
      </c>
      <c r="O165" s="82">
        <v>90.023753</v>
      </c>
      <c r="P165" s="82">
        <v>82.897862</v>
      </c>
      <c r="Q165" s="82">
        <f t="shared" si="87"/>
        <v>7.125891</v>
      </c>
      <c r="R165" s="78">
        <f t="shared" si="88"/>
        <v>13.11889648</v>
      </c>
      <c r="S165" s="83">
        <f t="shared" si="80"/>
        <v>167.7481593</v>
      </c>
      <c r="T165" s="84" t="s">
        <v>739</v>
      </c>
      <c r="U165" s="83">
        <f>1264/682</f>
        <v>1.853372434</v>
      </c>
      <c r="V165" s="83" t="str">
        <f t="shared" si="89"/>
        <v>#DIV/0!</v>
      </c>
      <c r="W165" s="83" t="str">
        <f t="shared" si="90"/>
        <v>#DIV/0!</v>
      </c>
    </row>
    <row r="166" ht="26.25" customHeight="1">
      <c r="A166" s="72"/>
      <c r="B166" s="73" t="s">
        <v>945</v>
      </c>
      <c r="C166" s="87" t="s">
        <v>876</v>
      </c>
      <c r="D166" s="76">
        <v>742.0</v>
      </c>
      <c r="E166" s="76" t="s">
        <v>959</v>
      </c>
      <c r="F166" s="76" t="s">
        <v>852</v>
      </c>
      <c r="G166" s="77" t="s">
        <v>658</v>
      </c>
      <c r="H166" s="77">
        <f>742*2</f>
        <v>1484</v>
      </c>
      <c r="I166" s="77">
        <v>1.0</v>
      </c>
      <c r="J166" s="78"/>
      <c r="K166" s="79" t="str">
        <f t="shared" si="1"/>
        <v>#DIV/0!</v>
      </c>
      <c r="L166" s="80" t="s">
        <v>658</v>
      </c>
      <c r="M166" s="92">
        <v>11.0</v>
      </c>
      <c r="N166" s="81" t="s">
        <v>659</v>
      </c>
      <c r="O166" s="82">
        <v>90.023753</v>
      </c>
      <c r="P166" s="94">
        <v>86.460808</v>
      </c>
      <c r="Q166" s="82">
        <f t="shared" si="87"/>
        <v>3.562945</v>
      </c>
      <c r="R166" s="78">
        <f t="shared" si="88"/>
        <v>13.11889648</v>
      </c>
      <c r="S166" s="83">
        <f t="shared" si="80"/>
        <v>114.1886961</v>
      </c>
      <c r="T166" s="84" t="s">
        <v>660</v>
      </c>
      <c r="U166" s="83">
        <f>742/401</f>
        <v>1.850374065</v>
      </c>
      <c r="V166" s="83" t="str">
        <f t="shared" si="89"/>
        <v>#DIV/0!</v>
      </c>
      <c r="W166" s="83" t="str">
        <f t="shared" si="90"/>
        <v>#DIV/0!</v>
      </c>
    </row>
    <row r="167" ht="26.25" customHeight="1">
      <c r="A167" s="72"/>
      <c r="B167" s="73" t="s">
        <v>945</v>
      </c>
      <c r="C167" s="87" t="s">
        <v>676</v>
      </c>
      <c r="D167" s="76">
        <v>589.0</v>
      </c>
      <c r="E167" s="76" t="s">
        <v>955</v>
      </c>
      <c r="F167" s="76" t="s">
        <v>852</v>
      </c>
      <c r="G167" s="77" t="s">
        <v>658</v>
      </c>
      <c r="H167" s="77">
        <f>589*3</f>
        <v>1767</v>
      </c>
      <c r="I167" s="77">
        <v>1.0</v>
      </c>
      <c r="J167" s="78"/>
      <c r="K167" s="79" t="str">
        <f t="shared" si="1"/>
        <v>#DIV/0!</v>
      </c>
      <c r="L167" s="80" t="s">
        <v>658</v>
      </c>
      <c r="M167" s="92">
        <v>13.0</v>
      </c>
      <c r="N167" s="81" t="s">
        <v>659</v>
      </c>
      <c r="O167" s="82">
        <v>90.023753</v>
      </c>
      <c r="P167" s="94">
        <v>84.916865</v>
      </c>
      <c r="Q167" s="82">
        <f t="shared" si="87"/>
        <v>5.106888</v>
      </c>
      <c r="R167" s="78">
        <f t="shared" si="88"/>
        <v>13.11889648</v>
      </c>
      <c r="S167" s="83">
        <f t="shared" si="80"/>
        <v>133.9922025</v>
      </c>
      <c r="T167" s="84" t="s">
        <v>660</v>
      </c>
      <c r="U167" s="83">
        <f>589/329</f>
        <v>1.790273556</v>
      </c>
      <c r="V167" s="83" t="str">
        <f t="shared" si="89"/>
        <v>#DIV/0!</v>
      </c>
      <c r="W167" s="83" t="str">
        <f t="shared" si="90"/>
        <v>#DIV/0!</v>
      </c>
    </row>
    <row r="168" ht="26.25" customHeight="1">
      <c r="A168" s="72"/>
      <c r="B168" s="73" t="s">
        <v>945</v>
      </c>
      <c r="C168" s="87" t="s">
        <v>740</v>
      </c>
      <c r="D168" s="76">
        <v>481.0</v>
      </c>
      <c r="E168" s="76" t="s">
        <v>950</v>
      </c>
      <c r="F168" s="76" t="s">
        <v>852</v>
      </c>
      <c r="G168" s="77" t="s">
        <v>658</v>
      </c>
      <c r="H168" s="77">
        <f>481*3</f>
        <v>1443</v>
      </c>
      <c r="I168" s="77">
        <v>1.0</v>
      </c>
      <c r="J168" s="78"/>
      <c r="K168" s="79" t="str">
        <f t="shared" si="1"/>
        <v>#DIV/0!</v>
      </c>
      <c r="L168" s="80" t="s">
        <v>658</v>
      </c>
      <c r="M168" s="92">
        <v>14.0</v>
      </c>
      <c r="N168" s="81" t="s">
        <v>659</v>
      </c>
      <c r="O168" s="82">
        <v>90.023753</v>
      </c>
      <c r="P168" s="94">
        <v>85.035629</v>
      </c>
      <c r="Q168" s="82">
        <f t="shared" si="87"/>
        <v>4.988124</v>
      </c>
      <c r="R168" s="78">
        <f t="shared" si="88"/>
        <v>13.11889648</v>
      </c>
      <c r="S168" s="83">
        <f t="shared" si="80"/>
        <v>108.4763177</v>
      </c>
      <c r="T168" s="84" t="s">
        <v>660</v>
      </c>
      <c r="U168" s="83">
        <f>481/301</f>
        <v>1.598006645</v>
      </c>
      <c r="V168" s="83" t="str">
        <f t="shared" si="89"/>
        <v>#DIV/0!</v>
      </c>
      <c r="W168" s="83" t="str">
        <f t="shared" si="90"/>
        <v>#DIV/0!</v>
      </c>
    </row>
    <row r="169" ht="26.25" customHeight="1">
      <c r="A169" s="72"/>
      <c r="B169" s="73" t="s">
        <v>945</v>
      </c>
      <c r="C169" s="74" t="s">
        <v>822</v>
      </c>
      <c r="D169" s="76">
        <v>3597.0</v>
      </c>
      <c r="E169" s="76" t="s">
        <v>960</v>
      </c>
      <c r="F169" s="76" t="s">
        <v>852</v>
      </c>
      <c r="G169" s="77" t="s">
        <v>658</v>
      </c>
      <c r="H169" s="77">
        <f>(3597+2472)*3</f>
        <v>18207</v>
      </c>
      <c r="I169" s="77">
        <v>1.0</v>
      </c>
      <c r="J169" s="78"/>
      <c r="K169" s="79" t="str">
        <f t="shared" si="1"/>
        <v>#DIV/0!</v>
      </c>
      <c r="L169" s="80" t="s">
        <v>658</v>
      </c>
      <c r="M169" s="92">
        <v>2.0</v>
      </c>
      <c r="N169" s="81" t="s">
        <v>689</v>
      </c>
      <c r="O169" s="82">
        <v>90.023753</v>
      </c>
      <c r="P169" s="94">
        <v>75.415677</v>
      </c>
      <c r="Q169" s="82">
        <f t="shared" si="87"/>
        <v>14.608076</v>
      </c>
      <c r="R169" s="78">
        <f t="shared" si="88"/>
        <v>13.11889648</v>
      </c>
      <c r="S169" s="83">
        <f t="shared" si="80"/>
        <v>1391.586388</v>
      </c>
      <c r="T169" s="84" t="s">
        <v>660</v>
      </c>
      <c r="U169" s="83">
        <f>3597/2983</f>
        <v>1.205833054</v>
      </c>
      <c r="V169" s="83" t="str">
        <f t="shared" si="89"/>
        <v>#DIV/0!</v>
      </c>
      <c r="W169" s="83" t="str">
        <f t="shared" si="90"/>
        <v>#DIV/0!</v>
      </c>
    </row>
    <row r="170" ht="26.25" customHeight="1">
      <c r="A170" s="72"/>
      <c r="B170" s="73" t="s">
        <v>945</v>
      </c>
      <c r="C170" s="87" t="s">
        <v>961</v>
      </c>
      <c r="D170" s="76">
        <v>3663.0</v>
      </c>
      <c r="E170" s="76" t="s">
        <v>962</v>
      </c>
      <c r="F170" s="75" t="s">
        <v>963</v>
      </c>
      <c r="G170" s="77" t="s">
        <v>689</v>
      </c>
      <c r="H170" s="77">
        <v>23442.0</v>
      </c>
      <c r="I170" s="77">
        <v>6.0</v>
      </c>
      <c r="J170" s="78"/>
      <c r="K170" s="79" t="str">
        <f t="shared" si="1"/>
        <v>#DIV/0!</v>
      </c>
      <c r="L170" s="89" t="s">
        <v>303</v>
      </c>
      <c r="M170" s="85" t="s">
        <v>303</v>
      </c>
      <c r="N170" s="85" t="s">
        <v>303</v>
      </c>
      <c r="O170" s="82" t="s">
        <v>303</v>
      </c>
      <c r="P170" s="82" t="s">
        <v>303</v>
      </c>
      <c r="Q170" s="82" t="s">
        <v>303</v>
      </c>
      <c r="R170" s="78" t="s">
        <v>303</v>
      </c>
      <c r="S170" s="83" t="str">
        <f t="shared" si="80"/>
        <v>#N/A</v>
      </c>
      <c r="T170" s="84" t="s">
        <v>713</v>
      </c>
      <c r="U170" s="83">
        <f>3663/3038</f>
        <v>1.205727452</v>
      </c>
      <c r="V170" s="83">
        <f>90533/90869</f>
        <v>0.9963023693</v>
      </c>
      <c r="W170" s="83">
        <f>(90533-90869)/(1500000/845)</f>
        <v>-0.18928</v>
      </c>
    </row>
    <row r="171" ht="26.25" customHeight="1">
      <c r="A171" s="72"/>
      <c r="B171" s="73" t="s">
        <v>945</v>
      </c>
      <c r="C171" s="87" t="s">
        <v>964</v>
      </c>
      <c r="D171" s="75">
        <v>589.0</v>
      </c>
      <c r="E171" s="75" t="s">
        <v>965</v>
      </c>
      <c r="F171" s="76" t="s">
        <v>852</v>
      </c>
      <c r="G171" s="77" t="s">
        <v>658</v>
      </c>
      <c r="H171" s="77">
        <f>589*3</f>
        <v>1767</v>
      </c>
      <c r="I171" s="77">
        <v>1.0</v>
      </c>
      <c r="J171" s="78"/>
      <c r="K171" s="79" t="str">
        <f t="shared" si="1"/>
        <v>#DIV/0!</v>
      </c>
      <c r="L171" s="80" t="s">
        <v>658</v>
      </c>
      <c r="M171" s="81">
        <v>14.0</v>
      </c>
      <c r="N171" s="81" t="s">
        <v>659</v>
      </c>
      <c r="O171" s="82">
        <v>90.023753</v>
      </c>
      <c r="P171" s="82">
        <v>84.441805</v>
      </c>
      <c r="Q171" s="82">
        <f>O171-P171</f>
        <v>5.581948</v>
      </c>
      <c r="R171" s="78">
        <f>IFS(L171="S",21494/2048*1.25)</f>
        <v>13.11889648</v>
      </c>
      <c r="S171" s="83">
        <f t="shared" si="80"/>
        <v>135.9954241</v>
      </c>
      <c r="T171" s="84" t="s">
        <v>739</v>
      </c>
      <c r="U171" s="83">
        <f>589/329</f>
        <v>1.790273556</v>
      </c>
      <c r="V171" s="83" t="str">
        <f>S171/K171</f>
        <v>#DIV/0!</v>
      </c>
      <c r="W171" s="83" t="str">
        <f>(S171-K171)*M171*#REF!*#REF!*J171/(249945/845)</f>
        <v>#DIV/0!</v>
      </c>
    </row>
    <row r="172" ht="26.25" customHeight="1">
      <c r="A172" s="72"/>
      <c r="B172" s="73" t="s">
        <v>945</v>
      </c>
      <c r="C172" s="87" t="s">
        <v>484</v>
      </c>
      <c r="D172" s="75">
        <v>529.0</v>
      </c>
      <c r="E172" s="75" t="s">
        <v>966</v>
      </c>
      <c r="F172" s="76" t="s">
        <v>967</v>
      </c>
      <c r="G172" s="77" t="s">
        <v>704</v>
      </c>
      <c r="H172" s="77">
        <f>21907*1.5</f>
        <v>32860.5</v>
      </c>
      <c r="I172" s="77">
        <v>26.0</v>
      </c>
      <c r="J172" s="78"/>
      <c r="K172" s="79" t="str">
        <f t="shared" si="1"/>
        <v>#DIV/0!</v>
      </c>
      <c r="L172" s="89" t="s">
        <v>303</v>
      </c>
      <c r="M172" s="85" t="s">
        <v>303</v>
      </c>
      <c r="N172" s="85" t="s">
        <v>303</v>
      </c>
      <c r="O172" s="82" t="s">
        <v>303</v>
      </c>
      <c r="P172" s="82" t="s">
        <v>303</v>
      </c>
      <c r="Q172" s="82" t="s">
        <v>303</v>
      </c>
      <c r="R172" s="78" t="s">
        <v>303</v>
      </c>
      <c r="S172" s="83" t="str">
        <f t="shared" si="80"/>
        <v>#N/A</v>
      </c>
      <c r="T172" s="84" t="s">
        <v>705</v>
      </c>
      <c r="U172" s="83">
        <f t="shared" ref="U172:U173" si="91">529/331</f>
        <v>1.598187311</v>
      </c>
      <c r="V172" s="83">
        <f>255621/260331</f>
        <v>0.9819076483</v>
      </c>
      <c r="W172" s="83">
        <f>(255621-260331)/(1500000/845)</f>
        <v>-2.6533</v>
      </c>
    </row>
    <row r="173" ht="26.25" customHeight="1">
      <c r="A173" s="72"/>
      <c r="B173" s="73" t="s">
        <v>945</v>
      </c>
      <c r="C173" s="87" t="s">
        <v>484</v>
      </c>
      <c r="D173" s="75">
        <v>529.0</v>
      </c>
      <c r="E173" s="75" t="s">
        <v>966</v>
      </c>
      <c r="F173" s="76" t="s">
        <v>968</v>
      </c>
      <c r="G173" s="77" t="s">
        <v>704</v>
      </c>
      <c r="H173" s="77">
        <f>10220*1.5</f>
        <v>15330</v>
      </c>
      <c r="I173" s="77">
        <v>26.0</v>
      </c>
      <c r="J173" s="78"/>
      <c r="K173" s="79" t="str">
        <f t="shared" si="1"/>
        <v>#DIV/0!</v>
      </c>
      <c r="L173" s="80" t="s">
        <v>704</v>
      </c>
      <c r="M173" s="81">
        <v>26.0</v>
      </c>
      <c r="N173" s="79" t="s">
        <v>689</v>
      </c>
      <c r="O173" s="82">
        <v>99.526627</v>
      </c>
      <c r="P173" s="82">
        <v>91.360947</v>
      </c>
      <c r="Q173" s="82">
        <f t="shared" ref="Q173:Q182" si="92">O173-P173</f>
        <v>8.16568</v>
      </c>
      <c r="R173" s="78">
        <f>1.25*1.22</f>
        <v>1.525</v>
      </c>
      <c r="S173" s="83" t="s">
        <v>1247</v>
      </c>
      <c r="T173" s="84" t="s">
        <v>705</v>
      </c>
      <c r="U173" s="83">
        <f t="shared" si="91"/>
        <v>1.598187311</v>
      </c>
      <c r="V173" s="83" t="str">
        <f t="shared" ref="V173:V182" si="93">S173/K173</f>
        <v>#DIV/0!</v>
      </c>
      <c r="W173" s="83" t="str">
        <f t="shared" ref="W173:W182" si="94">(S173-K173)*M173*#REF!*#REF!*J173/(249945/845)</f>
        <v>#DIV/0!</v>
      </c>
    </row>
    <row r="174" ht="26.25" customHeight="1">
      <c r="A174" s="72"/>
      <c r="B174" s="73" t="s">
        <v>945</v>
      </c>
      <c r="C174" s="87" t="s">
        <v>692</v>
      </c>
      <c r="D174" s="76">
        <v>425.0</v>
      </c>
      <c r="E174" s="75" t="s">
        <v>948</v>
      </c>
      <c r="F174" s="76" t="s">
        <v>852</v>
      </c>
      <c r="G174" s="77" t="s">
        <v>658</v>
      </c>
      <c r="H174" s="77">
        <f>425*3</f>
        <v>1275</v>
      </c>
      <c r="I174" s="77">
        <v>1.0</v>
      </c>
      <c r="J174" s="78"/>
      <c r="K174" s="79" t="str">
        <f t="shared" si="1"/>
        <v>#DIV/0!</v>
      </c>
      <c r="L174" s="80" t="s">
        <v>658</v>
      </c>
      <c r="M174" s="92">
        <v>15.0</v>
      </c>
      <c r="N174" s="81" t="s">
        <v>659</v>
      </c>
      <c r="O174" s="82">
        <v>90.023753</v>
      </c>
      <c r="P174" s="94">
        <v>85.866983</v>
      </c>
      <c r="Q174" s="82">
        <f t="shared" si="92"/>
        <v>4.15677</v>
      </c>
      <c r="R174" s="78">
        <f t="shared" ref="R174:R182" si="95">IFS(L174="S",21494/2048*1.25)</f>
        <v>13.11889648</v>
      </c>
      <c r="S174" s="83">
        <f t="shared" ref="S174:S232" si="96">IFS(N174="B",Q174/M174/100*249945/R174
*U174,N174="C",Q174/M174/100*249945/R174
)</f>
        <v>97.56026654</v>
      </c>
      <c r="T174" s="84" t="s">
        <v>660</v>
      </c>
      <c r="U174" s="83">
        <f>425/230</f>
        <v>1.847826087</v>
      </c>
      <c r="V174" s="83" t="str">
        <f t="shared" si="93"/>
        <v>#DIV/0!</v>
      </c>
      <c r="W174" s="83" t="str">
        <f t="shared" si="94"/>
        <v>#DIV/0!</v>
      </c>
    </row>
    <row r="175" ht="26.25" customHeight="1">
      <c r="A175" s="72"/>
      <c r="B175" s="73" t="s">
        <v>945</v>
      </c>
      <c r="C175" s="87" t="s">
        <v>969</v>
      </c>
      <c r="D175" s="75">
        <v>589.0</v>
      </c>
      <c r="E175" s="75" t="s">
        <v>955</v>
      </c>
      <c r="F175" s="76" t="s">
        <v>970</v>
      </c>
      <c r="G175" s="77" t="s">
        <v>658</v>
      </c>
      <c r="H175" s="77">
        <f>589*3</f>
        <v>1767</v>
      </c>
      <c r="I175" s="77">
        <v>1.0</v>
      </c>
      <c r="J175" s="78"/>
      <c r="K175" s="79" t="str">
        <f t="shared" si="1"/>
        <v>#DIV/0!</v>
      </c>
      <c r="L175" s="80" t="s">
        <v>658</v>
      </c>
      <c r="M175" s="81">
        <v>10.0</v>
      </c>
      <c r="N175" s="81" t="s">
        <v>659</v>
      </c>
      <c r="O175" s="82">
        <v>90.023753</v>
      </c>
      <c r="P175" s="82">
        <v>86.104513</v>
      </c>
      <c r="Q175" s="82">
        <f t="shared" si="92"/>
        <v>3.91924</v>
      </c>
      <c r="R175" s="78">
        <f t="shared" si="95"/>
        <v>13.11889648</v>
      </c>
      <c r="S175" s="83">
        <f t="shared" si="96"/>
        <v>133.6806055</v>
      </c>
      <c r="T175" s="84" t="s">
        <v>739</v>
      </c>
      <c r="U175" s="83">
        <f>589/329</f>
        <v>1.790273556</v>
      </c>
      <c r="V175" s="83" t="str">
        <f t="shared" si="93"/>
        <v>#DIV/0!</v>
      </c>
      <c r="W175" s="83" t="str">
        <f t="shared" si="94"/>
        <v>#DIV/0!</v>
      </c>
    </row>
    <row r="176" ht="26.25" customHeight="1">
      <c r="A176" s="72"/>
      <c r="B176" s="73" t="s">
        <v>945</v>
      </c>
      <c r="C176" s="87" t="s">
        <v>971</v>
      </c>
      <c r="D176" s="75">
        <v>17264.0</v>
      </c>
      <c r="E176" s="75" t="s">
        <v>976</v>
      </c>
      <c r="F176" s="76" t="s">
        <v>1248</v>
      </c>
      <c r="G176" s="77" t="s">
        <v>658</v>
      </c>
      <c r="H176" s="77">
        <f>17264+4041</f>
        <v>21305</v>
      </c>
      <c r="I176" s="77">
        <v>1.0</v>
      </c>
      <c r="J176" s="78"/>
      <c r="K176" s="79" t="str">
        <f t="shared" si="1"/>
        <v>#DIV/0!</v>
      </c>
      <c r="L176" s="80" t="s">
        <v>658</v>
      </c>
      <c r="M176" s="81">
        <v>4.0</v>
      </c>
      <c r="N176" s="81" t="s">
        <v>689</v>
      </c>
      <c r="O176" s="82">
        <v>88.954869</v>
      </c>
      <c r="P176" s="82">
        <v>54.988124</v>
      </c>
      <c r="Q176" s="82">
        <f t="shared" si="92"/>
        <v>33.966745</v>
      </c>
      <c r="R176" s="78">
        <f t="shared" si="95"/>
        <v>13.11889648</v>
      </c>
      <c r="S176" s="83">
        <f t="shared" si="96"/>
        <v>1617.860559</v>
      </c>
      <c r="T176" s="84" t="s">
        <v>757</v>
      </c>
      <c r="U176" s="83">
        <f>16436/5065</f>
        <v>3.245014808</v>
      </c>
      <c r="V176" s="83" t="str">
        <f t="shared" si="93"/>
        <v>#DIV/0!</v>
      </c>
      <c r="W176" s="83" t="str">
        <f t="shared" si="94"/>
        <v>#DIV/0!</v>
      </c>
    </row>
    <row r="177" ht="26.25" customHeight="1">
      <c r="A177" s="72"/>
      <c r="B177" s="73" t="s">
        <v>945</v>
      </c>
      <c r="C177" s="87" t="s">
        <v>971</v>
      </c>
      <c r="D177" s="75">
        <v>1094.0</v>
      </c>
      <c r="E177" s="75" t="s">
        <v>972</v>
      </c>
      <c r="F177" s="76" t="s">
        <v>1249</v>
      </c>
      <c r="G177" s="77" t="s">
        <v>658</v>
      </c>
      <c r="H177" s="77">
        <f>1094*2</f>
        <v>2188</v>
      </c>
      <c r="I177" s="77">
        <v>1.0</v>
      </c>
      <c r="J177" s="78"/>
      <c r="K177" s="79" t="str">
        <f t="shared" si="1"/>
        <v>#DIV/0!</v>
      </c>
      <c r="L177" s="80" t="s">
        <v>658</v>
      </c>
      <c r="M177" s="81">
        <v>8.0</v>
      </c>
      <c r="N177" s="81" t="s">
        <v>689</v>
      </c>
      <c r="O177" s="82">
        <v>90.023753</v>
      </c>
      <c r="P177" s="82">
        <v>83.016627</v>
      </c>
      <c r="Q177" s="82">
        <f t="shared" si="92"/>
        <v>7.007126</v>
      </c>
      <c r="R177" s="78">
        <f t="shared" si="95"/>
        <v>13.11889648</v>
      </c>
      <c r="S177" s="83">
        <f t="shared" si="96"/>
        <v>166.8772322</v>
      </c>
      <c r="T177" s="84" t="s">
        <v>739</v>
      </c>
      <c r="U177" s="83">
        <f>1094/590</f>
        <v>1.854237288</v>
      </c>
      <c r="V177" s="83" t="str">
        <f t="shared" si="93"/>
        <v>#DIV/0!</v>
      </c>
      <c r="W177" s="83" t="str">
        <f t="shared" si="94"/>
        <v>#DIV/0!</v>
      </c>
    </row>
    <row r="178" ht="26.25" customHeight="1">
      <c r="A178" s="72"/>
      <c r="B178" s="73" t="s">
        <v>945</v>
      </c>
      <c r="C178" s="87" t="s">
        <v>971</v>
      </c>
      <c r="D178" s="75">
        <v>554.0</v>
      </c>
      <c r="E178" s="75" t="s">
        <v>974</v>
      </c>
      <c r="F178" s="76" t="s">
        <v>975</v>
      </c>
      <c r="G178" s="77" t="s">
        <v>658</v>
      </c>
      <c r="H178" s="77">
        <f>554*4</f>
        <v>2216</v>
      </c>
      <c r="I178" s="77">
        <v>1.0</v>
      </c>
      <c r="J178" s="78"/>
      <c r="K178" s="79" t="str">
        <f t="shared" si="1"/>
        <v>#DIV/0!</v>
      </c>
      <c r="L178" s="80" t="s">
        <v>658</v>
      </c>
      <c r="M178" s="81">
        <v>13.0</v>
      </c>
      <c r="N178" s="81" t="s">
        <v>659</v>
      </c>
      <c r="O178" s="82">
        <v>90.023753</v>
      </c>
      <c r="P178" s="82">
        <v>84.085511</v>
      </c>
      <c r="Q178" s="82">
        <f t="shared" si="92"/>
        <v>5.938242</v>
      </c>
      <c r="R178" s="78">
        <f t="shared" si="95"/>
        <v>13.11889648</v>
      </c>
      <c r="S178" s="83">
        <f t="shared" si="96"/>
        <v>169.7669369</v>
      </c>
      <c r="T178" s="84" t="s">
        <v>739</v>
      </c>
      <c r="U178" s="83">
        <f>554/284</f>
        <v>1.950704225</v>
      </c>
      <c r="V178" s="83" t="str">
        <f t="shared" si="93"/>
        <v>#DIV/0!</v>
      </c>
      <c r="W178" s="83" t="str">
        <f t="shared" si="94"/>
        <v>#DIV/0!</v>
      </c>
    </row>
    <row r="179" ht="26.25" customHeight="1">
      <c r="A179" s="72"/>
      <c r="B179" s="73" t="s">
        <v>945</v>
      </c>
      <c r="C179" s="87" t="s">
        <v>978</v>
      </c>
      <c r="D179" s="75">
        <v>496.0</v>
      </c>
      <c r="E179" s="75" t="s">
        <v>979</v>
      </c>
      <c r="F179" s="76" t="s">
        <v>852</v>
      </c>
      <c r="G179" s="77" t="s">
        <v>658</v>
      </c>
      <c r="H179" s="77">
        <f>496*5</f>
        <v>2480</v>
      </c>
      <c r="I179" s="77">
        <v>1.0</v>
      </c>
      <c r="J179" s="78"/>
      <c r="K179" s="79" t="str">
        <f t="shared" si="1"/>
        <v>#DIV/0!</v>
      </c>
      <c r="L179" s="80" t="s">
        <v>658</v>
      </c>
      <c r="M179" s="81">
        <v>10.0</v>
      </c>
      <c r="N179" s="81" t="s">
        <v>659</v>
      </c>
      <c r="O179" s="82">
        <v>90.023753</v>
      </c>
      <c r="P179" s="82">
        <v>83.847981</v>
      </c>
      <c r="Q179" s="82">
        <f t="shared" si="92"/>
        <v>6.175772</v>
      </c>
      <c r="R179" s="78">
        <f t="shared" si="95"/>
        <v>13.11889648</v>
      </c>
      <c r="S179" s="83">
        <f t="shared" si="96"/>
        <v>190.099819</v>
      </c>
      <c r="T179" s="84" t="s">
        <v>739</v>
      </c>
      <c r="U179" s="83">
        <f>496/307</f>
        <v>1.615635179</v>
      </c>
      <c r="V179" s="83" t="str">
        <f t="shared" si="93"/>
        <v>#DIV/0!</v>
      </c>
      <c r="W179" s="83" t="str">
        <f t="shared" si="94"/>
        <v>#DIV/0!</v>
      </c>
    </row>
    <row r="180" ht="26.25" customHeight="1">
      <c r="A180" s="72"/>
      <c r="B180" s="73" t="s">
        <v>980</v>
      </c>
      <c r="C180" s="87" t="s">
        <v>758</v>
      </c>
      <c r="D180" s="76">
        <v>20159.0</v>
      </c>
      <c r="E180" s="76" t="s">
        <v>981</v>
      </c>
      <c r="F180" s="76" t="s">
        <v>982</v>
      </c>
      <c r="G180" s="77" t="s">
        <v>658</v>
      </c>
      <c r="H180" s="91">
        <f>20159+5753</f>
        <v>25912</v>
      </c>
      <c r="I180" s="77">
        <v>1.0</v>
      </c>
      <c r="J180" s="78"/>
      <c r="K180" s="79" t="str">
        <f t="shared" si="1"/>
        <v>#DIV/0!</v>
      </c>
      <c r="L180" s="80" t="s">
        <v>658</v>
      </c>
      <c r="M180" s="92">
        <v>4.0</v>
      </c>
      <c r="N180" s="81" t="s">
        <v>659</v>
      </c>
      <c r="O180" s="82">
        <v>90.023753</v>
      </c>
      <c r="P180" s="94">
        <v>48.456057</v>
      </c>
      <c r="Q180" s="82">
        <f t="shared" si="92"/>
        <v>41.567696</v>
      </c>
      <c r="R180" s="78">
        <f t="shared" si="95"/>
        <v>13.11889648</v>
      </c>
      <c r="S180" s="83">
        <f t="shared" si="96"/>
        <v>1979.899336</v>
      </c>
      <c r="T180" s="84" t="s">
        <v>660</v>
      </c>
      <c r="U180" s="83">
        <v>1.0</v>
      </c>
      <c r="V180" s="83" t="str">
        <f t="shared" si="93"/>
        <v>#DIV/0!</v>
      </c>
      <c r="W180" s="83" t="str">
        <f t="shared" si="94"/>
        <v>#DIV/0!</v>
      </c>
    </row>
    <row r="181" ht="26.25" customHeight="1">
      <c r="A181" s="72"/>
      <c r="B181" s="73" t="s">
        <v>980</v>
      </c>
      <c r="C181" s="87" t="s">
        <v>758</v>
      </c>
      <c r="D181" s="76">
        <v>20159.0</v>
      </c>
      <c r="E181" s="76" t="s">
        <v>983</v>
      </c>
      <c r="F181" s="76" t="s">
        <v>317</v>
      </c>
      <c r="G181" s="77" t="s">
        <v>658</v>
      </c>
      <c r="H181" s="91">
        <f>20159+6329</f>
        <v>26488</v>
      </c>
      <c r="I181" s="77">
        <v>1.0</v>
      </c>
      <c r="J181" s="78"/>
      <c r="K181" s="79" t="str">
        <f t="shared" si="1"/>
        <v>#DIV/0!</v>
      </c>
      <c r="L181" s="80" t="s">
        <v>658</v>
      </c>
      <c r="M181" s="92">
        <v>4.0</v>
      </c>
      <c r="N181" s="81" t="s">
        <v>659</v>
      </c>
      <c r="O181" s="82">
        <v>90.023753</v>
      </c>
      <c r="P181" s="94">
        <v>47.505938</v>
      </c>
      <c r="Q181" s="82">
        <f t="shared" si="92"/>
        <v>42.517815</v>
      </c>
      <c r="R181" s="78">
        <f t="shared" si="95"/>
        <v>13.11889648</v>
      </c>
      <c r="S181" s="83">
        <f t="shared" si="96"/>
        <v>2025.154189</v>
      </c>
      <c r="T181" s="84" t="s">
        <v>660</v>
      </c>
      <c r="U181" s="83">
        <v>1.0</v>
      </c>
      <c r="V181" s="83" t="str">
        <f t="shared" si="93"/>
        <v>#DIV/0!</v>
      </c>
      <c r="W181" s="83" t="str">
        <f t="shared" si="94"/>
        <v>#DIV/0!</v>
      </c>
    </row>
    <row r="182" ht="26.25" customHeight="1">
      <c r="A182" s="72"/>
      <c r="B182" s="73" t="s">
        <v>980</v>
      </c>
      <c r="C182" s="87" t="s">
        <v>984</v>
      </c>
      <c r="D182" s="75">
        <v>7290.0</v>
      </c>
      <c r="E182" s="76"/>
      <c r="F182" s="76" t="s">
        <v>985</v>
      </c>
      <c r="G182" s="77" t="s">
        <v>658</v>
      </c>
      <c r="H182" s="91">
        <f>6274+7167+7290*5</f>
        <v>49891</v>
      </c>
      <c r="I182" s="77">
        <v>1.0</v>
      </c>
      <c r="J182" s="78"/>
      <c r="K182" s="79" t="str">
        <f t="shared" si="1"/>
        <v>#DIV/0!</v>
      </c>
      <c r="L182" s="80" t="s">
        <v>658</v>
      </c>
      <c r="M182" s="81">
        <v>1.0</v>
      </c>
      <c r="N182" s="81" t="s">
        <v>659</v>
      </c>
      <c r="O182" s="82">
        <v>90.023753</v>
      </c>
      <c r="P182" s="82">
        <v>69.952494</v>
      </c>
      <c r="Q182" s="82">
        <f t="shared" si="92"/>
        <v>20.071259</v>
      </c>
      <c r="R182" s="78">
        <f t="shared" si="95"/>
        <v>13.11889648</v>
      </c>
      <c r="S182" s="83">
        <f t="shared" si="96"/>
        <v>3824.034161</v>
      </c>
      <c r="T182" s="84" t="s">
        <v>739</v>
      </c>
      <c r="U182" s="79">
        <v>1.0</v>
      </c>
      <c r="V182" s="83" t="str">
        <f t="shared" si="93"/>
        <v>#DIV/0!</v>
      </c>
      <c r="W182" s="83" t="str">
        <f t="shared" si="94"/>
        <v>#DIV/0!</v>
      </c>
    </row>
    <row r="183" ht="26.25" customHeight="1">
      <c r="A183" s="72"/>
      <c r="B183" s="73" t="s">
        <v>980</v>
      </c>
      <c r="C183" s="87" t="s">
        <v>986</v>
      </c>
      <c r="D183" s="75">
        <v>19242.0</v>
      </c>
      <c r="E183" s="75" t="s">
        <v>987</v>
      </c>
      <c r="F183" s="76" t="s">
        <v>988</v>
      </c>
      <c r="G183" s="77" t="s">
        <v>658</v>
      </c>
      <c r="H183" s="91">
        <f>2462+489+116+856+274+489+856+300+856+9748+856+116+489+856+274+489+19242+489+274+274+274+274+489+489+9748</f>
        <v>51079</v>
      </c>
      <c r="I183" s="77">
        <v>1.0</v>
      </c>
      <c r="J183" s="78"/>
      <c r="K183" s="79" t="str">
        <f t="shared" si="1"/>
        <v>#DIV/0!</v>
      </c>
      <c r="L183" s="89" t="s">
        <v>303</v>
      </c>
      <c r="M183" s="85" t="s">
        <v>303</v>
      </c>
      <c r="N183" s="85" t="s">
        <v>303</v>
      </c>
      <c r="O183" s="82" t="s">
        <v>303</v>
      </c>
      <c r="P183" s="82" t="s">
        <v>303</v>
      </c>
      <c r="Q183" s="82" t="s">
        <v>303</v>
      </c>
      <c r="R183" s="78" t="s">
        <v>303</v>
      </c>
      <c r="S183" s="83" t="str">
        <f t="shared" si="96"/>
        <v>#N/A</v>
      </c>
      <c r="T183" s="84" t="s">
        <v>739</v>
      </c>
      <c r="U183" s="79">
        <v>1.0</v>
      </c>
      <c r="V183" s="83">
        <f>63905/60710</f>
        <v>1.052627244</v>
      </c>
      <c r="W183" s="83">
        <f>(63905-60710)/(1500000/845)</f>
        <v>1.79985</v>
      </c>
    </row>
    <row r="184" ht="26.25" customHeight="1">
      <c r="A184" s="72"/>
      <c r="B184" s="73" t="s">
        <v>980</v>
      </c>
      <c r="C184" s="87" t="s">
        <v>986</v>
      </c>
      <c r="D184" s="75">
        <v>19242.0</v>
      </c>
      <c r="E184" s="75" t="s">
        <v>987</v>
      </c>
      <c r="F184" s="76" t="s">
        <v>989</v>
      </c>
      <c r="G184" s="77" t="s">
        <v>658</v>
      </c>
      <c r="H184" s="91">
        <f>2462+141+856*3+300+9748+141+856+489+248+489+9748+19242</f>
        <v>46432</v>
      </c>
      <c r="I184" s="77">
        <v>1.0</v>
      </c>
      <c r="J184" s="78"/>
      <c r="K184" s="79" t="str">
        <f t="shared" si="1"/>
        <v>#DIV/0!</v>
      </c>
      <c r="L184" s="89" t="s">
        <v>303</v>
      </c>
      <c r="M184" s="85" t="s">
        <v>303</v>
      </c>
      <c r="N184" s="85" t="s">
        <v>303</v>
      </c>
      <c r="O184" s="82" t="s">
        <v>303</v>
      </c>
      <c r="P184" s="82" t="s">
        <v>303</v>
      </c>
      <c r="Q184" s="82" t="s">
        <v>303</v>
      </c>
      <c r="R184" s="78" t="s">
        <v>303</v>
      </c>
      <c r="S184" s="83" t="str">
        <f t="shared" si="96"/>
        <v>#N/A</v>
      </c>
      <c r="T184" s="84" t="s">
        <v>739</v>
      </c>
      <c r="U184" s="79">
        <v>1.0</v>
      </c>
      <c r="V184" s="83">
        <f>47929/45092</f>
        <v>1.062915817</v>
      </c>
      <c r="W184" s="83">
        <f>(47929-45092)/(1500000/845)</f>
        <v>1.598176667</v>
      </c>
    </row>
    <row r="185" ht="26.25" customHeight="1">
      <c r="A185" s="72"/>
      <c r="B185" s="73" t="s">
        <v>980</v>
      </c>
      <c r="C185" s="87" t="s">
        <v>990</v>
      </c>
      <c r="D185" s="75">
        <v>5897.0</v>
      </c>
      <c r="E185" s="75" t="s">
        <v>991</v>
      </c>
      <c r="F185" s="75" t="s">
        <v>992</v>
      </c>
      <c r="G185" s="77" t="s">
        <v>658</v>
      </c>
      <c r="H185" s="91">
        <f>6*5897</f>
        <v>35382</v>
      </c>
      <c r="I185" s="77">
        <v>1.0</v>
      </c>
      <c r="J185" s="78"/>
      <c r="K185" s="79" t="str">
        <f t="shared" si="1"/>
        <v>#DIV/0!</v>
      </c>
      <c r="L185" s="80" t="s">
        <v>658</v>
      </c>
      <c r="M185" s="81">
        <v>2.0</v>
      </c>
      <c r="N185" s="81" t="s">
        <v>659</v>
      </c>
      <c r="O185" s="82">
        <v>90.023753</v>
      </c>
      <c r="P185" s="82">
        <v>61.638955</v>
      </c>
      <c r="Q185" s="82">
        <f t="shared" ref="Q185:Q190" si="97">O185-P185</f>
        <v>28.384798</v>
      </c>
      <c r="R185" s="78">
        <f t="shared" ref="R185:R190" si="98">IFS(L185="S",21494/2048*1.25)</f>
        <v>13.11889648</v>
      </c>
      <c r="S185" s="83">
        <f t="shared" si="96"/>
        <v>2703.976796</v>
      </c>
      <c r="T185" s="84" t="s">
        <v>739</v>
      </c>
      <c r="U185" s="79">
        <v>1.0</v>
      </c>
      <c r="V185" s="83" t="str">
        <f t="shared" ref="V185:V190" si="99">S185/K185</f>
        <v>#DIV/0!</v>
      </c>
      <c r="W185" s="83" t="str">
        <f t="shared" ref="W185:W190" si="100">(S185-K185)*M185*#REF!*#REF!*J185/(249945/845)</f>
        <v>#DIV/0!</v>
      </c>
    </row>
    <row r="186" ht="26.25" customHeight="1">
      <c r="A186" s="72"/>
      <c r="B186" s="73" t="s">
        <v>980</v>
      </c>
      <c r="C186" s="87" t="s">
        <v>312</v>
      </c>
      <c r="D186" s="75">
        <v>16035.0</v>
      </c>
      <c r="E186" s="75" t="s">
        <v>993</v>
      </c>
      <c r="F186" s="88"/>
      <c r="G186" s="77" t="s">
        <v>658</v>
      </c>
      <c r="H186" s="91">
        <f>16035+1846+(586+274)*8</f>
        <v>24761</v>
      </c>
      <c r="I186" s="77">
        <v>1.0</v>
      </c>
      <c r="J186" s="78"/>
      <c r="K186" s="79" t="str">
        <f t="shared" si="1"/>
        <v>#DIV/0!</v>
      </c>
      <c r="L186" s="80" t="s">
        <v>658</v>
      </c>
      <c r="M186" s="81">
        <v>2.0</v>
      </c>
      <c r="N186" s="81" t="s">
        <v>659</v>
      </c>
      <c r="O186" s="82">
        <v>90.023753</v>
      </c>
      <c r="P186" s="82">
        <v>70.308789</v>
      </c>
      <c r="Q186" s="82">
        <f t="shared" si="97"/>
        <v>19.714964</v>
      </c>
      <c r="R186" s="78">
        <f t="shared" si="98"/>
        <v>13.11889648</v>
      </c>
      <c r="S186" s="83">
        <f t="shared" si="96"/>
        <v>1878.075905</v>
      </c>
      <c r="T186" s="84" t="s">
        <v>739</v>
      </c>
      <c r="U186" s="79">
        <v>1.0</v>
      </c>
      <c r="V186" s="83" t="str">
        <f t="shared" si="99"/>
        <v>#DIV/0!</v>
      </c>
      <c r="W186" s="83" t="str">
        <f t="shared" si="100"/>
        <v>#DIV/0!</v>
      </c>
    </row>
    <row r="187" ht="26.25" customHeight="1">
      <c r="A187" s="73"/>
      <c r="B187" s="73" t="s">
        <v>980</v>
      </c>
      <c r="C187" s="87" t="s">
        <v>676</v>
      </c>
      <c r="D187" s="76">
        <v>21380.0</v>
      </c>
      <c r="E187" s="76" t="s">
        <v>995</v>
      </c>
      <c r="F187" s="76" t="s">
        <v>317</v>
      </c>
      <c r="G187" s="77" t="s">
        <v>658</v>
      </c>
      <c r="H187" s="77">
        <f>21380+2708</f>
        <v>24088</v>
      </c>
      <c r="I187" s="77">
        <v>1.0</v>
      </c>
      <c r="J187" s="78"/>
      <c r="K187" s="79" t="str">
        <f t="shared" si="1"/>
        <v>#DIV/0!</v>
      </c>
      <c r="L187" s="80" t="s">
        <v>658</v>
      </c>
      <c r="M187" s="92">
        <v>4.0</v>
      </c>
      <c r="N187" s="81" t="s">
        <v>659</v>
      </c>
      <c r="O187" s="82">
        <v>90.023753</v>
      </c>
      <c r="P187" s="94">
        <v>51.425178</v>
      </c>
      <c r="Q187" s="82">
        <f t="shared" si="97"/>
        <v>38.598575</v>
      </c>
      <c r="R187" s="78">
        <f t="shared" si="98"/>
        <v>13.11889648</v>
      </c>
      <c r="S187" s="83">
        <f t="shared" si="96"/>
        <v>1838.477962</v>
      </c>
      <c r="T187" s="84" t="s">
        <v>660</v>
      </c>
      <c r="U187" s="83">
        <v>1.0</v>
      </c>
      <c r="V187" s="83" t="str">
        <f t="shared" si="99"/>
        <v>#DIV/0!</v>
      </c>
      <c r="W187" s="83" t="str">
        <f t="shared" si="100"/>
        <v>#DIV/0!</v>
      </c>
    </row>
    <row r="188" ht="26.25" customHeight="1">
      <c r="A188" s="73"/>
      <c r="B188" s="73" t="s">
        <v>980</v>
      </c>
      <c r="C188" s="87" t="s">
        <v>676</v>
      </c>
      <c r="D188" s="76">
        <v>21380.0</v>
      </c>
      <c r="E188" s="76" t="s">
        <v>994</v>
      </c>
      <c r="F188" s="76" t="s">
        <v>982</v>
      </c>
      <c r="G188" s="77" t="s">
        <v>658</v>
      </c>
      <c r="H188" s="77">
        <f>21380+2462</f>
        <v>23842</v>
      </c>
      <c r="I188" s="77">
        <v>1.0</v>
      </c>
      <c r="J188" s="78"/>
      <c r="K188" s="79" t="str">
        <f t="shared" si="1"/>
        <v>#DIV/0!</v>
      </c>
      <c r="L188" s="80" t="s">
        <v>658</v>
      </c>
      <c r="M188" s="92">
        <v>4.0</v>
      </c>
      <c r="N188" s="81" t="s">
        <v>659</v>
      </c>
      <c r="O188" s="82">
        <v>90.023753</v>
      </c>
      <c r="P188" s="94">
        <v>51.781473</v>
      </c>
      <c r="Q188" s="82">
        <f t="shared" si="97"/>
        <v>38.24228</v>
      </c>
      <c r="R188" s="78">
        <f t="shared" si="98"/>
        <v>13.11889648</v>
      </c>
      <c r="S188" s="83">
        <f t="shared" si="96"/>
        <v>1821.507374</v>
      </c>
      <c r="T188" s="84" t="s">
        <v>660</v>
      </c>
      <c r="U188" s="83">
        <v>1.0</v>
      </c>
      <c r="V188" s="83" t="str">
        <f t="shared" si="99"/>
        <v>#DIV/0!</v>
      </c>
      <c r="W188" s="83" t="str">
        <f t="shared" si="100"/>
        <v>#DIV/0!</v>
      </c>
    </row>
    <row r="189" ht="26.25" customHeight="1">
      <c r="A189" s="72"/>
      <c r="B189" s="73" t="s">
        <v>980</v>
      </c>
      <c r="C189" s="87" t="s">
        <v>684</v>
      </c>
      <c r="D189" s="76">
        <v>17410.0</v>
      </c>
      <c r="E189" s="76" t="s">
        <v>996</v>
      </c>
      <c r="F189" s="76" t="s">
        <v>982</v>
      </c>
      <c r="G189" s="77" t="s">
        <v>658</v>
      </c>
      <c r="H189" s="77">
        <f>17410+4968</f>
        <v>22378</v>
      </c>
      <c r="I189" s="77">
        <v>1.0</v>
      </c>
      <c r="J189" s="78"/>
      <c r="K189" s="79" t="str">
        <f t="shared" si="1"/>
        <v>#DIV/0!</v>
      </c>
      <c r="L189" s="80" t="s">
        <v>658</v>
      </c>
      <c r="M189" s="92">
        <v>4.0</v>
      </c>
      <c r="N189" s="81" t="s">
        <v>659</v>
      </c>
      <c r="O189" s="82">
        <v>90.023753</v>
      </c>
      <c r="P189" s="94">
        <v>54.15677</v>
      </c>
      <c r="Q189" s="82">
        <f t="shared" si="97"/>
        <v>35.866983</v>
      </c>
      <c r="R189" s="78">
        <f t="shared" si="98"/>
        <v>13.11889648</v>
      </c>
      <c r="S189" s="83">
        <f t="shared" si="96"/>
        <v>1708.370265</v>
      </c>
      <c r="T189" s="84" t="s">
        <v>660</v>
      </c>
      <c r="U189" s="83">
        <v>1.0</v>
      </c>
      <c r="V189" s="83" t="str">
        <f t="shared" si="99"/>
        <v>#DIV/0!</v>
      </c>
      <c r="W189" s="83" t="str">
        <f t="shared" si="100"/>
        <v>#DIV/0!</v>
      </c>
    </row>
    <row r="190" ht="26.25" customHeight="1">
      <c r="A190" s="72"/>
      <c r="B190" s="73" t="s">
        <v>980</v>
      </c>
      <c r="C190" s="87" t="s">
        <v>684</v>
      </c>
      <c r="D190" s="76">
        <v>17410.0</v>
      </c>
      <c r="E190" s="76" t="s">
        <v>997</v>
      </c>
      <c r="F190" s="76" t="s">
        <v>317</v>
      </c>
      <c r="G190" s="77" t="s">
        <v>658</v>
      </c>
      <c r="H190" s="77">
        <f>17410+5466</f>
        <v>22876</v>
      </c>
      <c r="I190" s="77">
        <v>1.0</v>
      </c>
      <c r="J190" s="78"/>
      <c r="K190" s="79" t="str">
        <f t="shared" si="1"/>
        <v>#DIV/0!</v>
      </c>
      <c r="L190" s="80" t="s">
        <v>658</v>
      </c>
      <c r="M190" s="92">
        <v>3.0</v>
      </c>
      <c r="N190" s="81" t="s">
        <v>659</v>
      </c>
      <c r="O190" s="82">
        <v>90.023753</v>
      </c>
      <c r="P190" s="94">
        <v>62.470309</v>
      </c>
      <c r="Q190" s="82">
        <f t="shared" si="97"/>
        <v>27.553444</v>
      </c>
      <c r="R190" s="78">
        <f t="shared" si="98"/>
        <v>13.11889648</v>
      </c>
      <c r="S190" s="83">
        <f t="shared" si="96"/>
        <v>1749.853877</v>
      </c>
      <c r="T190" s="84" t="s">
        <v>660</v>
      </c>
      <c r="U190" s="83">
        <v>1.0</v>
      </c>
      <c r="V190" s="83" t="str">
        <f t="shared" si="99"/>
        <v>#DIV/0!</v>
      </c>
      <c r="W190" s="83" t="str">
        <f t="shared" si="100"/>
        <v>#DIV/0!</v>
      </c>
    </row>
    <row r="191" ht="26.25" customHeight="1">
      <c r="A191" s="72"/>
      <c r="B191" s="73" t="s">
        <v>980</v>
      </c>
      <c r="C191" s="87" t="s">
        <v>514</v>
      </c>
      <c r="D191" s="75">
        <v>3666.0</v>
      </c>
      <c r="E191" s="75" t="s">
        <v>998</v>
      </c>
      <c r="F191" s="75" t="s">
        <v>999</v>
      </c>
      <c r="G191" s="77" t="s">
        <v>658</v>
      </c>
      <c r="H191" s="91">
        <f>(3666+262)*16+2836</f>
        <v>65684</v>
      </c>
      <c r="I191" s="77">
        <v>2.0</v>
      </c>
      <c r="J191" s="78"/>
      <c r="K191" s="79" t="str">
        <f t="shared" si="1"/>
        <v>#DIV/0!</v>
      </c>
      <c r="L191" s="89" t="s">
        <v>303</v>
      </c>
      <c r="M191" s="85" t="s">
        <v>303</v>
      </c>
      <c r="N191" s="85" t="s">
        <v>303</v>
      </c>
      <c r="O191" s="82" t="s">
        <v>303</v>
      </c>
      <c r="P191" s="82" t="s">
        <v>303</v>
      </c>
      <c r="Q191" s="82" t="s">
        <v>303</v>
      </c>
      <c r="R191" s="78" t="s">
        <v>303</v>
      </c>
      <c r="S191" s="83" t="str">
        <f t="shared" si="96"/>
        <v>#N/A</v>
      </c>
      <c r="T191" s="84" t="s">
        <v>739</v>
      </c>
      <c r="U191" s="79">
        <v>1.0</v>
      </c>
      <c r="V191" s="83">
        <f>56805/56448</f>
        <v>1.006324405</v>
      </c>
      <c r="W191" s="83">
        <f>(56805-56448)/(1500000/845)</f>
        <v>0.20111</v>
      </c>
    </row>
    <row r="192" ht="26.25" customHeight="1">
      <c r="A192" s="72"/>
      <c r="B192" s="73" t="s">
        <v>980</v>
      </c>
      <c r="C192" s="87" t="s">
        <v>1000</v>
      </c>
      <c r="D192" s="75">
        <v>23518.0</v>
      </c>
      <c r="E192" s="76"/>
      <c r="F192" s="76"/>
      <c r="G192" s="77" t="s">
        <v>658</v>
      </c>
      <c r="H192" s="77">
        <v>23518.0</v>
      </c>
      <c r="I192" s="77">
        <v>1.0</v>
      </c>
      <c r="J192" s="78"/>
      <c r="K192" s="79" t="str">
        <f t="shared" si="1"/>
        <v>#DIV/0!</v>
      </c>
      <c r="L192" s="80" t="s">
        <v>658</v>
      </c>
      <c r="M192" s="81">
        <v>6.0</v>
      </c>
      <c r="N192" s="81" t="s">
        <v>659</v>
      </c>
      <c r="O192" s="82">
        <v>90.023753</v>
      </c>
      <c r="P192" s="82">
        <v>33.491686</v>
      </c>
      <c r="Q192" s="82">
        <f>O192-P192</f>
        <v>56.532067</v>
      </c>
      <c r="R192" s="78">
        <f>IFS(L192="S",21494/2048*1.25)</f>
        <v>13.11889648</v>
      </c>
      <c r="S192" s="83">
        <f t="shared" si="96"/>
        <v>1795.108746</v>
      </c>
      <c r="T192" s="84" t="s">
        <v>739</v>
      </c>
      <c r="U192" s="79">
        <v>1.0</v>
      </c>
      <c r="V192" s="83" t="str">
        <f>S192/K192</f>
        <v>#DIV/0!</v>
      </c>
      <c r="W192" s="83" t="str">
        <f>(S192-K192)*M192*#REF!*#REF!*J192/(249945/845)</f>
        <v>#DIV/0!</v>
      </c>
    </row>
    <row r="193" ht="26.25" customHeight="1">
      <c r="A193" s="72"/>
      <c r="B193" s="73" t="s">
        <v>980</v>
      </c>
      <c r="C193" s="87" t="s">
        <v>1001</v>
      </c>
      <c r="D193" s="75">
        <v>11912.0</v>
      </c>
      <c r="E193" s="75" t="s">
        <v>1002</v>
      </c>
      <c r="F193" s="76" t="s">
        <v>772</v>
      </c>
      <c r="G193" s="77" t="s">
        <v>689</v>
      </c>
      <c r="H193" s="77">
        <v>16066.0</v>
      </c>
      <c r="I193" s="77">
        <v>2.0</v>
      </c>
      <c r="J193" s="95"/>
      <c r="K193" s="79" t="str">
        <f t="shared" si="1"/>
        <v>#DIV/0!</v>
      </c>
      <c r="L193" s="89" t="s">
        <v>303</v>
      </c>
      <c r="M193" s="85" t="s">
        <v>303</v>
      </c>
      <c r="N193" s="85" t="s">
        <v>303</v>
      </c>
      <c r="O193" s="82" t="s">
        <v>303</v>
      </c>
      <c r="P193" s="82" t="s">
        <v>303</v>
      </c>
      <c r="Q193" s="82" t="s">
        <v>303</v>
      </c>
      <c r="R193" s="78" t="s">
        <v>303</v>
      </c>
      <c r="S193" s="83" t="str">
        <f t="shared" si="96"/>
        <v>#N/A</v>
      </c>
      <c r="T193" s="84" t="s">
        <v>739</v>
      </c>
      <c r="U193" s="79">
        <v>1.0</v>
      </c>
      <c r="V193" s="83">
        <f>58580/58366</f>
        <v>1.003666518</v>
      </c>
      <c r="W193" s="83">
        <f>(58580-58366)/(1500000/845)</f>
        <v>0.1205533333</v>
      </c>
    </row>
    <row r="194" ht="26.25" customHeight="1">
      <c r="A194" s="73"/>
      <c r="B194" s="73" t="s">
        <v>980</v>
      </c>
      <c r="C194" s="87" t="s">
        <v>1003</v>
      </c>
      <c r="D194" s="75">
        <v>14606.0</v>
      </c>
      <c r="E194" s="76"/>
      <c r="F194" s="76" t="s">
        <v>1010</v>
      </c>
      <c r="G194" s="77" t="s">
        <v>658</v>
      </c>
      <c r="H194" s="77">
        <v>14606.0</v>
      </c>
      <c r="I194" s="77">
        <v>1.0</v>
      </c>
      <c r="J194" s="78"/>
      <c r="K194" s="79" t="str">
        <f t="shared" si="1"/>
        <v>#DIV/0!</v>
      </c>
      <c r="L194" s="80" t="s">
        <v>658</v>
      </c>
      <c r="M194" s="81">
        <v>4.0</v>
      </c>
      <c r="N194" s="81" t="s">
        <v>659</v>
      </c>
      <c r="O194" s="82">
        <v>90.023753</v>
      </c>
      <c r="P194" s="82">
        <v>66.627078</v>
      </c>
      <c r="Q194" s="82">
        <f t="shared" ref="Q194:Q204" si="101">O194-P194</f>
        <v>23.396675</v>
      </c>
      <c r="R194" s="78">
        <f t="shared" ref="R194:R204" si="102">IFS(L194="S",21494/2048*1.25)</f>
        <v>13.11889648</v>
      </c>
      <c r="S194" s="83">
        <f t="shared" si="96"/>
        <v>1114.400502</v>
      </c>
      <c r="T194" s="84" t="s">
        <v>739</v>
      </c>
      <c r="U194" s="79">
        <v>1.0</v>
      </c>
      <c r="V194" s="83" t="str">
        <f t="shared" ref="V194:V204" si="103">S194/K194</f>
        <v>#DIV/0!</v>
      </c>
      <c r="W194" s="83" t="str">
        <f t="shared" ref="W194:W204" si="104">(S194-K194)*M194*#REF!*#REF!*J194/(249945/845)</f>
        <v>#DIV/0!</v>
      </c>
    </row>
    <row r="195" ht="26.25" customHeight="1">
      <c r="A195" s="73"/>
      <c r="B195" s="73" t="s">
        <v>980</v>
      </c>
      <c r="C195" s="87" t="s">
        <v>1003</v>
      </c>
      <c r="D195" s="75">
        <v>45588.0</v>
      </c>
      <c r="E195" s="75" t="s">
        <v>1008</v>
      </c>
      <c r="F195" s="75" t="s">
        <v>1009</v>
      </c>
      <c r="G195" s="77" t="s">
        <v>658</v>
      </c>
      <c r="H195" s="77">
        <f>45588+45696</f>
        <v>91284</v>
      </c>
      <c r="I195" s="77">
        <v>1.0</v>
      </c>
      <c r="J195" s="78"/>
      <c r="K195" s="79" t="str">
        <f t="shared" si="1"/>
        <v>#DIV/0!</v>
      </c>
      <c r="L195" s="80" t="s">
        <v>658</v>
      </c>
      <c r="M195" s="81">
        <v>1.0</v>
      </c>
      <c r="N195" s="81" t="s">
        <v>659</v>
      </c>
      <c r="O195" s="82">
        <v>90.023753</v>
      </c>
      <c r="P195" s="82">
        <v>53.444181</v>
      </c>
      <c r="Q195" s="82">
        <f t="shared" si="101"/>
        <v>36.579572</v>
      </c>
      <c r="R195" s="78">
        <f t="shared" si="102"/>
        <v>13.11889648</v>
      </c>
      <c r="S195" s="83">
        <f t="shared" si="96"/>
        <v>6969.245572</v>
      </c>
      <c r="T195" s="84" t="s">
        <v>739</v>
      </c>
      <c r="U195" s="79">
        <v>1.0</v>
      </c>
      <c r="V195" s="83" t="str">
        <f t="shared" si="103"/>
        <v>#DIV/0!</v>
      </c>
      <c r="W195" s="83" t="str">
        <f t="shared" si="104"/>
        <v>#DIV/0!</v>
      </c>
    </row>
    <row r="196" ht="26.25" customHeight="1">
      <c r="A196" s="73"/>
      <c r="B196" s="73" t="s">
        <v>980</v>
      </c>
      <c r="C196" s="87" t="s">
        <v>1003</v>
      </c>
      <c r="D196" s="75">
        <v>30539.0</v>
      </c>
      <c r="E196" s="75" t="s">
        <v>1006</v>
      </c>
      <c r="F196" s="75" t="s">
        <v>1007</v>
      </c>
      <c r="G196" s="77" t="s">
        <v>658</v>
      </c>
      <c r="H196" s="91">
        <f>30539+30067</f>
        <v>60606</v>
      </c>
      <c r="I196" s="77">
        <v>1.0</v>
      </c>
      <c r="J196" s="78"/>
      <c r="K196" s="79" t="str">
        <f t="shared" si="1"/>
        <v>#DIV/0!</v>
      </c>
      <c r="L196" s="80" t="s">
        <v>658</v>
      </c>
      <c r="M196" s="81">
        <v>2.0</v>
      </c>
      <c r="N196" s="81" t="s">
        <v>659</v>
      </c>
      <c r="O196" s="82">
        <v>90.023753</v>
      </c>
      <c r="P196" s="82">
        <v>41.448931</v>
      </c>
      <c r="Q196" s="82">
        <f t="shared" si="101"/>
        <v>48.574822</v>
      </c>
      <c r="R196" s="78">
        <f t="shared" si="102"/>
        <v>13.11889648</v>
      </c>
      <c r="S196" s="83">
        <f t="shared" si="96"/>
        <v>4627.307601</v>
      </c>
      <c r="T196" s="84" t="s">
        <v>739</v>
      </c>
      <c r="U196" s="79">
        <v>1.0</v>
      </c>
      <c r="V196" s="83" t="str">
        <f t="shared" si="103"/>
        <v>#DIV/0!</v>
      </c>
      <c r="W196" s="83" t="str">
        <f t="shared" si="104"/>
        <v>#DIV/0!</v>
      </c>
    </row>
    <row r="197" ht="26.25" customHeight="1">
      <c r="A197" s="73"/>
      <c r="B197" s="73" t="s">
        <v>980</v>
      </c>
      <c r="C197" s="87" t="s">
        <v>1003</v>
      </c>
      <c r="D197" s="75">
        <v>22573.0</v>
      </c>
      <c r="E197" s="75" t="s">
        <v>1004</v>
      </c>
      <c r="F197" s="75" t="s">
        <v>1005</v>
      </c>
      <c r="G197" s="77" t="s">
        <v>658</v>
      </c>
      <c r="H197" s="91">
        <f>22573+22253</f>
        <v>44826</v>
      </c>
      <c r="I197" s="77">
        <v>1.0</v>
      </c>
      <c r="J197" s="78"/>
      <c r="K197" s="79" t="str">
        <f t="shared" si="1"/>
        <v>#DIV/0!</v>
      </c>
      <c r="L197" s="80" t="s">
        <v>658</v>
      </c>
      <c r="M197" s="81">
        <v>3.0</v>
      </c>
      <c r="N197" s="81" t="s">
        <v>659</v>
      </c>
      <c r="O197" s="82">
        <v>90.023753</v>
      </c>
      <c r="P197" s="82">
        <v>36.104513</v>
      </c>
      <c r="Q197" s="82">
        <f t="shared" si="101"/>
        <v>53.91924</v>
      </c>
      <c r="R197" s="78">
        <f t="shared" si="102"/>
        <v>13.11889648</v>
      </c>
      <c r="S197" s="83">
        <f t="shared" si="96"/>
        <v>3424.283045</v>
      </c>
      <c r="T197" s="84" t="s">
        <v>739</v>
      </c>
      <c r="U197" s="79">
        <v>1.0</v>
      </c>
      <c r="V197" s="83" t="str">
        <f t="shared" si="103"/>
        <v>#DIV/0!</v>
      </c>
      <c r="W197" s="83" t="str">
        <f t="shared" si="104"/>
        <v>#DIV/0!</v>
      </c>
    </row>
    <row r="198" ht="26.25" customHeight="1">
      <c r="A198" s="72"/>
      <c r="B198" s="73" t="s">
        <v>1011</v>
      </c>
      <c r="C198" s="87" t="s">
        <v>758</v>
      </c>
      <c r="D198" s="76">
        <v>1964.0</v>
      </c>
      <c r="E198" s="76" t="s">
        <v>1012</v>
      </c>
      <c r="F198" s="76"/>
      <c r="G198" s="77" t="s">
        <v>658</v>
      </c>
      <c r="H198" s="77">
        <v>1964.0</v>
      </c>
      <c r="I198" s="77">
        <v>1.0</v>
      </c>
      <c r="J198" s="78"/>
      <c r="K198" s="79" t="str">
        <f t="shared" si="1"/>
        <v>#DIV/0!</v>
      </c>
      <c r="L198" s="80" t="s">
        <v>658</v>
      </c>
      <c r="M198" s="92">
        <v>14.0</v>
      </c>
      <c r="N198" s="92" t="s">
        <v>659</v>
      </c>
      <c r="O198" s="82">
        <v>90.023753</v>
      </c>
      <c r="P198" s="94">
        <v>83.491686</v>
      </c>
      <c r="Q198" s="82">
        <f t="shared" si="101"/>
        <v>6.532067</v>
      </c>
      <c r="R198" s="78">
        <f t="shared" si="102"/>
        <v>13.11889648</v>
      </c>
      <c r="S198" s="83">
        <f t="shared" si="96"/>
        <v>150.7657412</v>
      </c>
      <c r="T198" s="84" t="s">
        <v>660</v>
      </c>
      <c r="U198" s="83">
        <f>1964/1158</f>
        <v>1.696027634</v>
      </c>
      <c r="V198" s="83" t="str">
        <f t="shared" si="103"/>
        <v>#DIV/0!</v>
      </c>
      <c r="W198" s="83" t="str">
        <f t="shared" si="104"/>
        <v>#DIV/0!</v>
      </c>
    </row>
    <row r="199" ht="26.25" customHeight="1">
      <c r="A199" s="85"/>
      <c r="B199" s="85" t="s">
        <v>1011</v>
      </c>
      <c r="C199" s="74" t="s">
        <v>1013</v>
      </c>
      <c r="D199" s="75">
        <v>1085.0</v>
      </c>
      <c r="E199" s="75" t="s">
        <v>1014</v>
      </c>
      <c r="F199" s="76"/>
      <c r="G199" s="77" t="s">
        <v>658</v>
      </c>
      <c r="H199" s="77">
        <v>1085.0</v>
      </c>
      <c r="I199" s="77">
        <v>1.0</v>
      </c>
      <c r="J199" s="78"/>
      <c r="K199" s="79" t="str">
        <f t="shared" si="1"/>
        <v>#DIV/0!</v>
      </c>
      <c r="L199" s="80" t="s">
        <v>658</v>
      </c>
      <c r="M199" s="81">
        <v>28.0</v>
      </c>
      <c r="N199" s="81" t="s">
        <v>659</v>
      </c>
      <c r="O199" s="82">
        <v>90.023753</v>
      </c>
      <c r="P199" s="82">
        <v>83.847981</v>
      </c>
      <c r="Q199" s="82">
        <f t="shared" si="101"/>
        <v>6.175772</v>
      </c>
      <c r="R199" s="78">
        <f t="shared" si="102"/>
        <v>13.11889648</v>
      </c>
      <c r="S199" s="83">
        <f t="shared" si="96"/>
        <v>82.00405298</v>
      </c>
      <c r="T199" s="84" t="s">
        <v>663</v>
      </c>
      <c r="U199" s="83">
        <f>1085/556</f>
        <v>1.951438849</v>
      </c>
      <c r="V199" s="83" t="str">
        <f t="shared" si="103"/>
        <v>#DIV/0!</v>
      </c>
      <c r="W199" s="83" t="str">
        <f t="shared" si="104"/>
        <v>#DIV/0!</v>
      </c>
    </row>
    <row r="200" ht="26.25" customHeight="1">
      <c r="A200" s="72"/>
      <c r="B200" s="73" t="s">
        <v>1011</v>
      </c>
      <c r="C200" s="87" t="s">
        <v>1015</v>
      </c>
      <c r="D200" s="75">
        <v>2979.0</v>
      </c>
      <c r="E200" s="75" t="s">
        <v>1016</v>
      </c>
      <c r="F200" s="75" t="s">
        <v>577</v>
      </c>
      <c r="G200" s="77" t="s">
        <v>658</v>
      </c>
      <c r="H200" s="77">
        <v>3486.0</v>
      </c>
      <c r="I200" s="77">
        <v>1.0</v>
      </c>
      <c r="J200" s="78"/>
      <c r="K200" s="79" t="str">
        <f t="shared" si="1"/>
        <v>#DIV/0!</v>
      </c>
      <c r="L200" s="80" t="s">
        <v>658</v>
      </c>
      <c r="M200" s="81">
        <v>8.0</v>
      </c>
      <c r="N200" s="81" t="s">
        <v>689</v>
      </c>
      <c r="O200" s="82">
        <v>83.610451</v>
      </c>
      <c r="P200" s="82">
        <v>72.446556</v>
      </c>
      <c r="Q200" s="82">
        <f t="shared" si="101"/>
        <v>11.163895</v>
      </c>
      <c r="R200" s="78">
        <f t="shared" si="102"/>
        <v>13.11889648</v>
      </c>
      <c r="S200" s="83">
        <f t="shared" si="96"/>
        <v>265.8721847</v>
      </c>
      <c r="T200" s="84" t="s">
        <v>739</v>
      </c>
      <c r="U200" s="79">
        <f>2979/1464</f>
        <v>2.034836066</v>
      </c>
      <c r="V200" s="83" t="str">
        <f t="shared" si="103"/>
        <v>#DIV/0!</v>
      </c>
      <c r="W200" s="83" t="str">
        <f t="shared" si="104"/>
        <v>#DIV/0!</v>
      </c>
    </row>
    <row r="201" ht="26.25" customHeight="1">
      <c r="A201" s="72"/>
      <c r="B201" s="73" t="s">
        <v>1011</v>
      </c>
      <c r="C201" s="87" t="s">
        <v>676</v>
      </c>
      <c r="D201" s="76">
        <v>1388.0</v>
      </c>
      <c r="E201" s="76" t="s">
        <v>1017</v>
      </c>
      <c r="F201" s="76"/>
      <c r="G201" s="77" t="s">
        <v>658</v>
      </c>
      <c r="H201" s="77">
        <v>1388.0</v>
      </c>
      <c r="I201" s="77">
        <v>1.0</v>
      </c>
      <c r="J201" s="78"/>
      <c r="K201" s="79" t="str">
        <f t="shared" si="1"/>
        <v>#DIV/0!</v>
      </c>
      <c r="L201" s="80" t="s">
        <v>658</v>
      </c>
      <c r="M201" s="92">
        <v>15.0</v>
      </c>
      <c r="N201" s="92" t="s">
        <v>659</v>
      </c>
      <c r="O201" s="82">
        <v>90.023753</v>
      </c>
      <c r="P201" s="94">
        <v>85.866983</v>
      </c>
      <c r="Q201" s="82">
        <f t="shared" si="101"/>
        <v>4.15677</v>
      </c>
      <c r="R201" s="78">
        <f t="shared" si="102"/>
        <v>13.11889648</v>
      </c>
      <c r="S201" s="83">
        <f t="shared" si="96"/>
        <v>106.0530842</v>
      </c>
      <c r="T201" s="84" t="s">
        <v>660</v>
      </c>
      <c r="U201" s="83">
        <f>1388/691</f>
        <v>2.008683068</v>
      </c>
      <c r="V201" s="83" t="str">
        <f t="shared" si="103"/>
        <v>#DIV/0!</v>
      </c>
      <c r="W201" s="83" t="str">
        <f t="shared" si="104"/>
        <v>#DIV/0!</v>
      </c>
    </row>
    <row r="202" ht="26.25" customHeight="1">
      <c r="A202" s="72"/>
      <c r="B202" s="73" t="s">
        <v>1011</v>
      </c>
      <c r="C202" s="87" t="s">
        <v>740</v>
      </c>
      <c r="D202" s="76">
        <v>1060.0</v>
      </c>
      <c r="E202" s="76" t="s">
        <v>1018</v>
      </c>
      <c r="F202" s="76"/>
      <c r="G202" s="77" t="s">
        <v>658</v>
      </c>
      <c r="H202" s="77">
        <v>1060.0</v>
      </c>
      <c r="I202" s="77">
        <v>1.0</v>
      </c>
      <c r="J202" s="78"/>
      <c r="K202" s="79" t="str">
        <f t="shared" si="1"/>
        <v>#DIV/0!</v>
      </c>
      <c r="L202" s="80" t="s">
        <v>658</v>
      </c>
      <c r="M202" s="92">
        <v>15.0</v>
      </c>
      <c r="N202" s="92" t="s">
        <v>659</v>
      </c>
      <c r="O202" s="82">
        <v>90.023753</v>
      </c>
      <c r="P202" s="94">
        <v>86.223278</v>
      </c>
      <c r="Q202" s="82">
        <f t="shared" si="101"/>
        <v>3.800475</v>
      </c>
      <c r="R202" s="78">
        <f t="shared" si="102"/>
        <v>13.11889648</v>
      </c>
      <c r="S202" s="83">
        <f t="shared" si="96"/>
        <v>81.86902476</v>
      </c>
      <c r="T202" s="84" t="s">
        <v>660</v>
      </c>
      <c r="U202" s="83">
        <f>1060/625</f>
        <v>1.696</v>
      </c>
      <c r="V202" s="83" t="str">
        <f t="shared" si="103"/>
        <v>#DIV/0!</v>
      </c>
      <c r="W202" s="83" t="str">
        <f t="shared" si="104"/>
        <v>#DIV/0!</v>
      </c>
    </row>
    <row r="203" ht="26.25" customHeight="1">
      <c r="A203" s="72"/>
      <c r="B203" s="73" t="s">
        <v>1011</v>
      </c>
      <c r="C203" s="87" t="s">
        <v>1019</v>
      </c>
      <c r="D203" s="76">
        <v>1165.0</v>
      </c>
      <c r="E203" s="76" t="s">
        <v>1020</v>
      </c>
      <c r="F203" s="76"/>
      <c r="G203" s="77" t="s">
        <v>658</v>
      </c>
      <c r="H203" s="77">
        <v>1165.0</v>
      </c>
      <c r="I203" s="91">
        <v>1.0</v>
      </c>
      <c r="J203" s="78"/>
      <c r="K203" s="79" t="str">
        <f t="shared" si="1"/>
        <v>#DIV/0!</v>
      </c>
      <c r="L203" s="80" t="s">
        <v>658</v>
      </c>
      <c r="M203" s="92">
        <v>12.0</v>
      </c>
      <c r="N203" s="92" t="s">
        <v>689</v>
      </c>
      <c r="O203" s="82">
        <v>90.023753</v>
      </c>
      <c r="P203" s="94">
        <v>84.441805</v>
      </c>
      <c r="Q203" s="82">
        <f t="shared" si="101"/>
        <v>5.581948</v>
      </c>
      <c r="R203" s="78">
        <f t="shared" si="102"/>
        <v>13.11889648</v>
      </c>
      <c r="S203" s="83">
        <f t="shared" si="96"/>
        <v>88.62406952</v>
      </c>
      <c r="T203" s="84" t="s">
        <v>896</v>
      </c>
      <c r="U203" s="83">
        <f>1165/687</f>
        <v>1.695778748</v>
      </c>
      <c r="V203" s="83" t="str">
        <f t="shared" si="103"/>
        <v>#DIV/0!</v>
      </c>
      <c r="W203" s="83" t="str">
        <f t="shared" si="104"/>
        <v>#DIV/0!</v>
      </c>
    </row>
    <row r="204" ht="26.25" customHeight="1">
      <c r="A204" s="72"/>
      <c r="B204" s="73" t="s">
        <v>1011</v>
      </c>
      <c r="C204" s="87" t="s">
        <v>1021</v>
      </c>
      <c r="D204" s="75">
        <v>1526.0</v>
      </c>
      <c r="E204" s="75" t="s">
        <v>1022</v>
      </c>
      <c r="F204" s="76" t="s">
        <v>1023</v>
      </c>
      <c r="G204" s="77" t="s">
        <v>689</v>
      </c>
      <c r="H204" s="77">
        <v>7053.0</v>
      </c>
      <c r="I204" s="77">
        <v>10.0</v>
      </c>
      <c r="J204" s="78"/>
      <c r="K204" s="79" t="str">
        <f t="shared" si="1"/>
        <v>#DIV/0!</v>
      </c>
      <c r="L204" s="80" t="s">
        <v>658</v>
      </c>
      <c r="M204" s="81">
        <v>10.0</v>
      </c>
      <c r="N204" s="79" t="s">
        <v>689</v>
      </c>
      <c r="O204" s="82">
        <v>90.023753</v>
      </c>
      <c r="P204" s="82">
        <v>77.672209</v>
      </c>
      <c r="Q204" s="82">
        <f t="shared" si="101"/>
        <v>12.351544</v>
      </c>
      <c r="R204" s="78">
        <f t="shared" si="102"/>
        <v>13.11889648</v>
      </c>
      <c r="S204" s="83">
        <f t="shared" si="96"/>
        <v>235.3251791</v>
      </c>
      <c r="T204" s="84" t="s">
        <v>705</v>
      </c>
      <c r="U204" s="79">
        <f t="shared" ref="U204:U205" si="105">1526/760</f>
        <v>2.007894737</v>
      </c>
      <c r="V204" s="83" t="str">
        <f t="shared" si="103"/>
        <v>#DIV/0!</v>
      </c>
      <c r="W204" s="83" t="str">
        <f t="shared" si="104"/>
        <v>#DIV/0!</v>
      </c>
    </row>
    <row r="205" ht="26.25" customHeight="1">
      <c r="A205" s="72"/>
      <c r="B205" s="73" t="s">
        <v>1011</v>
      </c>
      <c r="C205" s="87" t="s">
        <v>1021</v>
      </c>
      <c r="D205" s="75">
        <v>1526.0</v>
      </c>
      <c r="E205" s="75" t="s">
        <v>1022</v>
      </c>
      <c r="F205" s="76" t="s">
        <v>708</v>
      </c>
      <c r="G205" s="77" t="s">
        <v>689</v>
      </c>
      <c r="H205" s="77">
        <v>9423.0</v>
      </c>
      <c r="I205" s="77">
        <v>15.0</v>
      </c>
      <c r="J205" s="78"/>
      <c r="K205" s="79" t="str">
        <f t="shared" si="1"/>
        <v>#DIV/0!</v>
      </c>
      <c r="L205" s="89" t="s">
        <v>303</v>
      </c>
      <c r="M205" s="85" t="s">
        <v>303</v>
      </c>
      <c r="N205" s="85" t="s">
        <v>303</v>
      </c>
      <c r="O205" s="82" t="s">
        <v>303</v>
      </c>
      <c r="P205" s="82" t="s">
        <v>303</v>
      </c>
      <c r="Q205" s="82" t="s">
        <v>303</v>
      </c>
      <c r="R205" s="78" t="s">
        <v>303</v>
      </c>
      <c r="S205" s="83" t="str">
        <f t="shared" si="96"/>
        <v>#N/A</v>
      </c>
      <c r="T205" s="84" t="s">
        <v>705</v>
      </c>
      <c r="U205" s="79">
        <f t="shared" si="105"/>
        <v>2.007894737</v>
      </c>
      <c r="V205" s="83">
        <f>56805/55145</f>
        <v>1.030102457</v>
      </c>
      <c r="W205" s="83">
        <f>(56805-55145)/(1500000/845)</f>
        <v>0.9351333333</v>
      </c>
    </row>
    <row r="206" ht="26.25" customHeight="1">
      <c r="A206" s="72"/>
      <c r="B206" s="73" t="s">
        <v>1011</v>
      </c>
      <c r="C206" s="87" t="s">
        <v>684</v>
      </c>
      <c r="D206" s="76">
        <v>1136.0</v>
      </c>
      <c r="E206" s="76" t="s">
        <v>930</v>
      </c>
      <c r="F206" s="76"/>
      <c r="G206" s="77" t="s">
        <v>658</v>
      </c>
      <c r="H206" s="77">
        <v>1136.0</v>
      </c>
      <c r="I206" s="77">
        <v>1.0</v>
      </c>
      <c r="J206" s="78"/>
      <c r="K206" s="79" t="str">
        <f t="shared" si="1"/>
        <v>#DIV/0!</v>
      </c>
      <c r="L206" s="80" t="s">
        <v>658</v>
      </c>
      <c r="M206" s="92">
        <v>19.0</v>
      </c>
      <c r="N206" s="92" t="s">
        <v>659</v>
      </c>
      <c r="O206" s="82">
        <v>90.023753</v>
      </c>
      <c r="P206" s="94">
        <v>85.154394</v>
      </c>
      <c r="Q206" s="82">
        <f t="shared" ref="Q206:Q208" si="106">O206-P206</f>
        <v>4.869359</v>
      </c>
      <c r="R206" s="78">
        <f t="shared" ref="R206:R208" si="107">IFS(L206="S",21494/2048*1.25)</f>
        <v>13.11889648</v>
      </c>
      <c r="S206" s="83">
        <f t="shared" si="96"/>
        <v>87.48919395</v>
      </c>
      <c r="T206" s="84" t="s">
        <v>660</v>
      </c>
      <c r="U206" s="83">
        <f>1136/634</f>
        <v>1.791798107</v>
      </c>
      <c r="V206" s="83" t="str">
        <f t="shared" ref="V206:V208" si="108">S206/K206</f>
        <v>#DIV/0!</v>
      </c>
      <c r="W206" s="83" t="str">
        <f t="shared" ref="W206:W208" si="109">(S206-K206)*M206*#REF!*#REF!*J206/(249945/845)</f>
        <v>#DIV/0!</v>
      </c>
    </row>
    <row r="207" ht="26.25" customHeight="1">
      <c r="A207" s="72"/>
      <c r="B207" s="73" t="s">
        <v>1011</v>
      </c>
      <c r="C207" s="87" t="s">
        <v>692</v>
      </c>
      <c r="D207" s="76">
        <v>898.0</v>
      </c>
      <c r="E207" s="76" t="s">
        <v>1024</v>
      </c>
      <c r="F207" s="76"/>
      <c r="G207" s="77" t="s">
        <v>658</v>
      </c>
      <c r="H207" s="77">
        <v>898.0</v>
      </c>
      <c r="I207" s="77">
        <v>1.0</v>
      </c>
      <c r="J207" s="78"/>
      <c r="K207" s="79" t="str">
        <f t="shared" si="1"/>
        <v>#DIV/0!</v>
      </c>
      <c r="L207" s="80" t="s">
        <v>658</v>
      </c>
      <c r="M207" s="92">
        <v>31.0</v>
      </c>
      <c r="N207" s="92" t="s">
        <v>659</v>
      </c>
      <c r="O207" s="82">
        <v>90.023753</v>
      </c>
      <c r="P207" s="94">
        <v>84.32304</v>
      </c>
      <c r="Q207" s="82">
        <f t="shared" si="106"/>
        <v>5.700713</v>
      </c>
      <c r="R207" s="78">
        <f t="shared" si="107"/>
        <v>13.11889648</v>
      </c>
      <c r="S207" s="83">
        <f t="shared" si="96"/>
        <v>68.24801788</v>
      </c>
      <c r="T207" s="84" t="s">
        <v>660</v>
      </c>
      <c r="U207" s="83">
        <f>898/461</f>
        <v>1.947939262</v>
      </c>
      <c r="V207" s="83" t="str">
        <f t="shared" si="108"/>
        <v>#DIV/0!</v>
      </c>
      <c r="W207" s="83" t="str">
        <f t="shared" si="109"/>
        <v>#DIV/0!</v>
      </c>
    </row>
    <row r="208" ht="26.25" customHeight="1">
      <c r="A208" s="72"/>
      <c r="B208" s="73" t="s">
        <v>1011</v>
      </c>
      <c r="C208" s="87" t="s">
        <v>1025</v>
      </c>
      <c r="D208" s="75">
        <v>1388.0</v>
      </c>
      <c r="E208" s="75" t="s">
        <v>1026</v>
      </c>
      <c r="F208" s="76" t="s">
        <v>761</v>
      </c>
      <c r="G208" s="77" t="s">
        <v>658</v>
      </c>
      <c r="H208" s="77">
        <f>1388+449</f>
        <v>1837</v>
      </c>
      <c r="I208" s="77">
        <v>1.0</v>
      </c>
      <c r="J208" s="78"/>
      <c r="K208" s="79" t="str">
        <f t="shared" si="1"/>
        <v>#DIV/0!</v>
      </c>
      <c r="L208" s="80" t="s">
        <v>658</v>
      </c>
      <c r="M208" s="81">
        <v>10.0</v>
      </c>
      <c r="N208" s="92" t="s">
        <v>689</v>
      </c>
      <c r="O208" s="82">
        <v>90.023753</v>
      </c>
      <c r="P208" s="82">
        <v>82.541568</v>
      </c>
      <c r="Q208" s="82">
        <f t="shared" si="106"/>
        <v>7.482185</v>
      </c>
      <c r="R208" s="78">
        <f t="shared" si="107"/>
        <v>13.11889648</v>
      </c>
      <c r="S208" s="83">
        <f t="shared" si="96"/>
        <v>142.5527469</v>
      </c>
      <c r="T208" s="84" t="s">
        <v>739</v>
      </c>
      <c r="U208" s="83">
        <f>(1388+449)/(691+449)</f>
        <v>1.611403509</v>
      </c>
      <c r="V208" s="83" t="str">
        <f t="shared" si="108"/>
        <v>#DIV/0!</v>
      </c>
      <c r="W208" s="83" t="str">
        <f t="shared" si="109"/>
        <v>#DIV/0!</v>
      </c>
    </row>
    <row r="209" ht="26.25" customHeight="1">
      <c r="A209" s="72"/>
      <c r="B209" s="73" t="s">
        <v>1011</v>
      </c>
      <c r="C209" s="87" t="s">
        <v>1025</v>
      </c>
      <c r="D209" s="75">
        <v>696.0</v>
      </c>
      <c r="E209" s="75" t="s">
        <v>1027</v>
      </c>
      <c r="F209" s="76" t="s">
        <v>1028</v>
      </c>
      <c r="G209" s="77" t="s">
        <v>689</v>
      </c>
      <c r="H209" s="77">
        <v>11482.0</v>
      </c>
      <c r="I209" s="77">
        <v>20.0</v>
      </c>
      <c r="J209" s="78"/>
      <c r="K209" s="79" t="str">
        <f t="shared" si="1"/>
        <v>#DIV/0!</v>
      </c>
      <c r="L209" s="89" t="s">
        <v>303</v>
      </c>
      <c r="M209" s="85" t="s">
        <v>303</v>
      </c>
      <c r="N209" s="85" t="s">
        <v>303</v>
      </c>
      <c r="O209" s="82" t="s">
        <v>303</v>
      </c>
      <c r="P209" s="82" t="s">
        <v>303</v>
      </c>
      <c r="Q209" s="82" t="s">
        <v>303</v>
      </c>
      <c r="R209" s="78" t="s">
        <v>303</v>
      </c>
      <c r="S209" s="83" t="str">
        <f t="shared" si="96"/>
        <v>#N/A</v>
      </c>
      <c r="T209" s="84" t="s">
        <v>739</v>
      </c>
      <c r="U209" s="79">
        <f>11482/7398</f>
        <v>1.552041092</v>
      </c>
      <c r="V209" s="83">
        <f>47929/46508</f>
        <v>1.030553883</v>
      </c>
      <c r="W209" s="83">
        <f>(47929-46508)/(1500000/845)</f>
        <v>0.8004966667</v>
      </c>
    </row>
    <row r="210" ht="26.25" customHeight="1">
      <c r="A210" s="72"/>
      <c r="B210" s="73" t="s">
        <v>1011</v>
      </c>
      <c r="C210" s="87" t="s">
        <v>1025</v>
      </c>
      <c r="D210" s="75">
        <v>696.0</v>
      </c>
      <c r="E210" s="75" t="s">
        <v>1027</v>
      </c>
      <c r="F210" s="76" t="s">
        <v>1029</v>
      </c>
      <c r="G210" s="77" t="s">
        <v>689</v>
      </c>
      <c r="H210" s="77">
        <v>7079.0</v>
      </c>
      <c r="I210" s="77">
        <v>10.0</v>
      </c>
      <c r="J210" s="78"/>
      <c r="K210" s="79" t="str">
        <f t="shared" si="1"/>
        <v>#DIV/0!</v>
      </c>
      <c r="L210" s="89" t="s">
        <v>303</v>
      </c>
      <c r="M210" s="85" t="s">
        <v>303</v>
      </c>
      <c r="N210" s="85" t="s">
        <v>303</v>
      </c>
      <c r="O210" s="82" t="s">
        <v>303</v>
      </c>
      <c r="P210" s="82" t="s">
        <v>303</v>
      </c>
      <c r="Q210" s="82" t="s">
        <v>303</v>
      </c>
      <c r="R210" s="78" t="s">
        <v>303</v>
      </c>
      <c r="S210" s="83" t="str">
        <f t="shared" si="96"/>
        <v>#N/A</v>
      </c>
      <c r="T210" s="84" t="s">
        <v>739</v>
      </c>
      <c r="U210" s="79">
        <f>7079/4986</f>
        <v>1.419775371</v>
      </c>
      <c r="V210" s="83">
        <f>62130/60287</f>
        <v>1.030570438</v>
      </c>
      <c r="W210" s="83">
        <f>(62130-60287)/(1500000/845)</f>
        <v>1.038223333</v>
      </c>
    </row>
    <row r="211" ht="26.25" customHeight="1">
      <c r="A211" s="72"/>
      <c r="B211" s="73" t="s">
        <v>1011</v>
      </c>
      <c r="C211" s="87" t="s">
        <v>1030</v>
      </c>
      <c r="D211" s="75">
        <v>4339.0</v>
      </c>
      <c r="E211" s="76"/>
      <c r="F211" s="76" t="s">
        <v>1031</v>
      </c>
      <c r="G211" s="77" t="s">
        <v>658</v>
      </c>
      <c r="H211" s="77">
        <v>4339.0</v>
      </c>
      <c r="I211" s="77">
        <v>1.0</v>
      </c>
      <c r="J211" s="78"/>
      <c r="K211" s="79" t="str">
        <f t="shared" si="1"/>
        <v>#DIV/0!</v>
      </c>
      <c r="L211" s="80" t="s">
        <v>658</v>
      </c>
      <c r="M211" s="81">
        <v>11.0</v>
      </c>
      <c r="N211" s="81" t="s">
        <v>659</v>
      </c>
      <c r="O211" s="82">
        <v>81.710214</v>
      </c>
      <c r="P211" s="82">
        <v>62.589074</v>
      </c>
      <c r="Q211" s="82">
        <f t="shared" ref="Q211:Q214" si="110">O211-P211</f>
        <v>19.12114</v>
      </c>
      <c r="R211" s="78">
        <f t="shared" ref="R211:R214" si="111">IFS(L211="S",21494/2048*1.25)</f>
        <v>13.11889648</v>
      </c>
      <c r="S211" s="83">
        <f t="shared" si="96"/>
        <v>331.1831589</v>
      </c>
      <c r="T211" s="84" t="s">
        <v>739</v>
      </c>
      <c r="U211" s="79">
        <v>1.0</v>
      </c>
      <c r="V211" s="83" t="str">
        <f t="shared" ref="V211:V214" si="112">S211/K211</f>
        <v>#DIV/0!</v>
      </c>
      <c r="W211" s="83" t="str">
        <f t="shared" ref="W211:W214" si="113">(S211-K211)*M211*#REF!*#REF!*J211/(249945/845)</f>
        <v>#DIV/0!</v>
      </c>
    </row>
    <row r="212" ht="26.25" customHeight="1">
      <c r="A212" s="72"/>
      <c r="B212" s="73" t="s">
        <v>1011</v>
      </c>
      <c r="C212" s="87" t="s">
        <v>1030</v>
      </c>
      <c r="D212" s="75">
        <v>898.0</v>
      </c>
      <c r="E212" s="75" t="s">
        <v>1024</v>
      </c>
      <c r="F212" s="76"/>
      <c r="G212" s="77" t="s">
        <v>658</v>
      </c>
      <c r="H212" s="77">
        <v>898.0</v>
      </c>
      <c r="I212" s="77">
        <v>1.0</v>
      </c>
      <c r="J212" s="78"/>
      <c r="K212" s="79" t="str">
        <f t="shared" si="1"/>
        <v>#DIV/0!</v>
      </c>
      <c r="L212" s="80" t="s">
        <v>658</v>
      </c>
      <c r="M212" s="81">
        <v>12.0</v>
      </c>
      <c r="N212" s="79" t="s">
        <v>689</v>
      </c>
      <c r="O212" s="82">
        <v>90.023753</v>
      </c>
      <c r="P212" s="82">
        <v>85.629454</v>
      </c>
      <c r="Q212" s="82">
        <f t="shared" si="110"/>
        <v>4.394299</v>
      </c>
      <c r="R212" s="78">
        <f t="shared" si="111"/>
        <v>13.11889648</v>
      </c>
      <c r="S212" s="83">
        <f t="shared" si="96"/>
        <v>69.76787675</v>
      </c>
      <c r="T212" s="84" t="s">
        <v>739</v>
      </c>
      <c r="U212" s="83">
        <f>898/461</f>
        <v>1.947939262</v>
      </c>
      <c r="V212" s="83" t="str">
        <f t="shared" si="112"/>
        <v>#DIV/0!</v>
      </c>
      <c r="W212" s="83" t="str">
        <f t="shared" si="113"/>
        <v>#DIV/0!</v>
      </c>
    </row>
    <row r="213" ht="26.25" customHeight="1">
      <c r="A213" s="72"/>
      <c r="B213" s="73" t="s">
        <v>1011</v>
      </c>
      <c r="C213" s="87" t="s">
        <v>1032</v>
      </c>
      <c r="D213" s="75">
        <v>1388.0</v>
      </c>
      <c r="E213" s="75" t="s">
        <v>1033</v>
      </c>
      <c r="F213" s="76"/>
      <c r="G213" s="77" t="s">
        <v>658</v>
      </c>
      <c r="H213" s="77">
        <v>1388.0</v>
      </c>
      <c r="I213" s="77">
        <v>1.0</v>
      </c>
      <c r="J213" s="78"/>
      <c r="K213" s="79" t="str">
        <f t="shared" si="1"/>
        <v>#DIV/0!</v>
      </c>
      <c r="L213" s="80" t="s">
        <v>658</v>
      </c>
      <c r="M213" s="81">
        <v>10.0</v>
      </c>
      <c r="N213" s="81" t="s">
        <v>689</v>
      </c>
      <c r="O213" s="82">
        <v>90.023753</v>
      </c>
      <c r="P213" s="82">
        <v>84.441805</v>
      </c>
      <c r="Q213" s="82">
        <f t="shared" si="110"/>
        <v>5.581948</v>
      </c>
      <c r="R213" s="78">
        <f t="shared" si="111"/>
        <v>13.11889648</v>
      </c>
      <c r="S213" s="83">
        <f t="shared" si="96"/>
        <v>106.3488834</v>
      </c>
      <c r="T213" s="84" t="s">
        <v>739</v>
      </c>
      <c r="U213" s="83">
        <f>1388/691</f>
        <v>2.008683068</v>
      </c>
      <c r="V213" s="83" t="str">
        <f t="shared" si="112"/>
        <v>#DIV/0!</v>
      </c>
      <c r="W213" s="83" t="str">
        <f t="shared" si="113"/>
        <v>#DIV/0!</v>
      </c>
    </row>
    <row r="214" ht="26.25" customHeight="1">
      <c r="A214" s="72"/>
      <c r="B214" s="73" t="s">
        <v>1011</v>
      </c>
      <c r="C214" s="87" t="s">
        <v>1034</v>
      </c>
      <c r="D214" s="75">
        <v>1778.0</v>
      </c>
      <c r="E214" s="75" t="s">
        <v>1037</v>
      </c>
      <c r="F214" s="76" t="s">
        <v>1038</v>
      </c>
      <c r="G214" s="77" t="s">
        <v>658</v>
      </c>
      <c r="H214" s="77">
        <v>1778.0</v>
      </c>
      <c r="I214" s="77">
        <v>1.0</v>
      </c>
      <c r="J214" s="78"/>
      <c r="K214" s="79" t="str">
        <f t="shared" si="1"/>
        <v>#DIV/0!</v>
      </c>
      <c r="L214" s="80" t="s">
        <v>658</v>
      </c>
      <c r="M214" s="81">
        <v>8.0</v>
      </c>
      <c r="N214" s="81" t="s">
        <v>689</v>
      </c>
      <c r="O214" s="82">
        <v>90.023753</v>
      </c>
      <c r="P214" s="82">
        <v>84.32304</v>
      </c>
      <c r="Q214" s="82">
        <f t="shared" si="110"/>
        <v>5.700713</v>
      </c>
      <c r="R214" s="78">
        <f t="shared" si="111"/>
        <v>13.11889648</v>
      </c>
      <c r="S214" s="83">
        <f t="shared" si="96"/>
        <v>135.7645356</v>
      </c>
      <c r="T214" s="84" t="s">
        <v>739</v>
      </c>
      <c r="U214" s="83">
        <f>1778/1049</f>
        <v>1.694947569</v>
      </c>
      <c r="V214" s="83" t="str">
        <f t="shared" si="112"/>
        <v>#DIV/0!</v>
      </c>
      <c r="W214" s="83" t="str">
        <f t="shared" si="113"/>
        <v>#DIV/0!</v>
      </c>
    </row>
    <row r="215" ht="26.25" customHeight="1">
      <c r="A215" s="72"/>
      <c r="B215" s="73" t="s">
        <v>1011</v>
      </c>
      <c r="C215" s="87" t="s">
        <v>1034</v>
      </c>
      <c r="D215" s="75">
        <v>6933.0</v>
      </c>
      <c r="E215" s="75" t="s">
        <v>1035</v>
      </c>
      <c r="F215" s="76" t="s">
        <v>1036</v>
      </c>
      <c r="G215" s="77" t="s">
        <v>658</v>
      </c>
      <c r="H215" s="77">
        <v>6933.0</v>
      </c>
      <c r="I215" s="77">
        <v>1.0</v>
      </c>
      <c r="J215" s="78"/>
      <c r="K215" s="79" t="str">
        <f t="shared" si="1"/>
        <v>#DIV/0!</v>
      </c>
      <c r="L215" s="89" t="s">
        <v>303</v>
      </c>
      <c r="M215" s="85" t="s">
        <v>303</v>
      </c>
      <c r="N215" s="85" t="s">
        <v>303</v>
      </c>
      <c r="O215" s="82" t="s">
        <v>303</v>
      </c>
      <c r="P215" s="82" t="s">
        <v>303</v>
      </c>
      <c r="Q215" s="82" t="s">
        <v>303</v>
      </c>
      <c r="R215" s="78" t="s">
        <v>303</v>
      </c>
      <c r="S215" s="83" t="str">
        <f t="shared" si="96"/>
        <v>#N/A</v>
      </c>
      <c r="T215" s="84" t="s">
        <v>739</v>
      </c>
      <c r="U215" s="79">
        <f>6933/4088</f>
        <v>1.695939335</v>
      </c>
      <c r="V215" s="83">
        <f>63905/62284</f>
        <v>1.026025946</v>
      </c>
      <c r="W215" s="83">
        <f>(63905-62284)/(1500000/845)</f>
        <v>0.9131633333</v>
      </c>
    </row>
    <row r="216" ht="26.25" customHeight="1">
      <c r="A216" s="72"/>
      <c r="B216" s="73" t="s">
        <v>1011</v>
      </c>
      <c r="C216" s="87" t="s">
        <v>1039</v>
      </c>
      <c r="D216" s="75">
        <v>1841.0</v>
      </c>
      <c r="E216" s="75" t="s">
        <v>1040</v>
      </c>
      <c r="F216" s="75" t="s">
        <v>1041</v>
      </c>
      <c r="G216" s="77" t="s">
        <v>658</v>
      </c>
      <c r="H216" s="77">
        <f>1841+17*2+198*7</f>
        <v>3261</v>
      </c>
      <c r="I216" s="77">
        <v>1.0</v>
      </c>
      <c r="J216" s="78"/>
      <c r="K216" s="79" t="str">
        <f t="shared" si="1"/>
        <v>#DIV/0!</v>
      </c>
      <c r="L216" s="80" t="s">
        <v>658</v>
      </c>
      <c r="M216" s="81">
        <v>1.0</v>
      </c>
      <c r="N216" s="81" t="s">
        <v>689</v>
      </c>
      <c r="O216" s="82">
        <v>85.154394</v>
      </c>
      <c r="P216" s="82">
        <v>83.847981</v>
      </c>
      <c r="Q216" s="82">
        <f t="shared" ref="Q216:Q219" si="114">O216-P216</f>
        <v>1.306413</v>
      </c>
      <c r="R216" s="78">
        <f t="shared" ref="R216:R219" si="115">IFS(L216="S",21494/2048*1.25)</f>
        <v>13.11889648</v>
      </c>
      <c r="S216" s="83">
        <f t="shared" si="96"/>
        <v>248.9015731</v>
      </c>
      <c r="T216" s="84" t="s">
        <v>739</v>
      </c>
      <c r="U216" s="79">
        <v>1.0</v>
      </c>
      <c r="V216" s="83" t="str">
        <f t="shared" ref="V216:V219" si="116">S216/K216</f>
        <v>#DIV/0!</v>
      </c>
      <c r="W216" s="83" t="str">
        <f t="shared" ref="W216:W219" si="117">(S216-K216)*M216*#REF!*#REF!*J216/(249945/845)</f>
        <v>#DIV/0!</v>
      </c>
    </row>
    <row r="217" ht="26.25" customHeight="1">
      <c r="A217" s="72"/>
      <c r="B217" s="73" t="s">
        <v>1011</v>
      </c>
      <c r="C217" s="87" t="s">
        <v>1039</v>
      </c>
      <c r="D217" s="75">
        <v>898.0</v>
      </c>
      <c r="E217" s="75" t="s">
        <v>1042</v>
      </c>
      <c r="F217" s="76"/>
      <c r="G217" s="77" t="s">
        <v>658</v>
      </c>
      <c r="H217" s="77">
        <v>898.0</v>
      </c>
      <c r="I217" s="77">
        <v>1.0</v>
      </c>
      <c r="J217" s="78"/>
      <c r="K217" s="79" t="str">
        <f t="shared" si="1"/>
        <v>#DIV/0!</v>
      </c>
      <c r="L217" s="80" t="s">
        <v>658</v>
      </c>
      <c r="M217" s="81">
        <v>9.0</v>
      </c>
      <c r="N217" s="81" t="s">
        <v>689</v>
      </c>
      <c r="O217" s="82">
        <v>90.023753</v>
      </c>
      <c r="P217" s="82">
        <v>86.698337</v>
      </c>
      <c r="Q217" s="82">
        <f t="shared" si="114"/>
        <v>3.325416</v>
      </c>
      <c r="R217" s="78">
        <f t="shared" si="115"/>
        <v>13.11889648</v>
      </c>
      <c r="S217" s="83">
        <f t="shared" si="96"/>
        <v>70.39642762</v>
      </c>
      <c r="T217" s="84" t="s">
        <v>739</v>
      </c>
      <c r="U217" s="83">
        <f>898/461</f>
        <v>1.947939262</v>
      </c>
      <c r="V217" s="83" t="str">
        <f t="shared" si="116"/>
        <v>#DIV/0!</v>
      </c>
      <c r="W217" s="83" t="str">
        <f t="shared" si="117"/>
        <v>#DIV/0!</v>
      </c>
    </row>
    <row r="218" ht="26.25" customHeight="1">
      <c r="A218" s="72"/>
      <c r="B218" s="73" t="s">
        <v>1011</v>
      </c>
      <c r="C218" s="87" t="s">
        <v>1043</v>
      </c>
      <c r="D218" s="75">
        <v>987.0</v>
      </c>
      <c r="E218" s="75" t="s">
        <v>1044</v>
      </c>
      <c r="F218" s="76" t="s">
        <v>1045</v>
      </c>
      <c r="G218" s="77" t="s">
        <v>658</v>
      </c>
      <c r="H218" s="77">
        <f>987*12+938*3+3781*3</f>
        <v>26001</v>
      </c>
      <c r="I218" s="77">
        <v>15.0</v>
      </c>
      <c r="J218" s="78"/>
      <c r="K218" s="79" t="str">
        <f t="shared" si="1"/>
        <v>#DIV/0!</v>
      </c>
      <c r="L218" s="80" t="s">
        <v>658</v>
      </c>
      <c r="M218" s="81">
        <v>15.0</v>
      </c>
      <c r="N218" s="81" t="s">
        <v>689</v>
      </c>
      <c r="O218" s="82">
        <v>90.023753</v>
      </c>
      <c r="P218" s="82">
        <v>79.572447</v>
      </c>
      <c r="Q218" s="82">
        <f t="shared" si="114"/>
        <v>10.451306</v>
      </c>
      <c r="R218" s="78">
        <f t="shared" si="115"/>
        <v>13.11889648</v>
      </c>
      <c r="S218" s="83">
        <f t="shared" si="96"/>
        <v>132.7475311</v>
      </c>
      <c r="T218" s="84" t="s">
        <v>739</v>
      </c>
      <c r="U218" s="83">
        <f>987/506</f>
        <v>1.950592885</v>
      </c>
      <c r="V218" s="83" t="str">
        <f t="shared" si="116"/>
        <v>#DIV/0!</v>
      </c>
      <c r="W218" s="83" t="str">
        <f t="shared" si="117"/>
        <v>#DIV/0!</v>
      </c>
    </row>
    <row r="219" ht="26.25" customHeight="1">
      <c r="A219" s="72"/>
      <c r="B219" s="73" t="s">
        <v>1046</v>
      </c>
      <c r="C219" s="87" t="s">
        <v>758</v>
      </c>
      <c r="D219" s="93" t="s">
        <v>1047</v>
      </c>
      <c r="E219" s="76" t="s">
        <v>1048</v>
      </c>
      <c r="F219" s="76" t="s">
        <v>1049</v>
      </c>
      <c r="G219" s="77" t="s">
        <v>658</v>
      </c>
      <c r="H219" s="77">
        <v>12042.0</v>
      </c>
      <c r="I219" s="77">
        <v>1.0</v>
      </c>
      <c r="J219" s="78"/>
      <c r="K219" s="79" t="str">
        <f t="shared" si="1"/>
        <v>#DIV/0!</v>
      </c>
      <c r="L219" s="80" t="s">
        <v>658</v>
      </c>
      <c r="M219" s="81">
        <v>3.0</v>
      </c>
      <c r="N219" s="79" t="s">
        <v>659</v>
      </c>
      <c r="O219" s="82">
        <v>90.023753</v>
      </c>
      <c r="P219" s="82">
        <v>75.534442</v>
      </c>
      <c r="Q219" s="82">
        <f t="shared" si="114"/>
        <v>14.489311</v>
      </c>
      <c r="R219" s="78">
        <f t="shared" si="115"/>
        <v>13.11889648</v>
      </c>
      <c r="S219" s="83" t="str">
        <f t="shared" si="96"/>
        <v>#DIV/0!</v>
      </c>
      <c r="T219" s="84" t="s">
        <v>757</v>
      </c>
      <c r="U219" s="83" t="str">
        <f>2908/1.25/1.22/1.15/2/K219</f>
        <v>#DIV/0!</v>
      </c>
      <c r="V219" s="83" t="str">
        <f t="shared" si="116"/>
        <v>#DIV/0!</v>
      </c>
      <c r="W219" s="83" t="str">
        <f t="shared" si="117"/>
        <v>#DIV/0!</v>
      </c>
    </row>
    <row r="220" ht="26.25" customHeight="1">
      <c r="A220" s="72"/>
      <c r="B220" s="73" t="s">
        <v>1046</v>
      </c>
      <c r="C220" s="87" t="s">
        <v>543</v>
      </c>
      <c r="D220" s="75">
        <v>10278.0</v>
      </c>
      <c r="E220" s="75" t="s">
        <v>1050</v>
      </c>
      <c r="F220" s="76" t="s">
        <v>1051</v>
      </c>
      <c r="G220" s="77" t="s">
        <v>658</v>
      </c>
      <c r="H220" s="77">
        <f>11386+3781+11771+10191</f>
        <v>37129</v>
      </c>
      <c r="I220" s="77">
        <v>2.0</v>
      </c>
      <c r="J220" s="78"/>
      <c r="K220" s="79" t="str">
        <f t="shared" si="1"/>
        <v>#DIV/0!</v>
      </c>
      <c r="L220" s="89" t="s">
        <v>303</v>
      </c>
      <c r="M220" s="85" t="s">
        <v>303</v>
      </c>
      <c r="N220" s="85" t="s">
        <v>303</v>
      </c>
      <c r="O220" s="82" t="s">
        <v>303</v>
      </c>
      <c r="P220" s="82" t="s">
        <v>303</v>
      </c>
      <c r="Q220" s="82" t="s">
        <v>303</v>
      </c>
      <c r="R220" s="78" t="s">
        <v>303</v>
      </c>
      <c r="S220" s="83" t="str">
        <f t="shared" si="96"/>
        <v>#N/A</v>
      </c>
      <c r="T220" s="84" t="s">
        <v>739</v>
      </c>
      <c r="U220" s="83">
        <f>11386/10278</f>
        <v>1.107803075</v>
      </c>
      <c r="V220" s="83">
        <f>69231/68864</f>
        <v>1.005329345</v>
      </c>
      <c r="W220" s="83">
        <f>(69231-68864)/(1500000/845)</f>
        <v>0.2067433333</v>
      </c>
    </row>
    <row r="221" ht="26.25" customHeight="1">
      <c r="A221" s="72"/>
      <c r="B221" s="73" t="s">
        <v>1046</v>
      </c>
      <c r="C221" s="87" t="s">
        <v>253</v>
      </c>
      <c r="D221" s="75">
        <v>12111.0</v>
      </c>
      <c r="E221" s="75" t="s">
        <v>1053</v>
      </c>
      <c r="F221" s="76" t="s">
        <v>762</v>
      </c>
      <c r="G221" s="77" t="s">
        <v>658</v>
      </c>
      <c r="H221" s="77">
        <v>12111.0</v>
      </c>
      <c r="I221" s="77">
        <v>1.0</v>
      </c>
      <c r="J221" s="78"/>
      <c r="K221" s="79" t="str">
        <f t="shared" si="1"/>
        <v>#DIV/0!</v>
      </c>
      <c r="L221" s="80" t="s">
        <v>658</v>
      </c>
      <c r="M221" s="81">
        <v>4.0</v>
      </c>
      <c r="N221" s="81" t="s">
        <v>659</v>
      </c>
      <c r="O221" s="82">
        <v>90.023753</v>
      </c>
      <c r="P221" s="82">
        <v>74.465558</v>
      </c>
      <c r="Q221" s="82">
        <f t="shared" ref="Q221:Q223" si="118">O221-P221</f>
        <v>15.558195</v>
      </c>
      <c r="R221" s="78">
        <f t="shared" ref="R221:R223" si="119">IFS(L221="S",21494/2048*1.25)</f>
        <v>13.11889648</v>
      </c>
      <c r="S221" s="83">
        <f t="shared" si="96"/>
        <v>922.6722424</v>
      </c>
      <c r="T221" s="84" t="s">
        <v>739</v>
      </c>
      <c r="U221" s="83">
        <f>12111/9727</f>
        <v>1.245090984</v>
      </c>
      <c r="V221" s="83" t="str">
        <f t="shared" ref="V221:V223" si="120">S221/K221</f>
        <v>#DIV/0!</v>
      </c>
      <c r="W221" s="83" t="str">
        <f t="shared" ref="W221:W223" si="121">(S221-K221)*M221*#REF!*#REF!*J221/(249945/845)</f>
        <v>#DIV/0!</v>
      </c>
    </row>
    <row r="222" ht="26.25" customHeight="1">
      <c r="A222" s="72"/>
      <c r="B222" s="73" t="s">
        <v>1046</v>
      </c>
      <c r="C222" s="87" t="s">
        <v>253</v>
      </c>
      <c r="D222" s="75">
        <v>14793.0</v>
      </c>
      <c r="E222" s="75" t="s">
        <v>1052</v>
      </c>
      <c r="F222" s="76" t="s">
        <v>761</v>
      </c>
      <c r="G222" s="77" t="s">
        <v>658</v>
      </c>
      <c r="H222" s="77">
        <v>14793.0</v>
      </c>
      <c r="I222" s="77">
        <v>1.0</v>
      </c>
      <c r="J222" s="78"/>
      <c r="K222" s="79" t="str">
        <f t="shared" si="1"/>
        <v>#DIV/0!</v>
      </c>
      <c r="L222" s="80" t="s">
        <v>658</v>
      </c>
      <c r="M222" s="81">
        <v>2.0</v>
      </c>
      <c r="N222" s="81" t="s">
        <v>689</v>
      </c>
      <c r="O222" s="82">
        <v>90.023753</v>
      </c>
      <c r="P222" s="82">
        <v>78.147268</v>
      </c>
      <c r="Q222" s="82">
        <f t="shared" si="118"/>
        <v>11.876485</v>
      </c>
      <c r="R222" s="78">
        <f t="shared" si="119"/>
        <v>13.11889648</v>
      </c>
      <c r="S222" s="83">
        <f t="shared" si="96"/>
        <v>1131.37109</v>
      </c>
      <c r="T222" s="84" t="s">
        <v>739</v>
      </c>
      <c r="U222" s="83">
        <f>14793/8430</f>
        <v>1.75480427</v>
      </c>
      <c r="V222" s="83" t="str">
        <f t="shared" si="120"/>
        <v>#DIV/0!</v>
      </c>
      <c r="W222" s="83" t="str">
        <f t="shared" si="121"/>
        <v>#DIV/0!</v>
      </c>
    </row>
    <row r="223" ht="26.25" customHeight="1">
      <c r="A223" s="72"/>
      <c r="B223" s="73" t="s">
        <v>1046</v>
      </c>
      <c r="C223" s="74" t="s">
        <v>876</v>
      </c>
      <c r="D223" s="75">
        <v>6894.0</v>
      </c>
      <c r="E223" s="75" t="s">
        <v>1054</v>
      </c>
      <c r="F223" s="75" t="s">
        <v>852</v>
      </c>
      <c r="G223" s="77" t="s">
        <v>658</v>
      </c>
      <c r="H223" s="77">
        <f>6894*2</f>
        <v>13788</v>
      </c>
      <c r="I223" s="77">
        <v>1.0</v>
      </c>
      <c r="J223" s="78"/>
      <c r="K223" s="79" t="str">
        <f t="shared" si="1"/>
        <v>#DIV/0!</v>
      </c>
      <c r="L223" s="80" t="s">
        <v>658</v>
      </c>
      <c r="M223" s="92">
        <v>5.0</v>
      </c>
      <c r="N223" s="92" t="s">
        <v>659</v>
      </c>
      <c r="O223" s="82">
        <v>90.023753</v>
      </c>
      <c r="P223" s="94">
        <v>74.346793</v>
      </c>
      <c r="Q223" s="82">
        <f t="shared" si="118"/>
        <v>15.67696</v>
      </c>
      <c r="R223" s="78">
        <f t="shared" si="119"/>
        <v>13.11889648</v>
      </c>
      <c r="S223" s="83">
        <f t="shared" si="96"/>
        <v>1048.428442</v>
      </c>
      <c r="T223" s="84" t="s">
        <v>660</v>
      </c>
      <c r="U223" s="83">
        <f>6894/3928</f>
        <v>1.75509165</v>
      </c>
      <c r="V223" s="83" t="str">
        <f t="shared" si="120"/>
        <v>#DIV/0!</v>
      </c>
      <c r="W223" s="83" t="str">
        <f t="shared" si="121"/>
        <v>#DIV/0!</v>
      </c>
    </row>
    <row r="224" ht="26.25" customHeight="1">
      <c r="A224" s="72"/>
      <c r="B224" s="73" t="s">
        <v>1046</v>
      </c>
      <c r="C224" s="87" t="s">
        <v>1055</v>
      </c>
      <c r="D224" s="75">
        <f>2701+17553</f>
        <v>20254</v>
      </c>
      <c r="E224" s="75" t="s">
        <v>1056</v>
      </c>
      <c r="F224" s="75" t="s">
        <v>1049</v>
      </c>
      <c r="G224" s="77" t="s">
        <v>689</v>
      </c>
      <c r="H224" s="77">
        <v>109297.0</v>
      </c>
      <c r="I224" s="77">
        <v>16.0</v>
      </c>
      <c r="J224" s="78"/>
      <c r="K224" s="79" t="str">
        <f t="shared" si="1"/>
        <v>#DIV/0!</v>
      </c>
      <c r="L224" s="89" t="s">
        <v>303</v>
      </c>
      <c r="M224" s="85" t="s">
        <v>303</v>
      </c>
      <c r="N224" s="85" t="s">
        <v>303</v>
      </c>
      <c r="O224" s="82" t="s">
        <v>303</v>
      </c>
      <c r="P224" s="82" t="s">
        <v>303</v>
      </c>
      <c r="Q224" s="82" t="s">
        <v>303</v>
      </c>
      <c r="R224" s="78" t="s">
        <v>303</v>
      </c>
      <c r="S224" s="83" t="str">
        <f t="shared" si="96"/>
        <v>#N/A</v>
      </c>
      <c r="T224" s="84" t="s">
        <v>867</v>
      </c>
      <c r="U224" s="83">
        <f>22438/20254</f>
        <v>1.107830552</v>
      </c>
      <c r="V224" s="83">
        <f>110059/109297</f>
        <v>1.006971829</v>
      </c>
      <c r="W224" s="83">
        <f>(110059-109297)/(1500000/845)</f>
        <v>0.42926</v>
      </c>
    </row>
    <row r="225" ht="26.25" customHeight="1">
      <c r="A225" s="72"/>
      <c r="B225" s="73" t="s">
        <v>1046</v>
      </c>
      <c r="C225" s="87" t="s">
        <v>740</v>
      </c>
      <c r="D225" s="93" t="s">
        <v>1047</v>
      </c>
      <c r="E225" s="75" t="s">
        <v>1057</v>
      </c>
      <c r="F225" s="76" t="s">
        <v>1049</v>
      </c>
      <c r="G225" s="77" t="s">
        <v>658</v>
      </c>
      <c r="H225" s="77">
        <v>9896.0</v>
      </c>
      <c r="I225" s="77">
        <v>1.0</v>
      </c>
      <c r="J225" s="78"/>
      <c r="K225" s="79" t="str">
        <f t="shared" si="1"/>
        <v>#DIV/0!</v>
      </c>
      <c r="L225" s="80" t="s">
        <v>658</v>
      </c>
      <c r="M225" s="92">
        <v>3.0</v>
      </c>
      <c r="N225" s="83" t="s">
        <v>659</v>
      </c>
      <c r="O225" s="82">
        <v>90.023753</v>
      </c>
      <c r="P225" s="82">
        <v>78.147268</v>
      </c>
      <c r="Q225" s="82">
        <f t="shared" ref="Q225:Q231" si="122">O225-P225</f>
        <v>11.876485</v>
      </c>
      <c r="R225" s="78">
        <f t="shared" ref="R225:R231" si="123">IFS(L225="S",21494/2048*1.25)</f>
        <v>13.11889648</v>
      </c>
      <c r="S225" s="83" t="str">
        <f t="shared" si="96"/>
        <v>#DIV/0!</v>
      </c>
      <c r="T225" s="84" t="s">
        <v>757</v>
      </c>
      <c r="U225" s="83" t="str">
        <f>2395/1.25/1.22/1.15/2/K225</f>
        <v>#DIV/0!</v>
      </c>
      <c r="V225" s="83" t="str">
        <f t="shared" ref="V225:V231" si="124">S225/K225</f>
        <v>#DIV/0!</v>
      </c>
      <c r="W225" s="83" t="str">
        <f t="shared" ref="W225:W231" si="125">(S225-K225)*M225*#REF!*#REF!*J225/(249945/845)</f>
        <v>#DIV/0!</v>
      </c>
    </row>
    <row r="226" ht="26.25" customHeight="1">
      <c r="A226" s="72"/>
      <c r="B226" s="73" t="s">
        <v>1046</v>
      </c>
      <c r="C226" s="87" t="s">
        <v>375</v>
      </c>
      <c r="D226" s="75">
        <v>2436.0</v>
      </c>
      <c r="E226" s="75" t="s">
        <v>1058</v>
      </c>
      <c r="F226" s="75" t="s">
        <v>1059</v>
      </c>
      <c r="G226" s="77" t="s">
        <v>658</v>
      </c>
      <c r="H226" s="77">
        <v>2436.0</v>
      </c>
      <c r="I226" s="77">
        <v>1.0</v>
      </c>
      <c r="J226" s="78"/>
      <c r="K226" s="79" t="str">
        <f t="shared" si="1"/>
        <v>#DIV/0!</v>
      </c>
      <c r="L226" s="80" t="s">
        <v>658</v>
      </c>
      <c r="M226" s="81">
        <v>30.0</v>
      </c>
      <c r="N226" s="81" t="s">
        <v>659</v>
      </c>
      <c r="O226" s="82">
        <v>90.023753</v>
      </c>
      <c r="P226" s="82">
        <v>71.615202</v>
      </c>
      <c r="Q226" s="82">
        <f t="shared" si="122"/>
        <v>18.408551</v>
      </c>
      <c r="R226" s="78">
        <f t="shared" si="123"/>
        <v>13.11889648</v>
      </c>
      <c r="S226" s="83">
        <f t="shared" si="96"/>
        <v>186.7467011</v>
      </c>
      <c r="T226" s="84" t="s">
        <v>896</v>
      </c>
      <c r="U226" s="83">
        <f>2436/1525</f>
        <v>1.597377049</v>
      </c>
      <c r="V226" s="83" t="str">
        <f t="shared" si="124"/>
        <v>#DIV/0!</v>
      </c>
      <c r="W226" s="83" t="str">
        <f t="shared" si="125"/>
        <v>#DIV/0!</v>
      </c>
    </row>
    <row r="227" ht="26.25" customHeight="1">
      <c r="A227" s="72"/>
      <c r="B227" s="73" t="s">
        <v>1046</v>
      </c>
      <c r="C227" s="87" t="s">
        <v>1060</v>
      </c>
      <c r="D227" s="76">
        <v>10744.0</v>
      </c>
      <c r="E227" s="76" t="s">
        <v>1061</v>
      </c>
      <c r="F227" s="76"/>
      <c r="G227" s="77" t="s">
        <v>658</v>
      </c>
      <c r="H227" s="77">
        <v>10744.0</v>
      </c>
      <c r="I227" s="77">
        <v>1.0</v>
      </c>
      <c r="J227" s="78"/>
      <c r="K227" s="79" t="str">
        <f t="shared" si="1"/>
        <v>#DIV/0!</v>
      </c>
      <c r="L227" s="80" t="s">
        <v>658</v>
      </c>
      <c r="M227" s="92">
        <v>5.0</v>
      </c>
      <c r="N227" s="92" t="s">
        <v>659</v>
      </c>
      <c r="O227" s="82">
        <v>90.023753</v>
      </c>
      <c r="P227" s="94">
        <v>77.790974</v>
      </c>
      <c r="Q227" s="82">
        <f t="shared" si="122"/>
        <v>12.232779</v>
      </c>
      <c r="R227" s="78">
        <f t="shared" si="123"/>
        <v>13.11889648</v>
      </c>
      <c r="S227" s="83">
        <f t="shared" si="96"/>
        <v>818.0407683</v>
      </c>
      <c r="T227" s="84" t="s">
        <v>660</v>
      </c>
      <c r="U227" s="83">
        <f>10744/6122</f>
        <v>1.754982032</v>
      </c>
      <c r="V227" s="83" t="str">
        <f t="shared" si="124"/>
        <v>#DIV/0!</v>
      </c>
      <c r="W227" s="83" t="str">
        <f t="shared" si="125"/>
        <v>#DIV/0!</v>
      </c>
    </row>
    <row r="228" ht="26.25" customHeight="1">
      <c r="A228" s="72"/>
      <c r="B228" s="73" t="s">
        <v>1046</v>
      </c>
      <c r="C228" s="87" t="s">
        <v>684</v>
      </c>
      <c r="D228" s="93" t="s">
        <v>1047</v>
      </c>
      <c r="E228" s="75" t="s">
        <v>1057</v>
      </c>
      <c r="F228" s="76" t="s">
        <v>1049</v>
      </c>
      <c r="G228" s="77" t="s">
        <v>658</v>
      </c>
      <c r="H228" s="77">
        <v>9896.0</v>
      </c>
      <c r="I228" s="77">
        <v>1.0</v>
      </c>
      <c r="J228" s="78"/>
      <c r="K228" s="79" t="str">
        <f t="shared" si="1"/>
        <v>#DIV/0!</v>
      </c>
      <c r="L228" s="80" t="s">
        <v>658</v>
      </c>
      <c r="M228" s="81">
        <v>3.0</v>
      </c>
      <c r="N228" s="79" t="s">
        <v>659</v>
      </c>
      <c r="O228" s="82">
        <v>90.023753</v>
      </c>
      <c r="P228" s="82">
        <v>78.147268</v>
      </c>
      <c r="Q228" s="82">
        <f t="shared" si="122"/>
        <v>11.876485</v>
      </c>
      <c r="R228" s="78">
        <f t="shared" si="123"/>
        <v>13.11889648</v>
      </c>
      <c r="S228" s="83" t="str">
        <f t="shared" si="96"/>
        <v>#DIV/0!</v>
      </c>
      <c r="T228" s="84" t="s">
        <v>757</v>
      </c>
      <c r="U228" s="83" t="str">
        <f>2504/1.25/1.22/1.15/2/K228</f>
        <v>#DIV/0!</v>
      </c>
      <c r="V228" s="83" t="str">
        <f t="shared" si="124"/>
        <v>#DIV/0!</v>
      </c>
      <c r="W228" s="83" t="str">
        <f t="shared" si="125"/>
        <v>#DIV/0!</v>
      </c>
    </row>
    <row r="229" ht="26.25" customHeight="1">
      <c r="A229" s="72"/>
      <c r="B229" s="73" t="s">
        <v>1046</v>
      </c>
      <c r="C229" s="87" t="s">
        <v>692</v>
      </c>
      <c r="D229" s="93" t="s">
        <v>1047</v>
      </c>
      <c r="E229" s="75" t="s">
        <v>1062</v>
      </c>
      <c r="F229" s="76" t="s">
        <v>1049</v>
      </c>
      <c r="G229" s="77" t="s">
        <v>658</v>
      </c>
      <c r="H229" s="77">
        <v>7720.0</v>
      </c>
      <c r="I229" s="77">
        <v>1.0</v>
      </c>
      <c r="J229" s="78"/>
      <c r="K229" s="79" t="str">
        <f t="shared" si="1"/>
        <v>#DIV/0!</v>
      </c>
      <c r="L229" s="80" t="s">
        <v>658</v>
      </c>
      <c r="M229" s="92">
        <v>3.0</v>
      </c>
      <c r="N229" s="79" t="s">
        <v>659</v>
      </c>
      <c r="O229" s="82">
        <v>90.023753</v>
      </c>
      <c r="P229" s="82">
        <v>80.760095</v>
      </c>
      <c r="Q229" s="82">
        <f t="shared" si="122"/>
        <v>9.263658</v>
      </c>
      <c r="R229" s="78">
        <f t="shared" si="123"/>
        <v>13.11889648</v>
      </c>
      <c r="S229" s="83" t="str">
        <f t="shared" si="96"/>
        <v>#DIV/0!</v>
      </c>
      <c r="T229" s="84" t="s">
        <v>757</v>
      </c>
      <c r="U229" s="83" t="str">
        <f>1931/1.25/1.22/1.15/2/K229</f>
        <v>#DIV/0!</v>
      </c>
      <c r="V229" s="83" t="str">
        <f t="shared" si="124"/>
        <v>#DIV/0!</v>
      </c>
      <c r="W229" s="83" t="str">
        <f t="shared" si="125"/>
        <v>#DIV/0!</v>
      </c>
    </row>
    <row r="230" ht="26.25" customHeight="1">
      <c r="A230" s="72"/>
      <c r="B230" s="73" t="s">
        <v>1046</v>
      </c>
      <c r="C230" s="87" t="s">
        <v>1063</v>
      </c>
      <c r="D230" s="75">
        <v>10211.0</v>
      </c>
      <c r="E230" s="75" t="s">
        <v>1064</v>
      </c>
      <c r="F230" s="76"/>
      <c r="G230" s="77" t="s">
        <v>658</v>
      </c>
      <c r="H230" s="77">
        <v>10211.0</v>
      </c>
      <c r="I230" s="77">
        <v>1.0</v>
      </c>
      <c r="J230" s="78"/>
      <c r="K230" s="79" t="str">
        <f t="shared" si="1"/>
        <v>#DIV/0!</v>
      </c>
      <c r="L230" s="80" t="s">
        <v>658</v>
      </c>
      <c r="M230" s="81">
        <v>6.0</v>
      </c>
      <c r="N230" s="81" t="s">
        <v>689</v>
      </c>
      <c r="O230" s="82">
        <v>90.023753</v>
      </c>
      <c r="P230" s="82">
        <v>65.558195</v>
      </c>
      <c r="Q230" s="82">
        <f t="shared" si="122"/>
        <v>24.465558</v>
      </c>
      <c r="R230" s="78">
        <f t="shared" si="123"/>
        <v>13.11889648</v>
      </c>
      <c r="S230" s="83">
        <f t="shared" si="96"/>
        <v>776.8747803</v>
      </c>
      <c r="T230" s="84" t="s">
        <v>757</v>
      </c>
      <c r="U230" s="83">
        <f>10211/5819</f>
        <v>1.754768861</v>
      </c>
      <c r="V230" s="83" t="str">
        <f t="shared" si="124"/>
        <v>#DIV/0!</v>
      </c>
      <c r="W230" s="83" t="str">
        <f t="shared" si="125"/>
        <v>#DIV/0!</v>
      </c>
    </row>
    <row r="231" ht="26.25" customHeight="1">
      <c r="A231" s="85"/>
      <c r="B231" s="73" t="s">
        <v>1046</v>
      </c>
      <c r="C231" s="74" t="s">
        <v>1065</v>
      </c>
      <c r="D231" s="75">
        <v>11809.0</v>
      </c>
      <c r="E231" s="75" t="s">
        <v>1066</v>
      </c>
      <c r="F231" s="76" t="s">
        <v>1067</v>
      </c>
      <c r="G231" s="77" t="s">
        <v>658</v>
      </c>
      <c r="H231" s="77">
        <f>7*1038+11809</f>
        <v>19075</v>
      </c>
      <c r="I231" s="77">
        <v>1.0</v>
      </c>
      <c r="J231" s="78"/>
      <c r="K231" s="79" t="str">
        <f t="shared" si="1"/>
        <v>#DIV/0!</v>
      </c>
      <c r="L231" s="80" t="s">
        <v>658</v>
      </c>
      <c r="M231" s="81">
        <v>2.0</v>
      </c>
      <c r="N231" s="81" t="s">
        <v>689</v>
      </c>
      <c r="O231" s="82">
        <v>90.023753</v>
      </c>
      <c r="P231" s="82">
        <v>74.703088</v>
      </c>
      <c r="Q231" s="82">
        <f t="shared" si="122"/>
        <v>15.320665</v>
      </c>
      <c r="R231" s="78">
        <f t="shared" si="123"/>
        <v>13.11889648</v>
      </c>
      <c r="S231" s="83">
        <f t="shared" si="96"/>
        <v>1459.468644</v>
      </c>
      <c r="T231" s="84" t="s">
        <v>739</v>
      </c>
      <c r="U231" s="83">
        <f>(11809+7*1038)/(6728+7*1038)</f>
        <v>1.363084179</v>
      </c>
      <c r="V231" s="83" t="str">
        <f t="shared" si="124"/>
        <v>#DIV/0!</v>
      </c>
      <c r="W231" s="83" t="str">
        <f t="shared" si="125"/>
        <v>#DIV/0!</v>
      </c>
    </row>
    <row r="232" ht="26.25" customHeight="1">
      <c r="A232" s="72"/>
      <c r="B232" s="85" t="s">
        <v>1046</v>
      </c>
      <c r="C232" s="74" t="s">
        <v>1068</v>
      </c>
      <c r="D232" s="75">
        <v>10211.0</v>
      </c>
      <c r="E232" s="75" t="s">
        <v>1069</v>
      </c>
      <c r="F232" s="76"/>
      <c r="G232" s="77" t="s">
        <v>658</v>
      </c>
      <c r="H232" s="77">
        <v>10211.0</v>
      </c>
      <c r="I232" s="77">
        <v>1.0</v>
      </c>
      <c r="J232" s="78"/>
      <c r="K232" s="79" t="str">
        <f t="shared" si="1"/>
        <v>#DIV/0!</v>
      </c>
      <c r="L232" s="89" t="s">
        <v>303</v>
      </c>
      <c r="M232" s="85" t="s">
        <v>303</v>
      </c>
      <c r="N232" s="85" t="s">
        <v>303</v>
      </c>
      <c r="O232" s="82" t="s">
        <v>303</v>
      </c>
      <c r="P232" s="82" t="s">
        <v>303</v>
      </c>
      <c r="Q232" s="82" t="s">
        <v>303</v>
      </c>
      <c r="R232" s="78" t="s">
        <v>303</v>
      </c>
      <c r="S232" s="83" t="str">
        <f t="shared" si="96"/>
        <v>#N/A</v>
      </c>
      <c r="T232" s="84" t="s">
        <v>757</v>
      </c>
      <c r="U232" s="83">
        <f>10744/6122</f>
        <v>1.754982032</v>
      </c>
      <c r="V232" s="83">
        <f>101183/101404</f>
        <v>0.9978205988</v>
      </c>
      <c r="W232" s="83">
        <f>(101183-101404)/(1500000/845)</f>
        <v>-0.1244966667</v>
      </c>
    </row>
    <row r="233" ht="26.25" customHeight="1">
      <c r="A233" s="72"/>
      <c r="B233" s="73" t="s">
        <v>1046</v>
      </c>
      <c r="C233" s="87" t="s">
        <v>504</v>
      </c>
      <c r="D233" s="93" t="s">
        <v>1070</v>
      </c>
      <c r="E233" s="75" t="s">
        <v>1071</v>
      </c>
      <c r="F233" s="75" t="s">
        <v>1072</v>
      </c>
      <c r="G233" s="77" t="s">
        <v>658</v>
      </c>
      <c r="H233" s="77">
        <f>8498+10013+11795+13528+15361</f>
        <v>59195</v>
      </c>
      <c r="I233" s="77">
        <v>1.0</v>
      </c>
      <c r="J233" s="78"/>
      <c r="K233" s="79" t="str">
        <f t="shared" si="1"/>
        <v>#DIV/0!</v>
      </c>
      <c r="L233" s="80" t="s">
        <v>658</v>
      </c>
      <c r="M233" s="81">
        <v>1.0</v>
      </c>
      <c r="N233" s="79" t="s">
        <v>659</v>
      </c>
      <c r="O233" s="82">
        <v>90.023753</v>
      </c>
      <c r="P233" s="82">
        <v>66.270784</v>
      </c>
      <c r="Q233" s="82">
        <f>O233-P233</f>
        <v>23.752969</v>
      </c>
      <c r="R233" s="78">
        <f>IFS(L233="S",21494/2048*1.25)</f>
        <v>13.11889648</v>
      </c>
      <c r="S233" s="83" t="s">
        <v>1247</v>
      </c>
      <c r="T233" s="84" t="s">
        <v>705</v>
      </c>
      <c r="U233" s="83">
        <f>2062/1862</f>
        <v>1.107411386</v>
      </c>
      <c r="V233" s="83" t="str">
        <f>S233/K233</f>
        <v>#DIV/0!</v>
      </c>
      <c r="W233" s="83" t="str">
        <f>(S233-K233)*M233*#REF!*#REF!*J233/(249945/845)</f>
        <v>#DIV/0!</v>
      </c>
    </row>
    <row r="234" ht="26.25" customHeight="1">
      <c r="A234" s="72"/>
      <c r="B234" s="73" t="s">
        <v>1046</v>
      </c>
      <c r="C234" s="87" t="s">
        <v>328</v>
      </c>
      <c r="D234" s="75">
        <v>5131.0</v>
      </c>
      <c r="E234" s="76"/>
      <c r="F234" s="76" t="s">
        <v>1073</v>
      </c>
      <c r="G234" s="77" t="s">
        <v>658</v>
      </c>
      <c r="H234" s="77">
        <f>2*5131</f>
        <v>10262</v>
      </c>
      <c r="I234" s="77">
        <v>1.0</v>
      </c>
      <c r="J234" s="78"/>
      <c r="K234" s="79" t="str">
        <f t="shared" si="1"/>
        <v>#DIV/0!</v>
      </c>
      <c r="L234" s="89" t="s">
        <v>303</v>
      </c>
      <c r="M234" s="85" t="s">
        <v>303</v>
      </c>
      <c r="N234" s="85" t="s">
        <v>303</v>
      </c>
      <c r="O234" s="82" t="s">
        <v>303</v>
      </c>
      <c r="P234" s="82" t="s">
        <v>303</v>
      </c>
      <c r="Q234" s="82" t="s">
        <v>303</v>
      </c>
      <c r="R234" s="78" t="s">
        <v>303</v>
      </c>
      <c r="S234" s="83" t="s">
        <v>1247</v>
      </c>
      <c r="T234" s="84" t="s">
        <v>739</v>
      </c>
      <c r="U234" s="79">
        <v>1.0</v>
      </c>
      <c r="V234" s="83">
        <f>47929/46378</f>
        <v>1.033442581</v>
      </c>
      <c r="W234" s="83">
        <f>(47929-46378)/(1500000/845)</f>
        <v>0.87373</v>
      </c>
    </row>
    <row r="235" ht="26.25" customHeight="1">
      <c r="A235" s="72"/>
      <c r="B235" s="73" t="s">
        <v>1074</v>
      </c>
      <c r="C235" s="87" t="s">
        <v>908</v>
      </c>
      <c r="D235" s="75">
        <v>727.0</v>
      </c>
      <c r="E235" s="75" t="s">
        <v>1075</v>
      </c>
      <c r="F235" s="75" t="s">
        <v>852</v>
      </c>
      <c r="G235" s="77" t="s">
        <v>658</v>
      </c>
      <c r="H235" s="77">
        <f>727*3</f>
        <v>2181</v>
      </c>
      <c r="I235" s="77">
        <v>1.0</v>
      </c>
      <c r="J235" s="78"/>
      <c r="K235" s="79" t="str">
        <f t="shared" si="1"/>
        <v>#DIV/0!</v>
      </c>
      <c r="L235" s="80" t="s">
        <v>658</v>
      </c>
      <c r="M235" s="81">
        <v>14.0</v>
      </c>
      <c r="N235" s="81" t="s">
        <v>659</v>
      </c>
      <c r="O235" s="82">
        <v>90.023753</v>
      </c>
      <c r="P235" s="82">
        <v>83.372922</v>
      </c>
      <c r="Q235" s="82">
        <f t="shared" ref="Q235:Q239" si="126">O235-P235</f>
        <v>6.650831</v>
      </c>
      <c r="R235" s="78">
        <f t="shared" ref="R235:R239" si="127">IFS(L235="S",21494/2048*1.25)</f>
        <v>13.11889648</v>
      </c>
      <c r="S235" s="83">
        <f t="shared" ref="S235:S239" si="128">IFS(N235="B",Q235/M235/100*249945/R235
*U235,N235="C",Q235/M235/100*249945/R235
)</f>
        <v>167.8585119</v>
      </c>
      <c r="T235" s="84" t="s">
        <v>660</v>
      </c>
      <c r="U235" s="83">
        <f>727/392</f>
        <v>1.854591837</v>
      </c>
      <c r="V235" s="83" t="str">
        <f t="shared" ref="V235:V239" si="129">S235/K235</f>
        <v>#DIV/0!</v>
      </c>
      <c r="W235" s="83" t="str">
        <f t="shared" ref="W235:W239" si="130">(S235-K235)*M235*#REF!*#REF!*J235/(249945/845)</f>
        <v>#DIV/0!</v>
      </c>
    </row>
    <row r="236" ht="26.25" customHeight="1">
      <c r="A236" s="72"/>
      <c r="B236" s="73" t="s">
        <v>1074</v>
      </c>
      <c r="C236" s="87" t="s">
        <v>656</v>
      </c>
      <c r="D236" s="75">
        <v>1128.0</v>
      </c>
      <c r="E236" s="75" t="s">
        <v>1076</v>
      </c>
      <c r="F236" s="88"/>
      <c r="G236" s="77" t="s">
        <v>658</v>
      </c>
      <c r="H236" s="77">
        <v>1128.0</v>
      </c>
      <c r="I236" s="77">
        <v>1.0</v>
      </c>
      <c r="J236" s="78"/>
      <c r="K236" s="79" t="str">
        <f t="shared" si="1"/>
        <v>#DIV/0!</v>
      </c>
      <c r="L236" s="80" t="s">
        <v>658</v>
      </c>
      <c r="M236" s="81">
        <v>30.0</v>
      </c>
      <c r="N236" s="81" t="s">
        <v>659</v>
      </c>
      <c r="O236" s="82">
        <v>90.023753</v>
      </c>
      <c r="P236" s="82">
        <v>81.591449</v>
      </c>
      <c r="Q236" s="82">
        <f t="shared" si="126"/>
        <v>8.432304</v>
      </c>
      <c r="R236" s="78">
        <f t="shared" si="127"/>
        <v>13.11889648</v>
      </c>
      <c r="S236" s="83">
        <f t="shared" si="128"/>
        <v>85.56113702</v>
      </c>
      <c r="T236" s="84" t="s">
        <v>660</v>
      </c>
      <c r="U236" s="83">
        <f>1128/706</f>
        <v>1.597733711</v>
      </c>
      <c r="V236" s="83" t="str">
        <f t="shared" si="129"/>
        <v>#DIV/0!</v>
      </c>
      <c r="W236" s="83" t="str">
        <f t="shared" si="130"/>
        <v>#DIV/0!</v>
      </c>
    </row>
    <row r="237" ht="26.25" customHeight="1">
      <c r="A237" s="72"/>
      <c r="B237" s="73" t="s">
        <v>1074</v>
      </c>
      <c r="C237" s="87" t="s">
        <v>1077</v>
      </c>
      <c r="D237" s="75">
        <v>2542.0</v>
      </c>
      <c r="E237" s="75" t="s">
        <v>1078</v>
      </c>
      <c r="F237" s="88"/>
      <c r="G237" s="77" t="s">
        <v>658</v>
      </c>
      <c r="H237" s="77">
        <f>2542*2</f>
        <v>5084</v>
      </c>
      <c r="I237" s="77">
        <v>1.0</v>
      </c>
      <c r="J237" s="78"/>
      <c r="K237" s="79" t="str">
        <f t="shared" si="1"/>
        <v>#DIV/0!</v>
      </c>
      <c r="L237" s="80" t="s">
        <v>658</v>
      </c>
      <c r="M237" s="81">
        <v>7.0</v>
      </c>
      <c r="N237" s="81" t="s">
        <v>689</v>
      </c>
      <c r="O237" s="82">
        <v>90.023753</v>
      </c>
      <c r="P237" s="82">
        <v>75.771971</v>
      </c>
      <c r="Q237" s="82">
        <f t="shared" si="126"/>
        <v>14.251782</v>
      </c>
      <c r="R237" s="78">
        <f t="shared" si="127"/>
        <v>13.11889648</v>
      </c>
      <c r="S237" s="83">
        <f t="shared" si="128"/>
        <v>387.8986595</v>
      </c>
      <c r="T237" s="84" t="s">
        <v>739</v>
      </c>
      <c r="U237" s="83">
        <f>2542/2108</f>
        <v>1.205882353</v>
      </c>
      <c r="V237" s="83" t="str">
        <f t="shared" si="129"/>
        <v>#DIV/0!</v>
      </c>
      <c r="W237" s="83" t="str">
        <f t="shared" si="130"/>
        <v>#DIV/0!</v>
      </c>
    </row>
    <row r="238" ht="26.25" customHeight="1">
      <c r="A238" s="72"/>
      <c r="B238" s="73" t="s">
        <v>1074</v>
      </c>
      <c r="C238" s="87" t="s">
        <v>1079</v>
      </c>
      <c r="D238" s="75">
        <v>1253.0</v>
      </c>
      <c r="E238" s="75" t="s">
        <v>1080</v>
      </c>
      <c r="F238" s="88"/>
      <c r="G238" s="77" t="s">
        <v>658</v>
      </c>
      <c r="H238" s="77">
        <v>1253.0</v>
      </c>
      <c r="I238" s="77">
        <v>1.0</v>
      </c>
      <c r="J238" s="78"/>
      <c r="K238" s="79" t="str">
        <f t="shared" si="1"/>
        <v>#DIV/0!</v>
      </c>
      <c r="L238" s="80" t="s">
        <v>658</v>
      </c>
      <c r="M238" s="81">
        <v>26.0</v>
      </c>
      <c r="N238" s="79" t="s">
        <v>659</v>
      </c>
      <c r="O238" s="82">
        <v>90.023753</v>
      </c>
      <c r="P238" s="82">
        <v>81.828979</v>
      </c>
      <c r="Q238" s="82">
        <f t="shared" si="126"/>
        <v>8.194774</v>
      </c>
      <c r="R238" s="78">
        <f t="shared" si="127"/>
        <v>13.11889648</v>
      </c>
      <c r="S238" s="83">
        <f t="shared" si="128"/>
        <v>95.9722749</v>
      </c>
      <c r="T238" s="84" t="s">
        <v>705</v>
      </c>
      <c r="U238" s="79">
        <f>1253/784</f>
        <v>1.598214286</v>
      </c>
      <c r="V238" s="83" t="str">
        <f t="shared" si="129"/>
        <v>#DIV/0!</v>
      </c>
      <c r="W238" s="83" t="str">
        <f t="shared" si="130"/>
        <v>#DIV/0!</v>
      </c>
    </row>
    <row r="239" ht="26.25" customHeight="1">
      <c r="A239" s="72"/>
      <c r="B239" s="73" t="s">
        <v>1074</v>
      </c>
      <c r="C239" s="87" t="s">
        <v>1081</v>
      </c>
      <c r="D239" s="75">
        <v>1240.0</v>
      </c>
      <c r="E239" s="75" t="s">
        <v>1084</v>
      </c>
      <c r="F239" s="76"/>
      <c r="G239" s="77" t="s">
        <v>658</v>
      </c>
      <c r="H239" s="77">
        <v>1240.0</v>
      </c>
      <c r="I239" s="77">
        <v>1.0</v>
      </c>
      <c r="J239" s="78"/>
      <c r="K239" s="79" t="str">
        <f t="shared" si="1"/>
        <v>#DIV/0!</v>
      </c>
      <c r="L239" s="80" t="s">
        <v>658</v>
      </c>
      <c r="M239" s="81">
        <v>24.0</v>
      </c>
      <c r="N239" s="81" t="s">
        <v>659</v>
      </c>
      <c r="O239" s="82">
        <v>90.023753</v>
      </c>
      <c r="P239" s="82">
        <v>82.541568</v>
      </c>
      <c r="Q239" s="82">
        <f t="shared" si="126"/>
        <v>7.482185</v>
      </c>
      <c r="R239" s="78">
        <f t="shared" si="127"/>
        <v>13.11889648</v>
      </c>
      <c r="S239" s="83">
        <f t="shared" si="128"/>
        <v>94.91269659</v>
      </c>
      <c r="T239" s="84" t="s">
        <v>739</v>
      </c>
      <c r="U239" s="83">
        <f>1240/776</f>
        <v>1.597938144</v>
      </c>
      <c r="V239" s="83" t="str">
        <f t="shared" si="129"/>
        <v>#DIV/0!</v>
      </c>
      <c r="W239" s="83" t="str">
        <f t="shared" si="130"/>
        <v>#DIV/0!</v>
      </c>
    </row>
    <row r="240" ht="26.25" customHeight="1">
      <c r="A240" s="72"/>
      <c r="B240" s="73" t="s">
        <v>1074</v>
      </c>
      <c r="C240" s="87" t="s">
        <v>1081</v>
      </c>
      <c r="D240" s="75">
        <v>953.0</v>
      </c>
      <c r="E240" s="75" t="s">
        <v>1082</v>
      </c>
      <c r="F240" s="76" t="s">
        <v>1083</v>
      </c>
      <c r="G240" s="77" t="s">
        <v>658</v>
      </c>
      <c r="H240" s="77">
        <f>953*20+11202+345</f>
        <v>30607</v>
      </c>
      <c r="I240" s="77">
        <v>1.0</v>
      </c>
      <c r="J240" s="78"/>
      <c r="K240" s="79" t="str">
        <f t="shared" si="1"/>
        <v>#DIV/0!</v>
      </c>
      <c r="L240" s="89" t="s">
        <v>303</v>
      </c>
      <c r="M240" s="85" t="s">
        <v>303</v>
      </c>
      <c r="N240" s="85" t="s">
        <v>303</v>
      </c>
      <c r="O240" s="82" t="s">
        <v>303</v>
      </c>
      <c r="P240" s="82" t="s">
        <v>303</v>
      </c>
      <c r="Q240" s="82" t="s">
        <v>303</v>
      </c>
      <c r="R240" s="78" t="s">
        <v>303</v>
      </c>
      <c r="S240" s="83" t="s">
        <v>1247</v>
      </c>
      <c r="T240" s="84" t="s">
        <v>739</v>
      </c>
      <c r="U240" s="83">
        <f>(1523*20+11202+345)/(953*20+11202+345)</f>
        <v>1.372463815</v>
      </c>
      <c r="V240" s="83">
        <f>14201/13066</f>
        <v>1.086866677</v>
      </c>
      <c r="W240" s="83">
        <f>(14201-13066)/(1500000/845)</f>
        <v>0.6393833333</v>
      </c>
    </row>
    <row r="241" ht="26.25" customHeight="1">
      <c r="A241" s="85"/>
      <c r="B241" s="85" t="s">
        <v>1074</v>
      </c>
      <c r="C241" s="74" t="s">
        <v>1085</v>
      </c>
      <c r="D241" s="75">
        <v>1349.0</v>
      </c>
      <c r="E241" s="75" t="s">
        <v>1086</v>
      </c>
      <c r="F241" s="76"/>
      <c r="G241" s="77" t="s">
        <v>658</v>
      </c>
      <c r="H241" s="77">
        <v>1349.0</v>
      </c>
      <c r="I241" s="77">
        <v>1.0</v>
      </c>
      <c r="J241" s="78"/>
      <c r="K241" s="79" t="str">
        <f t="shared" si="1"/>
        <v>#DIV/0!</v>
      </c>
      <c r="L241" s="80" t="s">
        <v>658</v>
      </c>
      <c r="M241" s="81">
        <v>24.0</v>
      </c>
      <c r="N241" s="81" t="s">
        <v>659</v>
      </c>
      <c r="O241" s="82">
        <v>90.023753</v>
      </c>
      <c r="P241" s="82">
        <v>81.947743</v>
      </c>
      <c r="Q241" s="82">
        <f t="shared" ref="Q241:Q253" si="131">O241-P241</f>
        <v>8.07601</v>
      </c>
      <c r="R241" s="78">
        <f t="shared" ref="R241:R253" si="132">IFS(L241="S",21494/2048*1.25)</f>
        <v>13.11889648</v>
      </c>
      <c r="S241" s="83">
        <f t="shared" ref="S241:S262" si="133">IFS(N241="B",Q241/M241/100*249945/R241
*U241,N241="C",Q241/M241/100*249945/R241
)</f>
        <v>102.4713027</v>
      </c>
      <c r="T241" s="84" t="s">
        <v>757</v>
      </c>
      <c r="U241" s="83">
        <f>1349/844</f>
        <v>1.598341232</v>
      </c>
      <c r="V241" s="83" t="str">
        <f t="shared" ref="V241:V253" si="134">S241/K241</f>
        <v>#DIV/0!</v>
      </c>
      <c r="W241" s="83" t="str">
        <f t="shared" ref="W241:W253" si="135">(S241-K241)*M241*#REF!*#REF!*J241/(249945/845)</f>
        <v>#DIV/0!</v>
      </c>
    </row>
    <row r="242" ht="26.25" customHeight="1">
      <c r="A242" s="72"/>
      <c r="B242" s="73" t="s">
        <v>1074</v>
      </c>
      <c r="C242" s="87" t="s">
        <v>1087</v>
      </c>
      <c r="D242" s="75">
        <v>3312.0</v>
      </c>
      <c r="E242" s="75" t="s">
        <v>1088</v>
      </c>
      <c r="F242" s="75" t="s">
        <v>1089</v>
      </c>
      <c r="G242" s="77" t="s">
        <v>658</v>
      </c>
      <c r="H242" s="77">
        <v>3312.0</v>
      </c>
      <c r="I242" s="77">
        <v>1.0</v>
      </c>
      <c r="J242" s="78"/>
      <c r="K242" s="79" t="str">
        <f t="shared" si="1"/>
        <v>#DIV/0!</v>
      </c>
      <c r="L242" s="80" t="s">
        <v>658</v>
      </c>
      <c r="M242" s="81">
        <v>16.0</v>
      </c>
      <c r="N242" s="81" t="s">
        <v>659</v>
      </c>
      <c r="O242" s="82">
        <v>90.023753</v>
      </c>
      <c r="P242" s="82">
        <v>83.372922</v>
      </c>
      <c r="Q242" s="82">
        <f t="shared" si="131"/>
        <v>6.650831</v>
      </c>
      <c r="R242" s="78">
        <f t="shared" si="132"/>
        <v>13.11889648</v>
      </c>
      <c r="S242" s="83">
        <f t="shared" si="133"/>
        <v>252.9383316</v>
      </c>
      <c r="T242" s="84" t="s">
        <v>739</v>
      </c>
      <c r="U242" s="83">
        <f>3312/1037</f>
        <v>3.193828351</v>
      </c>
      <c r="V242" s="83" t="str">
        <f t="shared" si="134"/>
        <v>#DIV/0!</v>
      </c>
      <c r="W242" s="83" t="str">
        <f t="shared" si="135"/>
        <v>#DIV/0!</v>
      </c>
    </row>
    <row r="243" ht="26.25" customHeight="1">
      <c r="A243" s="72"/>
      <c r="B243" s="73" t="s">
        <v>1074</v>
      </c>
      <c r="C243" s="87" t="s">
        <v>1087</v>
      </c>
      <c r="D243" s="75">
        <v>1577.0</v>
      </c>
      <c r="E243" s="75" t="s">
        <v>1090</v>
      </c>
      <c r="F243" s="75" t="s">
        <v>1091</v>
      </c>
      <c r="G243" s="77" t="s">
        <v>658</v>
      </c>
      <c r="H243" s="77">
        <v>1577.0</v>
      </c>
      <c r="I243" s="77">
        <v>1.0</v>
      </c>
      <c r="J243" s="78"/>
      <c r="K243" s="79" t="str">
        <f t="shared" si="1"/>
        <v>#DIV/0!</v>
      </c>
      <c r="L243" s="80" t="s">
        <v>658</v>
      </c>
      <c r="M243" s="81">
        <v>9.0</v>
      </c>
      <c r="N243" s="81" t="s">
        <v>689</v>
      </c>
      <c r="O243" s="82">
        <v>90.023753</v>
      </c>
      <c r="P243" s="82">
        <f>84.32304</f>
        <v>84.32304</v>
      </c>
      <c r="Q243" s="82">
        <f t="shared" si="131"/>
        <v>5.700713</v>
      </c>
      <c r="R243" s="78">
        <f t="shared" si="132"/>
        <v>13.11889648</v>
      </c>
      <c r="S243" s="83">
        <f t="shared" si="133"/>
        <v>120.6795872</v>
      </c>
      <c r="T243" s="84" t="s">
        <v>739</v>
      </c>
      <c r="U243" s="83">
        <f>1577/987</f>
        <v>1.597771023</v>
      </c>
      <c r="V243" s="83" t="str">
        <f t="shared" si="134"/>
        <v>#DIV/0!</v>
      </c>
      <c r="W243" s="83" t="str">
        <f t="shared" si="135"/>
        <v>#DIV/0!</v>
      </c>
    </row>
    <row r="244" ht="26.25" customHeight="1">
      <c r="A244" s="72"/>
      <c r="B244" s="73" t="s">
        <v>1074</v>
      </c>
      <c r="C244" s="87" t="s">
        <v>1092</v>
      </c>
      <c r="D244" s="75">
        <v>23746.0</v>
      </c>
      <c r="E244" s="75" t="s">
        <v>1093</v>
      </c>
      <c r="F244" s="76" t="s">
        <v>1094</v>
      </c>
      <c r="G244" s="77" t="s">
        <v>658</v>
      </c>
      <c r="H244" s="77">
        <v>23746.0</v>
      </c>
      <c r="I244" s="77">
        <v>1.0</v>
      </c>
      <c r="J244" s="78"/>
      <c r="K244" s="79" t="str">
        <f t="shared" si="1"/>
        <v>#DIV/0!</v>
      </c>
      <c r="L244" s="80" t="s">
        <v>658</v>
      </c>
      <c r="M244" s="81">
        <v>1.0</v>
      </c>
      <c r="N244" s="79" t="s">
        <v>659</v>
      </c>
      <c r="O244" s="82">
        <v>90.023753</v>
      </c>
      <c r="P244" s="82">
        <v>80.522565</v>
      </c>
      <c r="Q244" s="82">
        <f t="shared" si="131"/>
        <v>9.501188</v>
      </c>
      <c r="R244" s="78">
        <f t="shared" si="132"/>
        <v>13.11889648</v>
      </c>
      <c r="S244" s="83">
        <f t="shared" si="133"/>
        <v>1810.193744</v>
      </c>
      <c r="T244" s="84" t="s">
        <v>705</v>
      </c>
      <c r="U244" s="79">
        <v>1.0</v>
      </c>
      <c r="V244" s="83" t="str">
        <f t="shared" si="134"/>
        <v>#DIV/0!</v>
      </c>
      <c r="W244" s="83" t="str">
        <f t="shared" si="135"/>
        <v>#DIV/0!</v>
      </c>
    </row>
    <row r="245" ht="26.25" customHeight="1">
      <c r="A245" s="72"/>
      <c r="B245" s="73" t="s">
        <v>1074</v>
      </c>
      <c r="C245" s="87" t="s">
        <v>1092</v>
      </c>
      <c r="D245" s="75">
        <v>4279.0</v>
      </c>
      <c r="E245" s="75" t="s">
        <v>1095</v>
      </c>
      <c r="F245" s="88"/>
      <c r="G245" s="77" t="s">
        <v>658</v>
      </c>
      <c r="H245" s="77">
        <v>4279.0</v>
      </c>
      <c r="I245" s="77">
        <v>1.0</v>
      </c>
      <c r="J245" s="78"/>
      <c r="K245" s="79" t="str">
        <f t="shared" si="1"/>
        <v>#DIV/0!</v>
      </c>
      <c r="L245" s="80" t="s">
        <v>658</v>
      </c>
      <c r="M245" s="81">
        <v>9.0</v>
      </c>
      <c r="N245" s="81" t="s">
        <v>689</v>
      </c>
      <c r="O245" s="82">
        <v>90.023753</v>
      </c>
      <c r="P245" s="82">
        <v>74.584323</v>
      </c>
      <c r="Q245" s="82">
        <f t="shared" si="131"/>
        <v>15.43943</v>
      </c>
      <c r="R245" s="78">
        <f t="shared" si="132"/>
        <v>13.11889648</v>
      </c>
      <c r="S245" s="83">
        <f t="shared" si="133"/>
        <v>326.8405266</v>
      </c>
      <c r="T245" s="84" t="s">
        <v>739</v>
      </c>
      <c r="U245" s="83">
        <f>4279/822</f>
        <v>5.205596107</v>
      </c>
      <c r="V245" s="83" t="str">
        <f t="shared" si="134"/>
        <v>#DIV/0!</v>
      </c>
      <c r="W245" s="83" t="str">
        <f t="shared" si="135"/>
        <v>#DIV/0!</v>
      </c>
    </row>
    <row r="246" ht="26.25" customHeight="1">
      <c r="A246" s="72"/>
      <c r="B246" s="73" t="s">
        <v>1074</v>
      </c>
      <c r="C246" s="87" t="s">
        <v>876</v>
      </c>
      <c r="D246" s="75">
        <v>971.0</v>
      </c>
      <c r="E246" s="75" t="s">
        <v>1096</v>
      </c>
      <c r="F246" s="75" t="s">
        <v>852</v>
      </c>
      <c r="G246" s="77" t="s">
        <v>658</v>
      </c>
      <c r="H246" s="77">
        <f>971*2</f>
        <v>1942</v>
      </c>
      <c r="I246" s="77">
        <v>1.0</v>
      </c>
      <c r="J246" s="78"/>
      <c r="K246" s="79" t="str">
        <f t="shared" si="1"/>
        <v>#DIV/0!</v>
      </c>
      <c r="L246" s="80" t="s">
        <v>658</v>
      </c>
      <c r="M246" s="81">
        <v>15.0</v>
      </c>
      <c r="N246" s="81" t="s">
        <v>659</v>
      </c>
      <c r="O246" s="82">
        <v>90.023753</v>
      </c>
      <c r="P246" s="82">
        <v>82.779097</v>
      </c>
      <c r="Q246" s="82">
        <f t="shared" si="131"/>
        <v>7.244656</v>
      </c>
      <c r="R246" s="78">
        <f t="shared" si="132"/>
        <v>13.11889648</v>
      </c>
      <c r="S246" s="83">
        <f t="shared" si="133"/>
        <v>146.956672</v>
      </c>
      <c r="T246" s="84" t="s">
        <v>660</v>
      </c>
      <c r="U246" s="83">
        <f t="shared" ref="U246:U247" si="136">971/608</f>
        <v>1.597039474</v>
      </c>
      <c r="V246" s="83" t="str">
        <f t="shared" si="134"/>
        <v>#DIV/0!</v>
      </c>
      <c r="W246" s="83" t="str">
        <f t="shared" si="135"/>
        <v>#DIV/0!</v>
      </c>
    </row>
    <row r="247" ht="26.25" customHeight="1">
      <c r="A247" s="72"/>
      <c r="B247" s="73" t="s">
        <v>1074</v>
      </c>
      <c r="C247" s="87" t="s">
        <v>740</v>
      </c>
      <c r="D247" s="75">
        <v>971.0</v>
      </c>
      <c r="E247" s="75" t="s">
        <v>1096</v>
      </c>
      <c r="F247" s="88"/>
      <c r="G247" s="77" t="s">
        <v>658</v>
      </c>
      <c r="H247" s="77">
        <v>971.0</v>
      </c>
      <c r="I247" s="77">
        <v>1.0</v>
      </c>
      <c r="J247" s="78"/>
      <c r="K247" s="79" t="str">
        <f t="shared" si="1"/>
        <v>#DIV/0!</v>
      </c>
      <c r="L247" s="80" t="s">
        <v>658</v>
      </c>
      <c r="M247" s="81">
        <v>30.0</v>
      </c>
      <c r="N247" s="81" t="s">
        <v>659</v>
      </c>
      <c r="O247" s="82">
        <v>90.023753</v>
      </c>
      <c r="P247" s="82">
        <v>82.779097</v>
      </c>
      <c r="Q247" s="82">
        <f t="shared" si="131"/>
        <v>7.244656</v>
      </c>
      <c r="R247" s="78">
        <f t="shared" si="132"/>
        <v>13.11889648</v>
      </c>
      <c r="S247" s="83">
        <f t="shared" si="133"/>
        <v>73.47833599</v>
      </c>
      <c r="T247" s="84" t="s">
        <v>660</v>
      </c>
      <c r="U247" s="83">
        <f t="shared" si="136"/>
        <v>1.597039474</v>
      </c>
      <c r="V247" s="83" t="str">
        <f t="shared" si="134"/>
        <v>#DIV/0!</v>
      </c>
      <c r="W247" s="83" t="str">
        <f t="shared" si="135"/>
        <v>#DIV/0!</v>
      </c>
    </row>
    <row r="248" ht="26.25" customHeight="1">
      <c r="A248" s="72"/>
      <c r="B248" s="73" t="s">
        <v>1074</v>
      </c>
      <c r="C248" s="74" t="s">
        <v>822</v>
      </c>
      <c r="D248" s="75">
        <v>2464.0</v>
      </c>
      <c r="E248" s="75" t="s">
        <v>1097</v>
      </c>
      <c r="F248" s="88"/>
      <c r="G248" s="77" t="s">
        <v>658</v>
      </c>
      <c r="H248" s="77">
        <f>2464+1803</f>
        <v>4267</v>
      </c>
      <c r="I248" s="77">
        <v>1.0</v>
      </c>
      <c r="J248" s="78"/>
      <c r="K248" s="79" t="str">
        <f t="shared" si="1"/>
        <v>#DIV/0!</v>
      </c>
      <c r="L248" s="80" t="s">
        <v>658</v>
      </c>
      <c r="M248" s="81">
        <v>4.0</v>
      </c>
      <c r="N248" s="81" t="s">
        <v>689</v>
      </c>
      <c r="O248" s="82">
        <v>90.023753</v>
      </c>
      <c r="P248" s="82">
        <v>83.135392</v>
      </c>
      <c r="Q248" s="82">
        <f t="shared" si="131"/>
        <v>6.888361</v>
      </c>
      <c r="R248" s="78">
        <f t="shared" si="132"/>
        <v>13.11889648</v>
      </c>
      <c r="S248" s="83">
        <f t="shared" si="133"/>
        <v>328.0976018</v>
      </c>
      <c r="T248" s="84" t="s">
        <v>660</v>
      </c>
      <c r="U248" s="83">
        <f>2464/2043</f>
        <v>1.206069506</v>
      </c>
      <c r="V248" s="83" t="str">
        <f t="shared" si="134"/>
        <v>#DIV/0!</v>
      </c>
      <c r="W248" s="83" t="str">
        <f t="shared" si="135"/>
        <v>#DIV/0!</v>
      </c>
    </row>
    <row r="249" ht="26.25" customHeight="1">
      <c r="A249" s="72"/>
      <c r="B249" s="73" t="s">
        <v>1074</v>
      </c>
      <c r="C249" s="87" t="s">
        <v>684</v>
      </c>
      <c r="D249" s="75">
        <v>1253.0</v>
      </c>
      <c r="E249" s="75" t="s">
        <v>1080</v>
      </c>
      <c r="F249" s="88"/>
      <c r="G249" s="77" t="s">
        <v>658</v>
      </c>
      <c r="H249" s="77">
        <v>1253.0</v>
      </c>
      <c r="I249" s="77">
        <v>1.0</v>
      </c>
      <c r="J249" s="78"/>
      <c r="K249" s="79" t="str">
        <f t="shared" si="1"/>
        <v>#DIV/0!</v>
      </c>
      <c r="L249" s="80" t="s">
        <v>658</v>
      </c>
      <c r="M249" s="81">
        <v>23.0</v>
      </c>
      <c r="N249" s="81" t="s">
        <v>659</v>
      </c>
      <c r="O249" s="82">
        <v>90.023753</v>
      </c>
      <c r="P249" s="82">
        <v>82.779097</v>
      </c>
      <c r="Q249" s="82">
        <f t="shared" si="131"/>
        <v>7.244656</v>
      </c>
      <c r="R249" s="78">
        <f t="shared" si="132"/>
        <v>13.11889648</v>
      </c>
      <c r="S249" s="83">
        <f t="shared" si="133"/>
        <v>95.91181047</v>
      </c>
      <c r="T249" s="84" t="s">
        <v>660</v>
      </c>
      <c r="U249" s="83">
        <f>1253/784</f>
        <v>1.598214286</v>
      </c>
      <c r="V249" s="83" t="str">
        <f t="shared" si="134"/>
        <v>#DIV/0!</v>
      </c>
      <c r="W249" s="83" t="str">
        <f t="shared" si="135"/>
        <v>#DIV/0!</v>
      </c>
    </row>
    <row r="250" ht="26.25" customHeight="1">
      <c r="A250" s="72"/>
      <c r="B250" s="73" t="s">
        <v>1074</v>
      </c>
      <c r="C250" s="87" t="s">
        <v>692</v>
      </c>
      <c r="D250" s="75">
        <v>783.0</v>
      </c>
      <c r="E250" s="75" t="s">
        <v>1098</v>
      </c>
      <c r="F250" s="88"/>
      <c r="G250" s="77" t="s">
        <v>658</v>
      </c>
      <c r="H250" s="77">
        <v>783.0</v>
      </c>
      <c r="I250" s="77">
        <v>1.0</v>
      </c>
      <c r="J250" s="78"/>
      <c r="K250" s="79" t="str">
        <f t="shared" si="1"/>
        <v>#DIV/0!</v>
      </c>
      <c r="L250" s="80" t="s">
        <v>658</v>
      </c>
      <c r="M250" s="81">
        <v>44.0</v>
      </c>
      <c r="N250" s="81" t="s">
        <v>659</v>
      </c>
      <c r="O250" s="82">
        <v>90.023753</v>
      </c>
      <c r="P250" s="82">
        <v>81.353919</v>
      </c>
      <c r="Q250" s="82">
        <f t="shared" si="131"/>
        <v>8.669834</v>
      </c>
      <c r="R250" s="78">
        <f t="shared" si="132"/>
        <v>13.11889648</v>
      </c>
      <c r="S250" s="83">
        <f t="shared" si="133"/>
        <v>59.98890516</v>
      </c>
      <c r="T250" s="84" t="s">
        <v>896</v>
      </c>
      <c r="U250" s="83">
        <f>783/490</f>
        <v>1.597959184</v>
      </c>
      <c r="V250" s="83" t="str">
        <f t="shared" si="134"/>
        <v>#DIV/0!</v>
      </c>
      <c r="W250" s="83" t="str">
        <f t="shared" si="135"/>
        <v>#DIV/0!</v>
      </c>
    </row>
    <row r="251" ht="26.25" customHeight="1">
      <c r="A251" s="72"/>
      <c r="B251" s="73" t="s">
        <v>1074</v>
      </c>
      <c r="C251" s="74" t="s">
        <v>1099</v>
      </c>
      <c r="D251" s="75">
        <v>1128.0</v>
      </c>
      <c r="E251" s="75" t="s">
        <v>1076</v>
      </c>
      <c r="F251" s="88"/>
      <c r="G251" s="77" t="s">
        <v>658</v>
      </c>
      <c r="H251" s="77">
        <v>1128.0</v>
      </c>
      <c r="I251" s="77">
        <v>1.0</v>
      </c>
      <c r="J251" s="78"/>
      <c r="K251" s="79" t="str">
        <f t="shared" si="1"/>
        <v>#DIV/0!</v>
      </c>
      <c r="L251" s="80" t="s">
        <v>658</v>
      </c>
      <c r="M251" s="81">
        <v>27.0</v>
      </c>
      <c r="N251" s="81" t="s">
        <v>659</v>
      </c>
      <c r="O251" s="82">
        <v>90.023753</v>
      </c>
      <c r="P251" s="82">
        <v>82.304038</v>
      </c>
      <c r="Q251" s="82">
        <f t="shared" si="131"/>
        <v>7.719715</v>
      </c>
      <c r="R251" s="78">
        <f t="shared" si="132"/>
        <v>13.11889648</v>
      </c>
      <c r="S251" s="83">
        <f t="shared" si="133"/>
        <v>87.03402124</v>
      </c>
      <c r="T251" s="84" t="s">
        <v>739</v>
      </c>
      <c r="U251" s="83">
        <f t="shared" ref="U251:U252" si="137">1128/706</f>
        <v>1.597733711</v>
      </c>
      <c r="V251" s="83" t="str">
        <f t="shared" si="134"/>
        <v>#DIV/0!</v>
      </c>
      <c r="W251" s="83" t="str">
        <f t="shared" si="135"/>
        <v>#DIV/0!</v>
      </c>
    </row>
    <row r="252" ht="26.25" customHeight="1">
      <c r="A252" s="72"/>
      <c r="B252" s="73" t="s">
        <v>1074</v>
      </c>
      <c r="C252" s="87" t="s">
        <v>1100</v>
      </c>
      <c r="D252" s="75">
        <v>1128.0</v>
      </c>
      <c r="E252" s="75" t="s">
        <v>1076</v>
      </c>
      <c r="F252" s="88"/>
      <c r="G252" s="77" t="s">
        <v>658</v>
      </c>
      <c r="H252" s="77">
        <v>1128.0</v>
      </c>
      <c r="I252" s="77">
        <v>1.0</v>
      </c>
      <c r="J252" s="78"/>
      <c r="K252" s="79" t="str">
        <f t="shared" si="1"/>
        <v>#DIV/0!</v>
      </c>
      <c r="L252" s="80" t="s">
        <v>658</v>
      </c>
      <c r="M252" s="81">
        <v>26.0</v>
      </c>
      <c r="N252" s="81" t="s">
        <v>659</v>
      </c>
      <c r="O252" s="82">
        <v>90.023753</v>
      </c>
      <c r="P252" s="82">
        <v>82.660333</v>
      </c>
      <c r="Q252" s="82">
        <f t="shared" si="131"/>
        <v>7.36342</v>
      </c>
      <c r="R252" s="78">
        <f t="shared" si="132"/>
        <v>13.11889648</v>
      </c>
      <c r="S252" s="83">
        <f t="shared" si="133"/>
        <v>86.2100251</v>
      </c>
      <c r="T252" s="84" t="s">
        <v>739</v>
      </c>
      <c r="U252" s="83">
        <f t="shared" si="137"/>
        <v>1.597733711</v>
      </c>
      <c r="V252" s="83" t="str">
        <f t="shared" si="134"/>
        <v>#DIV/0!</v>
      </c>
      <c r="W252" s="83" t="str">
        <f t="shared" si="135"/>
        <v>#DIV/0!</v>
      </c>
    </row>
    <row r="253" ht="26.25" customHeight="1">
      <c r="A253" s="72"/>
      <c r="B253" s="73" t="s">
        <v>1074</v>
      </c>
      <c r="C253" s="74" t="s">
        <v>1101</v>
      </c>
      <c r="D253" s="75">
        <v>727.0</v>
      </c>
      <c r="E253" s="75" t="s">
        <v>1102</v>
      </c>
      <c r="F253" s="88"/>
      <c r="G253" s="77" t="s">
        <v>658</v>
      </c>
      <c r="H253" s="77">
        <f>727*3</f>
        <v>2181</v>
      </c>
      <c r="I253" s="77">
        <v>1.0</v>
      </c>
      <c r="J253" s="78"/>
      <c r="K253" s="79" t="str">
        <f t="shared" si="1"/>
        <v>#DIV/0!</v>
      </c>
      <c r="L253" s="80" t="s">
        <v>658</v>
      </c>
      <c r="M253" s="81">
        <v>15.0</v>
      </c>
      <c r="N253" s="81" t="s">
        <v>659</v>
      </c>
      <c r="O253" s="82">
        <v>90.023753</v>
      </c>
      <c r="P253" s="82">
        <v>82.897862</v>
      </c>
      <c r="Q253" s="82">
        <f t="shared" si="131"/>
        <v>7.125891</v>
      </c>
      <c r="R253" s="78">
        <f t="shared" si="132"/>
        <v>13.11889648</v>
      </c>
      <c r="S253" s="83">
        <f t="shared" si="133"/>
        <v>167.858527</v>
      </c>
      <c r="T253" s="84" t="s">
        <v>739</v>
      </c>
      <c r="U253" s="83">
        <f>727/392</f>
        <v>1.854591837</v>
      </c>
      <c r="V253" s="83" t="str">
        <f t="shared" si="134"/>
        <v>#DIV/0!</v>
      </c>
      <c r="W253" s="83" t="str">
        <f t="shared" si="135"/>
        <v>#DIV/0!</v>
      </c>
    </row>
    <row r="254" ht="26.25" customHeight="1">
      <c r="A254" s="72"/>
      <c r="B254" s="73" t="s">
        <v>1103</v>
      </c>
      <c r="C254" s="87" t="s">
        <v>656</v>
      </c>
      <c r="D254" s="76"/>
      <c r="E254" s="76"/>
      <c r="F254" s="76" t="s">
        <v>1105</v>
      </c>
      <c r="G254" s="77" t="s">
        <v>689</v>
      </c>
      <c r="H254" s="77">
        <v>76794.0</v>
      </c>
      <c r="I254" s="77">
        <f>6*(47+33+13)</f>
        <v>558</v>
      </c>
      <c r="J254" s="78"/>
      <c r="K254" s="79" t="str">
        <f t="shared" si="1"/>
        <v>#DIV/0!</v>
      </c>
      <c r="L254" s="89" t="s">
        <v>303</v>
      </c>
      <c r="M254" s="85" t="s">
        <v>303</v>
      </c>
      <c r="N254" s="85" t="s">
        <v>303</v>
      </c>
      <c r="O254" s="82" t="s">
        <v>303</v>
      </c>
      <c r="P254" s="82" t="s">
        <v>303</v>
      </c>
      <c r="Q254" s="82" t="s">
        <v>303</v>
      </c>
      <c r="R254" s="78" t="s">
        <v>303</v>
      </c>
      <c r="S254" s="83" t="str">
        <f t="shared" si="133"/>
        <v>#N/A</v>
      </c>
      <c r="T254" s="84" t="s">
        <v>867</v>
      </c>
      <c r="U254" s="83">
        <f t="shared" ref="U254:U256" si="138">389/235</f>
        <v>1.655319149</v>
      </c>
      <c r="V254" s="83">
        <f>76331/76794</f>
        <v>0.9939708831</v>
      </c>
      <c r="W254" s="83">
        <f>(76331-76794)/(1500000/845)</f>
        <v>-0.2608233333</v>
      </c>
    </row>
    <row r="255" ht="26.25" customHeight="1">
      <c r="A255" s="72"/>
      <c r="B255" s="73" t="s">
        <v>1103</v>
      </c>
      <c r="C255" s="87" t="s">
        <v>656</v>
      </c>
      <c r="D255" s="75">
        <v>389.0</v>
      </c>
      <c r="E255" s="75" t="s">
        <v>1106</v>
      </c>
      <c r="F255" s="76"/>
      <c r="G255" s="77" t="s">
        <v>658</v>
      </c>
      <c r="H255" s="77">
        <v>389.0</v>
      </c>
      <c r="I255" s="77">
        <v>1.0</v>
      </c>
      <c r="J255" s="78"/>
      <c r="K255" s="79" t="str">
        <f t="shared" si="1"/>
        <v>#DIV/0!</v>
      </c>
      <c r="L255" s="80" t="s">
        <v>658</v>
      </c>
      <c r="M255" s="92">
        <v>69.0</v>
      </c>
      <c r="N255" s="92" t="s">
        <v>659</v>
      </c>
      <c r="O255" s="82">
        <v>90.023753</v>
      </c>
      <c r="P255" s="82">
        <v>83.491686</v>
      </c>
      <c r="Q255" s="82">
        <f>O255-P255</f>
        <v>6.532067</v>
      </c>
      <c r="R255" s="78">
        <f>IFS(L255="S",21494/2048*1.25)</f>
        <v>13.11889648</v>
      </c>
      <c r="S255" s="83">
        <f t="shared" si="133"/>
        <v>29.85591785</v>
      </c>
      <c r="T255" s="84" t="s">
        <v>660</v>
      </c>
      <c r="U255" s="83">
        <f t="shared" si="138"/>
        <v>1.655319149</v>
      </c>
      <c r="V255" s="83" t="str">
        <f>S255/K255</f>
        <v>#DIV/0!</v>
      </c>
      <c r="W255" s="83" t="str">
        <f>(S255-K255)*M255*#REF!*#REF!*J255/(249945/845)</f>
        <v>#DIV/0!</v>
      </c>
    </row>
    <row r="256" ht="26.25" customHeight="1">
      <c r="A256" s="72"/>
      <c r="B256" s="73" t="s">
        <v>1103</v>
      </c>
      <c r="C256" s="87" t="s">
        <v>656</v>
      </c>
      <c r="D256" s="76"/>
      <c r="E256" s="76"/>
      <c r="F256" s="76" t="s">
        <v>1104</v>
      </c>
      <c r="G256" s="77" t="s">
        <v>689</v>
      </c>
      <c r="H256" s="77">
        <v>74038.0</v>
      </c>
      <c r="I256" s="77">
        <f>20*42</f>
        <v>840</v>
      </c>
      <c r="J256" s="78"/>
      <c r="K256" s="79" t="str">
        <f t="shared" si="1"/>
        <v>#DIV/0!</v>
      </c>
      <c r="L256" s="89" t="s">
        <v>303</v>
      </c>
      <c r="M256" s="85" t="s">
        <v>303</v>
      </c>
      <c r="N256" s="85" t="s">
        <v>303</v>
      </c>
      <c r="O256" s="82" t="s">
        <v>303</v>
      </c>
      <c r="P256" s="82" t="s">
        <v>303</v>
      </c>
      <c r="Q256" s="82" t="s">
        <v>303</v>
      </c>
      <c r="R256" s="78" t="s">
        <v>303</v>
      </c>
      <c r="S256" s="83" t="str">
        <f t="shared" si="133"/>
        <v>#N/A</v>
      </c>
      <c r="T256" s="84" t="s">
        <v>867</v>
      </c>
      <c r="U256" s="83">
        <f t="shared" si="138"/>
        <v>1.655319149</v>
      </c>
      <c r="V256" s="83">
        <f>74556/74038</f>
        <v>1.006996407</v>
      </c>
      <c r="W256" s="83">
        <f>(74556-74038)/(1500000/845)</f>
        <v>0.2918066667</v>
      </c>
    </row>
    <row r="257" ht="26.25" customHeight="1">
      <c r="A257" s="72"/>
      <c r="B257" s="85" t="s">
        <v>1103</v>
      </c>
      <c r="C257" s="74" t="s">
        <v>947</v>
      </c>
      <c r="D257" s="76"/>
      <c r="E257" s="76"/>
      <c r="F257" s="76" t="s">
        <v>1108</v>
      </c>
      <c r="G257" s="77" t="s">
        <v>689</v>
      </c>
      <c r="H257" s="77">
        <v>56749.0</v>
      </c>
      <c r="I257" s="77">
        <f>7*64</f>
        <v>448</v>
      </c>
      <c r="J257" s="78"/>
      <c r="K257" s="79" t="str">
        <f t="shared" si="1"/>
        <v>#DIV/0!</v>
      </c>
      <c r="L257" s="89" t="s">
        <v>303</v>
      </c>
      <c r="M257" s="85" t="s">
        <v>303</v>
      </c>
      <c r="N257" s="85" t="s">
        <v>303</v>
      </c>
      <c r="O257" s="82" t="s">
        <v>303</v>
      </c>
      <c r="P257" s="82" t="s">
        <v>303</v>
      </c>
      <c r="Q257" s="82" t="s">
        <v>303</v>
      </c>
      <c r="R257" s="78" t="s">
        <v>303</v>
      </c>
      <c r="S257" s="83" t="str">
        <f t="shared" si="133"/>
        <v>#N/A</v>
      </c>
      <c r="T257" s="84" t="s">
        <v>867</v>
      </c>
      <c r="U257" s="83">
        <f>487/278</f>
        <v>1.751798561</v>
      </c>
      <c r="V257" s="83">
        <f>56805/56749</f>
        <v>1.000986802</v>
      </c>
      <c r="W257" s="83">
        <f>(56805-56749)/(1500000/845)</f>
        <v>0.03154666667</v>
      </c>
    </row>
    <row r="258" ht="26.25" customHeight="1">
      <c r="A258" s="85"/>
      <c r="B258" s="85" t="s">
        <v>1103</v>
      </c>
      <c r="C258" s="74" t="s">
        <v>947</v>
      </c>
      <c r="D258" s="75">
        <v>564.0</v>
      </c>
      <c r="E258" s="75" t="s">
        <v>1107</v>
      </c>
      <c r="F258" s="76"/>
      <c r="G258" s="77" t="s">
        <v>658</v>
      </c>
      <c r="H258" s="77">
        <v>564.0</v>
      </c>
      <c r="I258" s="77">
        <v>1.0</v>
      </c>
      <c r="J258" s="78"/>
      <c r="K258" s="79" t="str">
        <f t="shared" si="1"/>
        <v>#DIV/0!</v>
      </c>
      <c r="L258" s="80" t="s">
        <v>658</v>
      </c>
      <c r="M258" s="81">
        <v>56.0</v>
      </c>
      <c r="N258" s="81" t="s">
        <v>659</v>
      </c>
      <c r="O258" s="82">
        <v>90.023753</v>
      </c>
      <c r="P258" s="82">
        <v>82.779097</v>
      </c>
      <c r="Q258" s="82">
        <f>O258-P258</f>
        <v>7.244656</v>
      </c>
      <c r="R258" s="78">
        <f>IFS(L258="S",21494/2048*1.25)</f>
        <v>13.11889648</v>
      </c>
      <c r="S258" s="83">
        <f t="shared" si="133"/>
        <v>43.17179657</v>
      </c>
      <c r="T258" s="84" t="s">
        <v>757</v>
      </c>
      <c r="U258" s="83">
        <f>564/322</f>
        <v>1.751552795</v>
      </c>
      <c r="V258" s="83" t="str">
        <f>S258/K258</f>
        <v>#DIV/0!</v>
      </c>
      <c r="W258" s="83" t="str">
        <f>(S258-K258)*M258*#REF!*#REF!*J258/(249945/845)</f>
        <v>#DIV/0!</v>
      </c>
    </row>
    <row r="259" ht="26.25" customHeight="1">
      <c r="A259" s="72"/>
      <c r="B259" s="73" t="s">
        <v>1103</v>
      </c>
      <c r="C259" s="87" t="s">
        <v>758</v>
      </c>
      <c r="D259" s="76"/>
      <c r="E259" s="76"/>
      <c r="F259" s="76" t="s">
        <v>1109</v>
      </c>
      <c r="G259" s="77" t="s">
        <v>689</v>
      </c>
      <c r="H259" s="77">
        <v>44512.0</v>
      </c>
      <c r="I259" s="77">
        <f>34*13</f>
        <v>442</v>
      </c>
      <c r="J259" s="78"/>
      <c r="K259" s="79" t="str">
        <f t="shared" si="1"/>
        <v>#DIV/0!</v>
      </c>
      <c r="L259" s="89" t="s">
        <v>303</v>
      </c>
      <c r="M259" s="85" t="s">
        <v>303</v>
      </c>
      <c r="N259" s="85" t="s">
        <v>303</v>
      </c>
      <c r="O259" s="82" t="s">
        <v>303</v>
      </c>
      <c r="P259" s="82" t="s">
        <v>303</v>
      </c>
      <c r="Q259" s="82" t="s">
        <v>303</v>
      </c>
      <c r="R259" s="78" t="s">
        <v>303</v>
      </c>
      <c r="S259" s="83" t="str">
        <f t="shared" si="133"/>
        <v>#N/A</v>
      </c>
      <c r="T259" s="84" t="s">
        <v>867</v>
      </c>
      <c r="U259" s="83">
        <f t="shared" ref="U259:U260" si="139">487/278</f>
        <v>1.751798561</v>
      </c>
      <c r="V259" s="83">
        <f>44379/44512</f>
        <v>0.9970120417</v>
      </c>
      <c r="W259" s="83">
        <f>(44379-44512)/(1500000/845)</f>
        <v>-0.07492333333</v>
      </c>
    </row>
    <row r="260" ht="26.25" customHeight="1">
      <c r="A260" s="72"/>
      <c r="B260" s="73" t="s">
        <v>1103</v>
      </c>
      <c r="C260" s="87" t="s">
        <v>758</v>
      </c>
      <c r="D260" s="75">
        <v>487.0</v>
      </c>
      <c r="E260" s="75" t="s">
        <v>1110</v>
      </c>
      <c r="F260" s="76"/>
      <c r="G260" s="77" t="s">
        <v>658</v>
      </c>
      <c r="H260" s="77">
        <v>487.0</v>
      </c>
      <c r="I260" s="77">
        <v>1.0</v>
      </c>
      <c r="J260" s="78"/>
      <c r="K260" s="79" t="str">
        <f t="shared" si="1"/>
        <v>#DIV/0!</v>
      </c>
      <c r="L260" s="80" t="s">
        <v>658</v>
      </c>
      <c r="M260" s="81">
        <v>63.0</v>
      </c>
      <c r="N260" s="81" t="s">
        <v>659</v>
      </c>
      <c r="O260" s="82">
        <v>90.023753</v>
      </c>
      <c r="P260" s="82">
        <v>83.016627</v>
      </c>
      <c r="Q260" s="82">
        <f t="shared" ref="Q260:Q261" si="140">O260-P260</f>
        <v>7.007126</v>
      </c>
      <c r="R260" s="78">
        <f t="shared" ref="R260:R261" si="141">IFS(L260="S",21494/2048*1.25)</f>
        <v>13.11889648</v>
      </c>
      <c r="S260" s="83">
        <f t="shared" si="133"/>
        <v>37.12194226</v>
      </c>
      <c r="T260" s="84" t="s">
        <v>896</v>
      </c>
      <c r="U260" s="83">
        <f t="shared" si="139"/>
        <v>1.751798561</v>
      </c>
      <c r="V260" s="83" t="str">
        <f t="shared" ref="V260:V261" si="142">S260/K260</f>
        <v>#DIV/0!</v>
      </c>
      <c r="W260" s="83" t="str">
        <f t="shared" ref="W260:W261" si="143">(S260-K260)*M260*#REF!*#REF!*J260/(249945/845)</f>
        <v>#DIV/0!</v>
      </c>
    </row>
    <row r="261" ht="26.25" customHeight="1">
      <c r="A261" s="85"/>
      <c r="B261" s="85" t="s">
        <v>1103</v>
      </c>
      <c r="C261" s="74" t="s">
        <v>1111</v>
      </c>
      <c r="D261" s="75">
        <v>494.0</v>
      </c>
      <c r="E261" s="75" t="s">
        <v>1112</v>
      </c>
      <c r="F261" s="76"/>
      <c r="G261" s="77" t="s">
        <v>658</v>
      </c>
      <c r="H261" s="77">
        <v>494.0</v>
      </c>
      <c r="I261" s="77">
        <v>1.0</v>
      </c>
      <c r="J261" s="78"/>
      <c r="K261" s="79" t="str">
        <f t="shared" si="1"/>
        <v>#DIV/0!</v>
      </c>
      <c r="L261" s="80" t="s">
        <v>658</v>
      </c>
      <c r="M261" s="81">
        <v>52.0</v>
      </c>
      <c r="N261" s="81" t="s">
        <v>659</v>
      </c>
      <c r="O261" s="82">
        <v>90.023753</v>
      </c>
      <c r="P261" s="82">
        <v>84.56057</v>
      </c>
      <c r="Q261" s="82">
        <f t="shared" si="140"/>
        <v>5.463183</v>
      </c>
      <c r="R261" s="78">
        <f t="shared" si="141"/>
        <v>13.11889648</v>
      </c>
      <c r="S261" s="83">
        <f t="shared" si="133"/>
        <v>37.88575918</v>
      </c>
      <c r="T261" s="84" t="s">
        <v>757</v>
      </c>
      <c r="U261" s="83">
        <f>494/261</f>
        <v>1.892720307</v>
      </c>
      <c r="V261" s="83" t="str">
        <f t="shared" si="142"/>
        <v>#DIV/0!</v>
      </c>
      <c r="W261" s="83" t="str">
        <f t="shared" si="143"/>
        <v>#DIV/0!</v>
      </c>
    </row>
    <row r="262" ht="26.25" customHeight="1">
      <c r="A262" s="72"/>
      <c r="B262" s="73" t="s">
        <v>1103</v>
      </c>
      <c r="C262" s="87" t="s">
        <v>435</v>
      </c>
      <c r="D262" s="76"/>
      <c r="E262" s="76"/>
      <c r="F262" s="76" t="s">
        <v>1113</v>
      </c>
      <c r="G262" s="77" t="s">
        <v>704</v>
      </c>
      <c r="H262" s="77">
        <f>11393*1.5</f>
        <v>17089.5</v>
      </c>
      <c r="I262" s="77">
        <f t="shared" ref="I262:I263" si="144">36+36+6</f>
        <v>78</v>
      </c>
      <c r="J262" s="78"/>
      <c r="K262" s="79" t="str">
        <f t="shared" si="1"/>
        <v>#DIV/0!</v>
      </c>
      <c r="L262" s="89" t="s">
        <v>303</v>
      </c>
      <c r="M262" s="85" t="s">
        <v>303</v>
      </c>
      <c r="N262" s="85" t="s">
        <v>303</v>
      </c>
      <c r="O262" s="82" t="s">
        <v>303</v>
      </c>
      <c r="P262" s="82" t="s">
        <v>303</v>
      </c>
      <c r="Q262" s="82" t="s">
        <v>303</v>
      </c>
      <c r="R262" s="78" t="s">
        <v>303</v>
      </c>
      <c r="S262" s="83" t="str">
        <f t="shared" si="133"/>
        <v>#N/A</v>
      </c>
      <c r="T262" s="84" t="s">
        <v>705</v>
      </c>
      <c r="U262" s="79">
        <f t="shared" ref="U262:U263" si="145">535/309</f>
        <v>1.731391586</v>
      </c>
      <c r="V262" s="83">
        <f>124260/119624</f>
        <v>1.038754765</v>
      </c>
      <c r="W262" s="83">
        <f>(124260-119624)/(1500000/845)</f>
        <v>2.611613333</v>
      </c>
    </row>
    <row r="263" ht="26.25" customHeight="1">
      <c r="A263" s="72"/>
      <c r="B263" s="73" t="s">
        <v>1103</v>
      </c>
      <c r="C263" s="87" t="s">
        <v>435</v>
      </c>
      <c r="D263" s="75">
        <v>535.0</v>
      </c>
      <c r="E263" s="75" t="s">
        <v>1114</v>
      </c>
      <c r="F263" s="76" t="s">
        <v>1115</v>
      </c>
      <c r="G263" s="77" t="s">
        <v>704</v>
      </c>
      <c r="H263" s="77">
        <f>5774*1.5</f>
        <v>8661</v>
      </c>
      <c r="I263" s="77">
        <f t="shared" si="144"/>
        <v>78</v>
      </c>
      <c r="J263" s="78"/>
      <c r="K263" s="79" t="str">
        <f t="shared" si="1"/>
        <v>#DIV/0!</v>
      </c>
      <c r="L263" s="80" t="s">
        <v>704</v>
      </c>
      <c r="M263" s="81">
        <v>78.0</v>
      </c>
      <c r="N263" s="79" t="s">
        <v>689</v>
      </c>
      <c r="O263" s="82">
        <v>99.526627</v>
      </c>
      <c r="P263" s="82">
        <v>94.911243</v>
      </c>
      <c r="Q263" s="82">
        <f>O263-P263</f>
        <v>4.615384</v>
      </c>
      <c r="R263" s="78">
        <f>1.25*1.22</f>
        <v>1.525</v>
      </c>
      <c r="S263" s="83" t="s">
        <v>1247</v>
      </c>
      <c r="T263" s="84" t="s">
        <v>705</v>
      </c>
      <c r="U263" s="79">
        <f t="shared" si="145"/>
        <v>1.731391586</v>
      </c>
      <c r="V263" s="83" t="str">
        <f>S263/K263</f>
        <v>#DIV/0!</v>
      </c>
      <c r="W263" s="83" t="str">
        <f>(S263-K263)*M263*#REF!*#REF!*J263/(249945/845)</f>
        <v>#DIV/0!</v>
      </c>
    </row>
    <row r="264" ht="26.25" customHeight="1">
      <c r="A264" s="72"/>
      <c r="B264" s="73" t="s">
        <v>1103</v>
      </c>
      <c r="C264" s="87" t="s">
        <v>740</v>
      </c>
      <c r="D264" s="76"/>
      <c r="E264" s="76"/>
      <c r="F264" s="76" t="s">
        <v>1116</v>
      </c>
      <c r="G264" s="77" t="s">
        <v>689</v>
      </c>
      <c r="H264" s="77">
        <v>48061.0</v>
      </c>
      <c r="I264" s="77">
        <f>45*13</f>
        <v>585</v>
      </c>
      <c r="J264" s="78"/>
      <c r="K264" s="79" t="str">
        <f t="shared" si="1"/>
        <v>#DIV/0!</v>
      </c>
      <c r="L264" s="89" t="s">
        <v>303</v>
      </c>
      <c r="M264" s="85" t="s">
        <v>303</v>
      </c>
      <c r="N264" s="85" t="s">
        <v>303</v>
      </c>
      <c r="O264" s="82" t="s">
        <v>303</v>
      </c>
      <c r="P264" s="82" t="s">
        <v>303</v>
      </c>
      <c r="Q264" s="82" t="s">
        <v>303</v>
      </c>
      <c r="R264" s="78" t="s">
        <v>303</v>
      </c>
      <c r="S264" s="83" t="str">
        <f t="shared" ref="S264:S271" si="146">IFS(N264="B",Q264/M264/100*249945/R264
*U264,N264="C",Q264/M264/100*249945/R264
)</f>
        <v>#N/A</v>
      </c>
      <c r="T264" s="84" t="s">
        <v>867</v>
      </c>
      <c r="U264" s="83">
        <f t="shared" ref="U264:U265" si="147">409/216</f>
        <v>1.893518519</v>
      </c>
      <c r="V264" s="83">
        <f>47929/48061</f>
        <v>0.9972534904</v>
      </c>
      <c r="W264" s="83">
        <f>(47929-48061)/(1500000/845)</f>
        <v>-0.07436</v>
      </c>
    </row>
    <row r="265" ht="26.25" customHeight="1">
      <c r="A265" s="72"/>
      <c r="B265" s="73" t="s">
        <v>1103</v>
      </c>
      <c r="C265" s="87" t="s">
        <v>740</v>
      </c>
      <c r="D265" s="75">
        <v>409.0</v>
      </c>
      <c r="E265" s="75" t="s">
        <v>1117</v>
      </c>
      <c r="F265" s="76"/>
      <c r="G265" s="77" t="s">
        <v>658</v>
      </c>
      <c r="H265" s="77">
        <v>409.0</v>
      </c>
      <c r="I265" s="77">
        <v>1.0</v>
      </c>
      <c r="J265" s="78"/>
      <c r="K265" s="79" t="str">
        <f t="shared" si="1"/>
        <v>#DIV/0!</v>
      </c>
      <c r="L265" s="80" t="s">
        <v>658</v>
      </c>
      <c r="M265" s="92">
        <v>67.0</v>
      </c>
      <c r="N265" s="92" t="s">
        <v>659</v>
      </c>
      <c r="O265" s="82">
        <v>90.023753</v>
      </c>
      <c r="P265" s="82">
        <v>84.204276</v>
      </c>
      <c r="Q265" s="82">
        <f>O265-P265</f>
        <v>5.819477</v>
      </c>
      <c r="R265" s="78">
        <f>IFS(L265="S",21494/2048*1.25)</f>
        <v>13.11889648</v>
      </c>
      <c r="S265" s="83">
        <f t="shared" si="146"/>
        <v>31.33472289</v>
      </c>
      <c r="T265" s="84" t="s">
        <v>660</v>
      </c>
      <c r="U265" s="83">
        <f t="shared" si="147"/>
        <v>1.893518519</v>
      </c>
      <c r="V265" s="83" t="str">
        <f>S265/K265</f>
        <v>#DIV/0!</v>
      </c>
      <c r="W265" s="83" t="str">
        <f>(S265-K265)*M265*#REF!*#REF!*J265/(249945/845)</f>
        <v>#DIV/0!</v>
      </c>
    </row>
    <row r="266" ht="26.25" customHeight="1">
      <c r="A266" s="72"/>
      <c r="B266" s="73" t="s">
        <v>1103</v>
      </c>
      <c r="C266" s="87" t="s">
        <v>1118</v>
      </c>
      <c r="D266" s="75"/>
      <c r="E266" s="75"/>
      <c r="F266" s="76" t="s">
        <v>1120</v>
      </c>
      <c r="G266" s="77" t="s">
        <v>704</v>
      </c>
      <c r="H266" s="77">
        <v>14839.0</v>
      </c>
      <c r="I266" s="77">
        <f>5*30</f>
        <v>150</v>
      </c>
      <c r="J266" s="78"/>
      <c r="K266" s="79" t="str">
        <f t="shared" si="1"/>
        <v>#DIV/0!</v>
      </c>
      <c r="L266" s="89" t="s">
        <v>303</v>
      </c>
      <c r="M266" s="85" t="s">
        <v>303</v>
      </c>
      <c r="N266" s="85" t="s">
        <v>303</v>
      </c>
      <c r="O266" s="82" t="s">
        <v>303</v>
      </c>
      <c r="P266" s="82" t="s">
        <v>303</v>
      </c>
      <c r="Q266" s="82" t="s">
        <v>303</v>
      </c>
      <c r="R266" s="78" t="s">
        <v>303</v>
      </c>
      <c r="S266" s="83" t="str">
        <f t="shared" si="146"/>
        <v>#N/A</v>
      </c>
      <c r="T266" s="84" t="s">
        <v>705</v>
      </c>
      <c r="U266" s="83">
        <f t="shared" ref="U266:U269" si="148">544/341</f>
        <v>1.595307918</v>
      </c>
      <c r="V266" s="83">
        <f>71006/71586</f>
        <v>0.9918978571</v>
      </c>
      <c r="W266" s="83">
        <f>(71006-71586)/(1500000/845)</f>
        <v>-0.3267333333</v>
      </c>
    </row>
    <row r="267" ht="26.25" customHeight="1">
      <c r="A267" s="72"/>
      <c r="B267" s="73" t="s">
        <v>1103</v>
      </c>
      <c r="C267" s="87" t="s">
        <v>1118</v>
      </c>
      <c r="D267" s="76"/>
      <c r="E267" s="76"/>
      <c r="F267" s="76" t="s">
        <v>1119</v>
      </c>
      <c r="G267" s="77" t="s">
        <v>704</v>
      </c>
      <c r="H267" s="77">
        <f>6607*1.5</f>
        <v>9910.5</v>
      </c>
      <c r="I267" s="77">
        <v>90.0</v>
      </c>
      <c r="J267" s="78"/>
      <c r="K267" s="79" t="str">
        <f t="shared" si="1"/>
        <v>#DIV/0!</v>
      </c>
      <c r="L267" s="89" t="s">
        <v>303</v>
      </c>
      <c r="M267" s="85" t="s">
        <v>303</v>
      </c>
      <c r="N267" s="85" t="s">
        <v>303</v>
      </c>
      <c r="O267" s="82" t="s">
        <v>303</v>
      </c>
      <c r="P267" s="82" t="s">
        <v>303</v>
      </c>
      <c r="Q267" s="82" t="s">
        <v>303</v>
      </c>
      <c r="R267" s="78" t="s">
        <v>303</v>
      </c>
      <c r="S267" s="83" t="str">
        <f t="shared" si="146"/>
        <v>#N/A</v>
      </c>
      <c r="T267" s="84" t="s">
        <v>705</v>
      </c>
      <c r="U267" s="83">
        <f t="shared" si="148"/>
        <v>1.595307918</v>
      </c>
      <c r="V267" s="83">
        <f>42604/41513</f>
        <v>1.026280924</v>
      </c>
      <c r="W267" s="83">
        <f>(42604-41513)/(1500000/845)</f>
        <v>0.6145966667</v>
      </c>
    </row>
    <row r="268" ht="26.25" customHeight="1">
      <c r="A268" s="72"/>
      <c r="B268" s="73" t="s">
        <v>1103</v>
      </c>
      <c r="C268" s="87" t="s">
        <v>684</v>
      </c>
      <c r="D268" s="75">
        <v>544.0</v>
      </c>
      <c r="E268" s="75" t="s">
        <v>1121</v>
      </c>
      <c r="F268" s="76"/>
      <c r="G268" s="77" t="s">
        <v>658</v>
      </c>
      <c r="H268" s="77">
        <v>544.0</v>
      </c>
      <c r="I268" s="77">
        <v>1.0</v>
      </c>
      <c r="J268" s="78"/>
      <c r="K268" s="79" t="str">
        <f t="shared" si="1"/>
        <v>#DIV/0!</v>
      </c>
      <c r="L268" s="80" t="s">
        <v>658</v>
      </c>
      <c r="M268" s="81">
        <v>34.0</v>
      </c>
      <c r="N268" s="81" t="s">
        <v>659</v>
      </c>
      <c r="O268" s="82">
        <v>90.023753</v>
      </c>
      <c r="P268" s="82">
        <v>85.391924</v>
      </c>
      <c r="Q268" s="82">
        <f>O268-P268</f>
        <v>4.631829</v>
      </c>
      <c r="R268" s="78">
        <f>IFS(L268="S",21494/2048*1.25)</f>
        <v>13.11889648</v>
      </c>
      <c r="S268" s="83">
        <f t="shared" si="146"/>
        <v>41.40618987</v>
      </c>
      <c r="T268" s="84" t="s">
        <v>660</v>
      </c>
      <c r="U268" s="83">
        <f t="shared" si="148"/>
        <v>1.595307918</v>
      </c>
      <c r="V268" s="83" t="str">
        <f>S268/K268</f>
        <v>#DIV/0!</v>
      </c>
      <c r="W268" s="83" t="str">
        <f>(S268-K268)*M268*#REF!*#REF!*J268/(249945/845)</f>
        <v>#DIV/0!</v>
      </c>
    </row>
    <row r="269" ht="26.25" customHeight="1">
      <c r="A269" s="72"/>
      <c r="B269" s="73" t="s">
        <v>1103</v>
      </c>
      <c r="C269" s="87" t="s">
        <v>684</v>
      </c>
      <c r="D269" s="76"/>
      <c r="E269" s="76"/>
      <c r="F269" s="76" t="s">
        <v>1109</v>
      </c>
      <c r="G269" s="77" t="s">
        <v>689</v>
      </c>
      <c r="H269" s="77">
        <v>62985.0</v>
      </c>
      <c r="I269" s="77">
        <f>34*15</f>
        <v>510</v>
      </c>
      <c r="J269" s="78"/>
      <c r="K269" s="79" t="str">
        <f t="shared" si="1"/>
        <v>#DIV/0!</v>
      </c>
      <c r="L269" s="89" t="s">
        <v>303</v>
      </c>
      <c r="M269" s="85" t="s">
        <v>303</v>
      </c>
      <c r="N269" s="85" t="s">
        <v>303</v>
      </c>
      <c r="O269" s="82" t="s">
        <v>303</v>
      </c>
      <c r="P269" s="82" t="s">
        <v>303</v>
      </c>
      <c r="Q269" s="82" t="s">
        <v>303</v>
      </c>
      <c r="R269" s="78" t="s">
        <v>303</v>
      </c>
      <c r="S269" s="83" t="str">
        <f t="shared" si="146"/>
        <v>#N/A</v>
      </c>
      <c r="T269" s="84" t="s">
        <v>867</v>
      </c>
      <c r="U269" s="83">
        <f t="shared" si="148"/>
        <v>1.595307918</v>
      </c>
      <c r="V269" s="83">
        <f>63905/62985</f>
        <v>1.014606652</v>
      </c>
      <c r="W269" s="83">
        <f>(63905-62985)/(1500000/845)</f>
        <v>0.5182666667</v>
      </c>
    </row>
    <row r="270" ht="26.25" customHeight="1">
      <c r="A270" s="72"/>
      <c r="B270" s="73" t="s">
        <v>1103</v>
      </c>
      <c r="C270" s="87" t="s">
        <v>1122</v>
      </c>
      <c r="D270" s="75">
        <v>428.0</v>
      </c>
      <c r="E270" s="75" t="s">
        <v>1123</v>
      </c>
      <c r="F270" s="76" t="s">
        <v>1124</v>
      </c>
      <c r="G270" s="77" t="s">
        <v>658</v>
      </c>
      <c r="H270" s="77">
        <v>428.0</v>
      </c>
      <c r="I270" s="77">
        <v>1.0</v>
      </c>
      <c r="J270" s="78"/>
      <c r="K270" s="79" t="str">
        <f t="shared" si="1"/>
        <v>#DIV/0!</v>
      </c>
      <c r="L270" s="80" t="s">
        <v>658</v>
      </c>
      <c r="M270" s="81">
        <v>60.0</v>
      </c>
      <c r="N270" s="81" t="s">
        <v>659</v>
      </c>
      <c r="O270" s="82">
        <v>90.023753</v>
      </c>
      <c r="P270" s="82">
        <v>83.729216</v>
      </c>
      <c r="Q270" s="82">
        <f t="shared" ref="Q270:Q273" si="149">O270-P270</f>
        <v>6.294537</v>
      </c>
      <c r="R270" s="78">
        <f t="shared" ref="R270:R271" si="150">IFS(L270="S",21494/2048*1.25)</f>
        <v>13.11889648</v>
      </c>
      <c r="S270" s="83">
        <f t="shared" si="146"/>
        <v>33.15765065</v>
      </c>
      <c r="T270" s="84" t="s">
        <v>739</v>
      </c>
      <c r="U270" s="83">
        <f>428/258</f>
        <v>1.658914729</v>
      </c>
      <c r="V270" s="83" t="str">
        <f t="shared" ref="V270:V273" si="151">S270/K270</f>
        <v>#DIV/0!</v>
      </c>
      <c r="W270" s="83" t="str">
        <f t="shared" ref="W270:W271" si="152">(S270-K270)*M270*#REF!*#REF!*J270/(249945/845)</f>
        <v>#DIV/0!</v>
      </c>
    </row>
    <row r="271" ht="26.25" customHeight="1">
      <c r="A271" s="72"/>
      <c r="B271" s="73" t="s">
        <v>1103</v>
      </c>
      <c r="C271" s="87" t="s">
        <v>1122</v>
      </c>
      <c r="D271" s="75">
        <v>389.0</v>
      </c>
      <c r="E271" s="75" t="s">
        <v>1106</v>
      </c>
      <c r="F271" s="76"/>
      <c r="G271" s="77" t="s">
        <v>658</v>
      </c>
      <c r="H271" s="77">
        <v>389.0</v>
      </c>
      <c r="I271" s="77">
        <v>1.0</v>
      </c>
      <c r="J271" s="78"/>
      <c r="K271" s="79" t="str">
        <f t="shared" si="1"/>
        <v>#DIV/0!</v>
      </c>
      <c r="L271" s="80" t="s">
        <v>658</v>
      </c>
      <c r="M271" s="81">
        <v>47.0</v>
      </c>
      <c r="N271" s="81" t="s">
        <v>659</v>
      </c>
      <c r="O271" s="82">
        <v>90.023753</v>
      </c>
      <c r="P271" s="82">
        <v>85.510689</v>
      </c>
      <c r="Q271" s="82">
        <f t="shared" si="149"/>
        <v>4.513064</v>
      </c>
      <c r="R271" s="78">
        <f t="shared" si="150"/>
        <v>13.11889648</v>
      </c>
      <c r="S271" s="83">
        <f t="shared" si="146"/>
        <v>30.28325277</v>
      </c>
      <c r="T271" s="84" t="s">
        <v>739</v>
      </c>
      <c r="U271" s="83">
        <f>389/235</f>
        <v>1.655319149</v>
      </c>
      <c r="V271" s="83" t="str">
        <f t="shared" si="151"/>
        <v>#DIV/0!</v>
      </c>
      <c r="W271" s="83" t="str">
        <f t="shared" si="152"/>
        <v>#DIV/0!</v>
      </c>
    </row>
    <row r="272" ht="26.25" customHeight="1">
      <c r="A272" s="72"/>
      <c r="B272" s="73" t="s">
        <v>1103</v>
      </c>
      <c r="C272" s="87" t="s">
        <v>1122</v>
      </c>
      <c r="D272" s="76"/>
      <c r="E272" s="76"/>
      <c r="F272" s="76" t="s">
        <v>1125</v>
      </c>
      <c r="G272" s="77" t="s">
        <v>704</v>
      </c>
      <c r="H272" s="77">
        <f>4671*1.5</f>
        <v>7006.5</v>
      </c>
      <c r="I272" s="77">
        <v>55.0</v>
      </c>
      <c r="J272" s="78"/>
      <c r="K272" s="79" t="str">
        <f t="shared" si="1"/>
        <v>#DIV/0!</v>
      </c>
      <c r="L272" s="80" t="s">
        <v>704</v>
      </c>
      <c r="M272" s="81">
        <v>55.0</v>
      </c>
      <c r="N272" s="81" t="s">
        <v>689</v>
      </c>
      <c r="O272" s="82">
        <v>99.526627</v>
      </c>
      <c r="P272" s="82">
        <v>95.857988</v>
      </c>
      <c r="Q272" s="82">
        <f t="shared" si="149"/>
        <v>3.668639</v>
      </c>
      <c r="R272" s="78">
        <f>1.25*1.22</f>
        <v>1.525</v>
      </c>
      <c r="S272" s="83" t="s">
        <v>1247</v>
      </c>
      <c r="T272" s="84" t="s">
        <v>705</v>
      </c>
      <c r="U272" s="83">
        <f>428/258</f>
        <v>1.658914729</v>
      </c>
      <c r="V272" s="83" t="str">
        <f t="shared" si="151"/>
        <v>#DIV/0!</v>
      </c>
      <c r="W272" s="83" t="str">
        <f>(S272-K272)*M272*#REF!*#REF!*J272/(182596/845)</f>
        <v>#DIV/0!</v>
      </c>
    </row>
    <row r="273" ht="26.25" customHeight="1">
      <c r="A273" s="72"/>
      <c r="B273" s="73" t="s">
        <v>1103</v>
      </c>
      <c r="C273" s="87" t="s">
        <v>1126</v>
      </c>
      <c r="D273" s="75">
        <v>487.0</v>
      </c>
      <c r="E273" s="75" t="s">
        <v>1110</v>
      </c>
      <c r="F273" s="76"/>
      <c r="G273" s="77" t="s">
        <v>658</v>
      </c>
      <c r="H273" s="77">
        <v>487.0</v>
      </c>
      <c r="I273" s="77">
        <v>1.0</v>
      </c>
      <c r="J273" s="78"/>
      <c r="K273" s="79" t="str">
        <f t="shared" si="1"/>
        <v>#DIV/0!</v>
      </c>
      <c r="L273" s="80" t="s">
        <v>658</v>
      </c>
      <c r="M273" s="81">
        <v>70.0</v>
      </c>
      <c r="N273" s="81" t="s">
        <v>659</v>
      </c>
      <c r="O273" s="82">
        <v>90.023753</v>
      </c>
      <c r="P273" s="82">
        <v>82.304038</v>
      </c>
      <c r="Q273" s="82">
        <f t="shared" si="149"/>
        <v>7.719715</v>
      </c>
      <c r="R273" s="78">
        <f>IFS(L273="S",21494/2048*1.25)</f>
        <v>13.11889648</v>
      </c>
      <c r="S273" s="83">
        <f t="shared" ref="S273:S276" si="153">IFS(N273="B",Q273/M273/100*249945/R273
*U273,N273="C",Q273/M273/100*249945/R273
)</f>
        <v>36.80734912</v>
      </c>
      <c r="T273" s="84" t="s">
        <v>739</v>
      </c>
      <c r="U273" s="83">
        <f>487/278</f>
        <v>1.751798561</v>
      </c>
      <c r="V273" s="83" t="str">
        <f t="shared" si="151"/>
        <v>#DIV/0!</v>
      </c>
      <c r="W273" s="83" t="str">
        <f>(S273-K273)*M273*#REF!*#REF!*J273/(249945/845)</f>
        <v>#DIV/0!</v>
      </c>
    </row>
    <row r="274" ht="26.25" customHeight="1">
      <c r="A274" s="72"/>
      <c r="B274" s="73" t="s">
        <v>1103</v>
      </c>
      <c r="C274" s="87" t="s">
        <v>1126</v>
      </c>
      <c r="D274" s="76"/>
      <c r="E274" s="76"/>
      <c r="F274" s="76" t="s">
        <v>1127</v>
      </c>
      <c r="G274" s="77" t="s">
        <v>689</v>
      </c>
      <c r="H274" s="77">
        <v>65506.0</v>
      </c>
      <c r="I274" s="77">
        <f>35*7</f>
        <v>245</v>
      </c>
      <c r="J274" s="78"/>
      <c r="K274" s="79" t="str">
        <f t="shared" si="1"/>
        <v>#DIV/0!</v>
      </c>
      <c r="L274" s="89" t="s">
        <v>303</v>
      </c>
      <c r="M274" s="85" t="s">
        <v>303</v>
      </c>
      <c r="N274" s="85" t="s">
        <v>303</v>
      </c>
      <c r="O274" s="82" t="s">
        <v>303</v>
      </c>
      <c r="P274" s="82" t="s">
        <v>303</v>
      </c>
      <c r="Q274" s="82" t="s">
        <v>303</v>
      </c>
      <c r="R274" s="78" t="s">
        <v>303</v>
      </c>
      <c r="S274" s="83" t="str">
        <f t="shared" si="153"/>
        <v>#N/A</v>
      </c>
      <c r="T274" s="84" t="s">
        <v>867</v>
      </c>
      <c r="U274" s="83">
        <f t="shared" ref="U274:U275" si="154">806/798</f>
        <v>1.010025063</v>
      </c>
      <c r="V274" s="83">
        <f>65680/65506</f>
        <v>1.002656245</v>
      </c>
      <c r="W274" s="83">
        <f>(65680-65506)/(1500000/845)</f>
        <v>0.09802</v>
      </c>
    </row>
    <row r="275" ht="26.25" customHeight="1">
      <c r="A275" s="72"/>
      <c r="B275" s="73" t="s">
        <v>1103</v>
      </c>
      <c r="C275" s="87" t="s">
        <v>1126</v>
      </c>
      <c r="D275" s="75">
        <v>806.0</v>
      </c>
      <c r="E275" s="75" t="s">
        <v>1128</v>
      </c>
      <c r="F275" s="76" t="s">
        <v>1129</v>
      </c>
      <c r="G275" s="77" t="s">
        <v>658</v>
      </c>
      <c r="H275" s="77">
        <v>806.0</v>
      </c>
      <c r="I275" s="77">
        <v>1.0</v>
      </c>
      <c r="J275" s="78"/>
      <c r="K275" s="79" t="str">
        <f t="shared" si="1"/>
        <v>#DIV/0!</v>
      </c>
      <c r="L275" s="80" t="s">
        <v>658</v>
      </c>
      <c r="M275" s="81">
        <v>35.0</v>
      </c>
      <c r="N275" s="81" t="s">
        <v>659</v>
      </c>
      <c r="O275" s="82">
        <v>81.11639</v>
      </c>
      <c r="P275" s="82">
        <v>69.833729</v>
      </c>
      <c r="Q275" s="82">
        <f>O275-P275</f>
        <v>11.282661</v>
      </c>
      <c r="R275" s="78">
        <f>IFS(L275="S",21494/2048*1.25)</f>
        <v>13.11889648</v>
      </c>
      <c r="S275" s="83">
        <f t="shared" si="153"/>
        <v>62.03300128</v>
      </c>
      <c r="T275" s="84" t="s">
        <v>739</v>
      </c>
      <c r="U275" s="83">
        <f t="shared" si="154"/>
        <v>1.010025063</v>
      </c>
      <c r="V275" s="83" t="str">
        <f>S275/K275</f>
        <v>#DIV/0!</v>
      </c>
      <c r="W275" s="83" t="str">
        <f>(S275-K275)*M275*#REF!*#REF!*J275/(249945/845)</f>
        <v>#DIV/0!</v>
      </c>
    </row>
    <row r="276" ht="26.25" customHeight="1">
      <c r="A276" s="72"/>
      <c r="B276" s="73" t="s">
        <v>1103</v>
      </c>
      <c r="C276" s="87" t="s">
        <v>1130</v>
      </c>
      <c r="D276" s="75">
        <v>487.0</v>
      </c>
      <c r="E276" s="75" t="s">
        <v>1131</v>
      </c>
      <c r="F276" s="76" t="s">
        <v>1132</v>
      </c>
      <c r="G276" s="77" t="s">
        <v>658</v>
      </c>
      <c r="H276" s="77">
        <f>487*70+2445*6</f>
        <v>48760</v>
      </c>
      <c r="I276" s="77">
        <v>70.0</v>
      </c>
      <c r="J276" s="78"/>
      <c r="K276" s="79" t="str">
        <f t="shared" si="1"/>
        <v>#DIV/0!</v>
      </c>
      <c r="L276" s="89" t="s">
        <v>303</v>
      </c>
      <c r="M276" s="85" t="s">
        <v>303</v>
      </c>
      <c r="N276" s="85" t="s">
        <v>303</v>
      </c>
      <c r="O276" s="82" t="s">
        <v>303</v>
      </c>
      <c r="P276" s="82" t="s">
        <v>303</v>
      </c>
      <c r="Q276" s="82" t="s">
        <v>303</v>
      </c>
      <c r="R276" s="78" t="s">
        <v>303</v>
      </c>
      <c r="S276" s="83" t="str">
        <f t="shared" si="153"/>
        <v>#N/A</v>
      </c>
      <c r="T276" s="84" t="s">
        <v>739</v>
      </c>
      <c r="U276" s="83">
        <f t="shared" ref="U276:U277" si="155">(35*487+2445*3)/(35*278+2445*3)</f>
        <v>1.428655142</v>
      </c>
      <c r="V276" s="83">
        <f>46154/45753</f>
        <v>1.008764453</v>
      </c>
      <c r="W276" s="83">
        <f>(46154-45753)/(1500000/845)</f>
        <v>0.2258966667</v>
      </c>
    </row>
    <row r="277" ht="26.25" customHeight="1">
      <c r="A277" s="72"/>
      <c r="B277" s="73" t="s">
        <v>1103</v>
      </c>
      <c r="C277" s="87" t="s">
        <v>1130</v>
      </c>
      <c r="D277" s="76"/>
      <c r="E277" s="76"/>
      <c r="F277" s="76" t="s">
        <v>1133</v>
      </c>
      <c r="G277" s="77" t="s">
        <v>704</v>
      </c>
      <c r="H277" s="77">
        <f>8493*1.5</f>
        <v>12739.5</v>
      </c>
      <c r="I277" s="77">
        <f>35*3</f>
        <v>105</v>
      </c>
      <c r="J277" s="78"/>
      <c r="K277" s="79" t="str">
        <f t="shared" si="1"/>
        <v>#DIV/0!</v>
      </c>
      <c r="L277" s="80" t="s">
        <v>704</v>
      </c>
      <c r="M277" s="81">
        <v>105.0</v>
      </c>
      <c r="N277" s="81" t="s">
        <v>689</v>
      </c>
      <c r="O277" s="82">
        <v>99.526627</v>
      </c>
      <c r="P277" s="82">
        <v>92.662722</v>
      </c>
      <c r="Q277" s="82">
        <f>O277-P277</f>
        <v>6.863905</v>
      </c>
      <c r="R277" s="78">
        <f>1.25*1.22</f>
        <v>1.525</v>
      </c>
      <c r="S277" s="83" t="s">
        <v>1247</v>
      </c>
      <c r="T277" s="84" t="s">
        <v>705</v>
      </c>
      <c r="U277" s="83">
        <f t="shared" si="155"/>
        <v>1.428655142</v>
      </c>
      <c r="V277" s="83" t="str">
        <f>S277/K277</f>
        <v>#DIV/0!</v>
      </c>
      <c r="W277" s="83" t="str">
        <f>(S277-K277)*M277*#REF!*#REF!*J277/(182596/845)</f>
        <v>#DIV/0!</v>
      </c>
    </row>
    <row r="278" ht="26.25" customHeight="1">
      <c r="A278" s="72"/>
      <c r="B278" s="73" t="s">
        <v>1103</v>
      </c>
      <c r="C278" s="87" t="s">
        <v>1134</v>
      </c>
      <c r="D278" s="75">
        <v>409.0</v>
      </c>
      <c r="E278" s="75" t="s">
        <v>1117</v>
      </c>
      <c r="F278" s="76" t="s">
        <v>770</v>
      </c>
      <c r="G278" s="77" t="s">
        <v>658</v>
      </c>
      <c r="H278" s="77">
        <v>409.0</v>
      </c>
      <c r="I278" s="77">
        <v>1.0</v>
      </c>
      <c r="J278" s="78"/>
      <c r="K278" s="79" t="str">
        <f t="shared" si="1"/>
        <v>#DIV/0!</v>
      </c>
      <c r="L278" s="89" t="s">
        <v>303</v>
      </c>
      <c r="M278" s="85" t="s">
        <v>303</v>
      </c>
      <c r="N278" s="85" t="s">
        <v>303</v>
      </c>
      <c r="O278" s="82" t="s">
        <v>303</v>
      </c>
      <c r="P278" s="82" t="s">
        <v>303</v>
      </c>
      <c r="Q278" s="82" t="s">
        <v>303</v>
      </c>
      <c r="R278" s="78" t="s">
        <v>303</v>
      </c>
      <c r="S278" s="83" t="str">
        <f>IFS(N278="B",Q278/M278/100*249945/R278
*U278,N278="C",Q278/M278/100*249945/R278
)</f>
        <v>#N/A</v>
      </c>
      <c r="T278" s="84" t="s">
        <v>739</v>
      </c>
      <c r="U278" s="83">
        <f t="shared" ref="U278:U280" si="156">409/216</f>
        <v>1.893518519</v>
      </c>
      <c r="V278" s="83">
        <f>58580/58560</f>
        <v>1.00034153</v>
      </c>
      <c r="W278" s="83">
        <f>(58580-58560)/(1500000/845)</f>
        <v>0.01126666667</v>
      </c>
    </row>
    <row r="279" ht="26.25" customHeight="1">
      <c r="A279" s="72"/>
      <c r="B279" s="73" t="s">
        <v>1103</v>
      </c>
      <c r="C279" s="87" t="s">
        <v>1134</v>
      </c>
      <c r="D279" s="75">
        <v>409.0</v>
      </c>
      <c r="E279" s="75" t="s">
        <v>1135</v>
      </c>
      <c r="F279" s="76" t="s">
        <v>1136</v>
      </c>
      <c r="G279" s="77" t="s">
        <v>704</v>
      </c>
      <c r="H279" s="77">
        <f>4784*1.5</f>
        <v>7176</v>
      </c>
      <c r="I279" s="77">
        <v>108.0</v>
      </c>
      <c r="J279" s="78"/>
      <c r="K279" s="79" t="str">
        <f t="shared" si="1"/>
        <v>#DIV/0!</v>
      </c>
      <c r="L279" s="80" t="s">
        <v>704</v>
      </c>
      <c r="M279" s="81">
        <v>108.0</v>
      </c>
      <c r="N279" s="79" t="s">
        <v>689</v>
      </c>
      <c r="O279" s="82">
        <v>99.526627</v>
      </c>
      <c r="P279" s="82">
        <v>95.739645</v>
      </c>
      <c r="Q279" s="82">
        <f t="shared" ref="Q279:Q283" si="157">O279-P279</f>
        <v>3.786982</v>
      </c>
      <c r="R279" s="78">
        <f t="shared" ref="R279:R280" si="158">1.25*1.22</f>
        <v>1.525</v>
      </c>
      <c r="S279" s="83" t="s">
        <v>1247</v>
      </c>
      <c r="T279" s="84" t="s">
        <v>705</v>
      </c>
      <c r="U279" s="83">
        <f t="shared" si="156"/>
        <v>1.893518519</v>
      </c>
      <c r="V279" s="83" t="str">
        <f t="shared" ref="V279:V283" si="159">S279/K279</f>
        <v>#DIV/0!</v>
      </c>
      <c r="W279" s="83" t="str">
        <f t="shared" ref="W279:W280" si="160">(S279-K279)*M279*#REF!*#REF!*J279/(182596/845)</f>
        <v>#DIV/0!</v>
      </c>
    </row>
    <row r="280" ht="26.25" customHeight="1">
      <c r="A280" s="72"/>
      <c r="B280" s="73" t="s">
        <v>1103</v>
      </c>
      <c r="C280" s="87" t="s">
        <v>1134</v>
      </c>
      <c r="D280" s="76"/>
      <c r="E280" s="76"/>
      <c r="F280" s="76" t="s">
        <v>1137</v>
      </c>
      <c r="G280" s="77" t="s">
        <v>704</v>
      </c>
      <c r="H280" s="77">
        <f>9271*1.5</f>
        <v>13906.5</v>
      </c>
      <c r="I280" s="77">
        <v>108.0</v>
      </c>
      <c r="J280" s="78"/>
      <c r="K280" s="79" t="str">
        <f t="shared" si="1"/>
        <v>#DIV/0!</v>
      </c>
      <c r="L280" s="80" t="s">
        <v>704</v>
      </c>
      <c r="M280" s="81">
        <v>108.0</v>
      </c>
      <c r="N280" s="81" t="s">
        <v>689</v>
      </c>
      <c r="O280" s="82">
        <v>99.526627</v>
      </c>
      <c r="P280" s="82">
        <v>92.071006</v>
      </c>
      <c r="Q280" s="82">
        <f t="shared" si="157"/>
        <v>7.455621</v>
      </c>
      <c r="R280" s="78">
        <f t="shared" si="158"/>
        <v>1.525</v>
      </c>
      <c r="S280" s="83" t="s">
        <v>1247</v>
      </c>
      <c r="T280" s="84" t="s">
        <v>705</v>
      </c>
      <c r="U280" s="83">
        <f t="shared" si="156"/>
        <v>1.893518519</v>
      </c>
      <c r="V280" s="83" t="str">
        <f t="shared" si="159"/>
        <v>#DIV/0!</v>
      </c>
      <c r="W280" s="83" t="str">
        <f t="shared" si="160"/>
        <v>#DIV/0!</v>
      </c>
    </row>
    <row r="281" ht="26.25" customHeight="1">
      <c r="A281" s="72"/>
      <c r="B281" s="73" t="s">
        <v>1138</v>
      </c>
      <c r="C281" s="87" t="s">
        <v>656</v>
      </c>
      <c r="D281" s="75">
        <v>8523.0</v>
      </c>
      <c r="E281" s="75" t="s">
        <v>892</v>
      </c>
      <c r="F281" s="88"/>
      <c r="G281" s="77" t="s">
        <v>658</v>
      </c>
      <c r="H281" s="77">
        <v>8523.0</v>
      </c>
      <c r="I281" s="77">
        <v>1.0</v>
      </c>
      <c r="J281" s="78"/>
      <c r="K281" s="79" t="str">
        <f t="shared" si="1"/>
        <v>#DIV/0!</v>
      </c>
      <c r="L281" s="80" t="s">
        <v>658</v>
      </c>
      <c r="M281" s="81">
        <v>7.0</v>
      </c>
      <c r="N281" s="81" t="s">
        <v>659</v>
      </c>
      <c r="O281" s="82">
        <v>90.023753</v>
      </c>
      <c r="P281" s="82">
        <v>82.660333</v>
      </c>
      <c r="Q281" s="82">
        <f t="shared" si="157"/>
        <v>7.36342</v>
      </c>
      <c r="R281" s="78">
        <f t="shared" ref="R281:R283" si="161">IFS(L281="S",21494/2048*1.25)</f>
        <v>13.11889648</v>
      </c>
      <c r="S281" s="83">
        <f t="shared" ref="S281:S287" si="162">IFS(N281="B",Q281/M281/100*249945/R281
*U281,N281="C",Q281/M281/100*249945/R281
)</f>
        <v>650.221157</v>
      </c>
      <c r="T281" s="84" t="s">
        <v>660</v>
      </c>
      <c r="U281" s="83">
        <f>8523/2627</f>
        <v>3.24438523</v>
      </c>
      <c r="V281" s="83" t="str">
        <f t="shared" si="159"/>
        <v>#DIV/0!</v>
      </c>
      <c r="W281" s="83" t="str">
        <f t="shared" ref="W281:W283" si="163">(S281-K281)*M281*#REF!*#REF!*J281/(249945/845)</f>
        <v>#DIV/0!</v>
      </c>
    </row>
    <row r="282" ht="26.25" customHeight="1">
      <c r="A282" s="72"/>
      <c r="B282" s="73" t="s">
        <v>1138</v>
      </c>
      <c r="C282" s="87" t="s">
        <v>758</v>
      </c>
      <c r="D282" s="75">
        <v>10429.0</v>
      </c>
      <c r="E282" s="75" t="s">
        <v>1139</v>
      </c>
      <c r="F282" s="88"/>
      <c r="G282" s="77" t="s">
        <v>658</v>
      </c>
      <c r="H282" s="77">
        <v>10429.0</v>
      </c>
      <c r="I282" s="77">
        <v>1.0</v>
      </c>
      <c r="J282" s="78"/>
      <c r="K282" s="79" t="str">
        <f t="shared" si="1"/>
        <v>#DIV/0!</v>
      </c>
      <c r="L282" s="80" t="s">
        <v>658</v>
      </c>
      <c r="M282" s="81">
        <v>8.0</v>
      </c>
      <c r="N282" s="81" t="s">
        <v>659</v>
      </c>
      <c r="O282" s="82">
        <v>90.023753</v>
      </c>
      <c r="P282" s="82">
        <v>80.522565</v>
      </c>
      <c r="Q282" s="82">
        <f t="shared" si="157"/>
        <v>9.501188</v>
      </c>
      <c r="R282" s="78">
        <f t="shared" si="161"/>
        <v>13.11889648</v>
      </c>
      <c r="S282" s="83">
        <f t="shared" si="162"/>
        <v>791.8838321</v>
      </c>
      <c r="T282" s="84" t="s">
        <v>660</v>
      </c>
      <c r="U282" s="83">
        <f t="shared" ref="U282:U283" si="164">10429/2980</f>
        <v>3.49966443</v>
      </c>
      <c r="V282" s="83" t="str">
        <f t="shared" si="159"/>
        <v>#DIV/0!</v>
      </c>
      <c r="W282" s="83" t="str">
        <f t="shared" si="163"/>
        <v>#DIV/0!</v>
      </c>
    </row>
    <row r="283" ht="26.25" customHeight="1">
      <c r="A283" s="72"/>
      <c r="B283" s="73" t="s">
        <v>1138</v>
      </c>
      <c r="C283" s="87" t="s">
        <v>1140</v>
      </c>
      <c r="D283" s="75">
        <v>10429.0</v>
      </c>
      <c r="E283" s="75" t="s">
        <v>1141</v>
      </c>
      <c r="F283" s="76"/>
      <c r="G283" s="77" t="s">
        <v>658</v>
      </c>
      <c r="H283" s="77">
        <v>10429.0</v>
      </c>
      <c r="I283" s="77">
        <v>1.0</v>
      </c>
      <c r="J283" s="78"/>
      <c r="K283" s="79" t="str">
        <f t="shared" si="1"/>
        <v>#DIV/0!</v>
      </c>
      <c r="L283" s="80" t="s">
        <v>658</v>
      </c>
      <c r="M283" s="81">
        <v>5.0</v>
      </c>
      <c r="N283" s="81" t="s">
        <v>689</v>
      </c>
      <c r="O283" s="82">
        <v>90.023753</v>
      </c>
      <c r="P283" s="82">
        <v>69.12114</v>
      </c>
      <c r="Q283" s="82">
        <f t="shared" si="157"/>
        <v>20.902613</v>
      </c>
      <c r="R283" s="78">
        <f t="shared" si="161"/>
        <v>13.11889648</v>
      </c>
      <c r="S283" s="83">
        <f t="shared" si="162"/>
        <v>796.4852246</v>
      </c>
      <c r="T283" s="84" t="s">
        <v>739</v>
      </c>
      <c r="U283" s="83">
        <f t="shared" si="164"/>
        <v>3.49966443</v>
      </c>
      <c r="V283" s="83" t="str">
        <f t="shared" si="159"/>
        <v>#DIV/0!</v>
      </c>
      <c r="W283" s="83" t="str">
        <f t="shared" si="163"/>
        <v>#DIV/0!</v>
      </c>
    </row>
    <row r="284" ht="26.25" customHeight="1">
      <c r="A284" s="72"/>
      <c r="B284" s="73" t="s">
        <v>1138</v>
      </c>
      <c r="C284" s="87" t="s">
        <v>447</v>
      </c>
      <c r="D284" s="75">
        <v>6456.0</v>
      </c>
      <c r="E284" s="75" t="s">
        <v>1142</v>
      </c>
      <c r="F284" s="76" t="s">
        <v>942</v>
      </c>
      <c r="G284" s="77" t="s">
        <v>658</v>
      </c>
      <c r="H284" s="77">
        <f>6456*3+5794+3476</f>
        <v>28638</v>
      </c>
      <c r="I284" s="77">
        <v>3.0</v>
      </c>
      <c r="J284" s="78"/>
      <c r="K284" s="79" t="str">
        <f t="shared" si="1"/>
        <v>#DIV/0!</v>
      </c>
      <c r="L284" s="89" t="s">
        <v>303</v>
      </c>
      <c r="M284" s="85" t="s">
        <v>303</v>
      </c>
      <c r="N284" s="85" t="s">
        <v>303</v>
      </c>
      <c r="O284" s="82" t="s">
        <v>303</v>
      </c>
      <c r="P284" s="82" t="s">
        <v>303</v>
      </c>
      <c r="Q284" s="82" t="s">
        <v>303</v>
      </c>
      <c r="R284" s="78" t="s">
        <v>303</v>
      </c>
      <c r="S284" s="83" t="str">
        <f t="shared" si="162"/>
        <v>#N/A</v>
      </c>
      <c r="T284" s="84" t="s">
        <v>739</v>
      </c>
      <c r="U284" s="83">
        <f>6456/1877</f>
        <v>3.439531167</v>
      </c>
      <c r="V284" s="83">
        <f>79882/77184</f>
        <v>1.034955431</v>
      </c>
      <c r="W284" s="83">
        <f>(79882-77184)/(1500000/845)</f>
        <v>1.519873333</v>
      </c>
    </row>
    <row r="285" ht="26.25" customHeight="1">
      <c r="A285" s="72"/>
      <c r="B285" s="73" t="s">
        <v>1138</v>
      </c>
      <c r="C285" s="87" t="s">
        <v>449</v>
      </c>
      <c r="D285" s="75">
        <v>11623.0</v>
      </c>
      <c r="E285" s="75" t="s">
        <v>1143</v>
      </c>
      <c r="F285" s="76" t="s">
        <v>1144</v>
      </c>
      <c r="G285" s="77" t="s">
        <v>658</v>
      </c>
      <c r="H285" s="77">
        <f>12742*7+1040*5</f>
        <v>94394</v>
      </c>
      <c r="I285" s="77">
        <v>7.0</v>
      </c>
      <c r="J285" s="78"/>
      <c r="K285" s="79" t="str">
        <f t="shared" si="1"/>
        <v>#DIV/0!</v>
      </c>
      <c r="L285" s="80" t="s">
        <v>658</v>
      </c>
      <c r="M285" s="81">
        <v>7.0</v>
      </c>
      <c r="N285" s="79" t="s">
        <v>689</v>
      </c>
      <c r="O285" s="82">
        <v>64.133017</v>
      </c>
      <c r="P285" s="82">
        <v>26.247031</v>
      </c>
      <c r="Q285" s="82">
        <f t="shared" ref="Q285:Q287" si="165">O285-P285</f>
        <v>37.885986</v>
      </c>
      <c r="R285" s="78">
        <f t="shared" ref="R285:R287" si="166">IFS(L285="S",21494/2048*1.25)</f>
        <v>13.11889648</v>
      </c>
      <c r="S285" s="83">
        <f t="shared" si="162"/>
        <v>1031.163905</v>
      </c>
      <c r="T285" s="84" t="s">
        <v>705</v>
      </c>
      <c r="U285" s="79">
        <f t="shared" ref="U285:U286" si="167">7467/2170</f>
        <v>3.441013825</v>
      </c>
      <c r="V285" s="83" t="str">
        <f t="shared" ref="V285:V287" si="168">S285/K285</f>
        <v>#DIV/0!</v>
      </c>
      <c r="W285" s="83" t="str">
        <f t="shared" ref="W285:W287" si="169">(S285-K285)*M285*#REF!*#REF!*J285/(249945/845)</f>
        <v>#DIV/0!</v>
      </c>
    </row>
    <row r="286" ht="26.25" customHeight="1">
      <c r="A286" s="72"/>
      <c r="B286" s="73" t="s">
        <v>1138</v>
      </c>
      <c r="C286" s="87" t="s">
        <v>449</v>
      </c>
      <c r="D286" s="75">
        <v>11623.0</v>
      </c>
      <c r="E286" s="75" t="s">
        <v>1145</v>
      </c>
      <c r="F286" s="76" t="s">
        <v>1146</v>
      </c>
      <c r="G286" s="77" t="s">
        <v>658</v>
      </c>
      <c r="H286" s="77">
        <f>7467+1040</f>
        <v>8507</v>
      </c>
      <c r="I286" s="77">
        <v>1.0</v>
      </c>
      <c r="J286" s="78"/>
      <c r="K286" s="79" t="str">
        <f t="shared" si="1"/>
        <v>#DIV/0!</v>
      </c>
      <c r="L286" s="80" t="s">
        <v>658</v>
      </c>
      <c r="M286" s="81">
        <v>5.0</v>
      </c>
      <c r="N286" s="79" t="s">
        <v>689</v>
      </c>
      <c r="O286" s="82">
        <v>90.023753</v>
      </c>
      <c r="P286" s="82">
        <v>72.921615</v>
      </c>
      <c r="Q286" s="82">
        <f t="shared" si="165"/>
        <v>17.102138</v>
      </c>
      <c r="R286" s="78">
        <f t="shared" si="166"/>
        <v>13.11889648</v>
      </c>
      <c r="S286" s="83">
        <f t="shared" si="162"/>
        <v>651.6697327</v>
      </c>
      <c r="T286" s="84" t="s">
        <v>705</v>
      </c>
      <c r="U286" s="79">
        <f t="shared" si="167"/>
        <v>3.441013825</v>
      </c>
      <c r="V286" s="83" t="str">
        <f t="shared" si="168"/>
        <v>#DIV/0!</v>
      </c>
      <c r="W286" s="83" t="str">
        <f t="shared" si="169"/>
        <v>#DIV/0!</v>
      </c>
    </row>
    <row r="287" ht="26.25" customHeight="1">
      <c r="A287" s="85"/>
      <c r="B287" s="85" t="s">
        <v>1138</v>
      </c>
      <c r="C287" s="74" t="s">
        <v>1147</v>
      </c>
      <c r="D287" s="75">
        <v>28649.0</v>
      </c>
      <c r="E287" s="75" t="s">
        <v>1148</v>
      </c>
      <c r="F287" s="76"/>
      <c r="G287" s="77" t="s">
        <v>658</v>
      </c>
      <c r="H287" s="77">
        <v>28649.0</v>
      </c>
      <c r="I287" s="77">
        <v>1.0</v>
      </c>
      <c r="J287" s="78"/>
      <c r="K287" s="79" t="str">
        <f t="shared" si="1"/>
        <v>#DIV/0!</v>
      </c>
      <c r="L287" s="80" t="s">
        <v>658</v>
      </c>
      <c r="M287" s="81">
        <v>2.0</v>
      </c>
      <c r="N287" s="81" t="s">
        <v>689</v>
      </c>
      <c r="O287" s="82">
        <v>90.023753</v>
      </c>
      <c r="P287" s="82">
        <v>67.102138</v>
      </c>
      <c r="Q287" s="82">
        <f t="shared" si="165"/>
        <v>22.921615</v>
      </c>
      <c r="R287" s="78">
        <f t="shared" si="166"/>
        <v>13.11889648</v>
      </c>
      <c r="S287" s="83">
        <f t="shared" si="162"/>
        <v>2183.546104</v>
      </c>
      <c r="T287" s="84" t="s">
        <v>757</v>
      </c>
      <c r="U287" s="83">
        <f>28649/10400</f>
        <v>2.754711538</v>
      </c>
      <c r="V287" s="83" t="str">
        <f t="shared" si="168"/>
        <v>#DIV/0!</v>
      </c>
      <c r="W287" s="83" t="str">
        <f t="shared" si="169"/>
        <v>#DIV/0!</v>
      </c>
    </row>
    <row r="288" ht="26.25" customHeight="1">
      <c r="A288" s="85" t="s">
        <v>1250</v>
      </c>
      <c r="B288" s="85" t="s">
        <v>1138</v>
      </c>
      <c r="C288" s="74" t="s">
        <v>676</v>
      </c>
      <c r="D288" s="75"/>
      <c r="E288" s="75"/>
      <c r="F288" s="76"/>
      <c r="G288" s="77"/>
      <c r="H288" s="77"/>
      <c r="I288" s="77"/>
      <c r="J288" s="78"/>
      <c r="K288" s="79"/>
      <c r="L288" s="80"/>
      <c r="M288" s="81"/>
      <c r="N288" s="81"/>
      <c r="O288" s="82"/>
      <c r="P288" s="82"/>
      <c r="Q288" s="82"/>
      <c r="R288" s="78"/>
      <c r="S288" s="83"/>
      <c r="T288" s="84"/>
      <c r="U288" s="83"/>
      <c r="V288" s="83"/>
      <c r="W288" s="83"/>
    </row>
    <row r="289" ht="26.25" customHeight="1">
      <c r="A289" s="85"/>
      <c r="B289" s="85" t="s">
        <v>1138</v>
      </c>
      <c r="C289" s="74" t="s">
        <v>1149</v>
      </c>
      <c r="D289" s="75">
        <v>10172.0</v>
      </c>
      <c r="E289" s="75" t="s">
        <v>1150</v>
      </c>
      <c r="F289" s="76"/>
      <c r="G289" s="77" t="s">
        <v>658</v>
      </c>
      <c r="H289" s="77">
        <v>10172.0</v>
      </c>
      <c r="I289" s="77">
        <v>1.0</v>
      </c>
      <c r="J289" s="78"/>
      <c r="K289" s="79" t="str">
        <f t="shared" ref="K289:K350" si="170">H289/I289/J289</f>
        <v>#DIV/0!</v>
      </c>
      <c r="L289" s="80" t="s">
        <v>658</v>
      </c>
      <c r="M289" s="81">
        <v>5.0</v>
      </c>
      <c r="N289" s="81" t="s">
        <v>689</v>
      </c>
      <c r="O289" s="82">
        <v>90.023753</v>
      </c>
      <c r="P289" s="82">
        <v>69.5962</v>
      </c>
      <c r="Q289" s="82">
        <f t="shared" ref="Q289:Q294" si="171">O289-P289</f>
        <v>20.427553</v>
      </c>
      <c r="R289" s="78">
        <f t="shared" ref="R289:R294" si="172">IFS(L289="S",21494/2048*1.25)</f>
        <v>13.11889648</v>
      </c>
      <c r="S289" s="83">
        <f t="shared" ref="S289:S292" si="173">IFS(N289="B",Q289/M289/100*249945/R289
*U289,N289="C",Q289/M289/100*249945/R289
)</f>
        <v>778.3832643</v>
      </c>
      <c r="T289" s="84" t="s">
        <v>663</v>
      </c>
      <c r="U289" s="83">
        <f>10172/2956</f>
        <v>3.441136671</v>
      </c>
      <c r="V289" s="83" t="str">
        <f t="shared" ref="V289:V294" si="174">S289/K289</f>
        <v>#DIV/0!</v>
      </c>
      <c r="W289" s="83" t="str">
        <f t="shared" ref="W289:W294" si="175">(S289-K289)*M289*#REF!*#REF!*J289/(249945/845)</f>
        <v>#DIV/0!</v>
      </c>
    </row>
    <row r="290" ht="26.25" customHeight="1">
      <c r="A290" s="72"/>
      <c r="B290" s="73" t="s">
        <v>1138</v>
      </c>
      <c r="C290" s="74" t="s">
        <v>472</v>
      </c>
      <c r="D290" s="75">
        <v>16097.0</v>
      </c>
      <c r="E290" s="75" t="s">
        <v>1151</v>
      </c>
      <c r="F290" s="75" t="s">
        <v>1152</v>
      </c>
      <c r="G290" s="77" t="s">
        <v>658</v>
      </c>
      <c r="H290" s="77">
        <f>16097+3781+10191</f>
        <v>30069</v>
      </c>
      <c r="I290" s="77">
        <v>1.0</v>
      </c>
      <c r="J290" s="78"/>
      <c r="K290" s="79" t="str">
        <f t="shared" si="170"/>
        <v>#DIV/0!</v>
      </c>
      <c r="L290" s="80" t="s">
        <v>658</v>
      </c>
      <c r="M290" s="81">
        <v>1.0</v>
      </c>
      <c r="N290" s="81" t="s">
        <v>689</v>
      </c>
      <c r="O290" s="82">
        <v>83.610451</v>
      </c>
      <c r="P290" s="82">
        <v>71.615202</v>
      </c>
      <c r="Q290" s="82">
        <f t="shared" si="171"/>
        <v>11.995249</v>
      </c>
      <c r="R290" s="78">
        <f t="shared" si="172"/>
        <v>13.11889648</v>
      </c>
      <c r="S290" s="83">
        <f t="shared" si="173"/>
        <v>2285.36944</v>
      </c>
      <c r="T290" s="84" t="s">
        <v>739</v>
      </c>
      <c r="U290" s="83">
        <f t="shared" ref="U290:U291" si="176">15331/4381</f>
        <v>3.499429354</v>
      </c>
      <c r="V290" s="83" t="str">
        <f t="shared" si="174"/>
        <v>#DIV/0!</v>
      </c>
      <c r="W290" s="83" t="str">
        <f t="shared" si="175"/>
        <v>#DIV/0!</v>
      </c>
    </row>
    <row r="291" ht="26.25" customHeight="1">
      <c r="A291" s="72"/>
      <c r="B291" s="73" t="s">
        <v>1138</v>
      </c>
      <c r="C291" s="74" t="s">
        <v>472</v>
      </c>
      <c r="D291" s="75">
        <v>15331.0</v>
      </c>
      <c r="E291" s="75" t="s">
        <v>1153</v>
      </c>
      <c r="F291" s="76"/>
      <c r="G291" s="77" t="s">
        <v>658</v>
      </c>
      <c r="H291" s="77">
        <v>15331.0</v>
      </c>
      <c r="I291" s="77">
        <v>1.0</v>
      </c>
      <c r="J291" s="78"/>
      <c r="K291" s="79" t="str">
        <f t="shared" si="170"/>
        <v>#DIV/0!</v>
      </c>
      <c r="L291" s="80" t="s">
        <v>658</v>
      </c>
      <c r="M291" s="81">
        <v>5.0</v>
      </c>
      <c r="N291" s="81" t="s">
        <v>689</v>
      </c>
      <c r="O291" s="82">
        <v>90.023753</v>
      </c>
      <c r="P291" s="82">
        <v>59.382423</v>
      </c>
      <c r="Q291" s="82">
        <f t="shared" si="171"/>
        <v>30.64133</v>
      </c>
      <c r="R291" s="78">
        <f t="shared" si="172"/>
        <v>13.11889648</v>
      </c>
      <c r="S291" s="83">
        <f t="shared" si="173"/>
        <v>1167.574915</v>
      </c>
      <c r="T291" s="84" t="s">
        <v>739</v>
      </c>
      <c r="U291" s="83">
        <f t="shared" si="176"/>
        <v>3.499429354</v>
      </c>
      <c r="V291" s="83" t="str">
        <f t="shared" si="174"/>
        <v>#DIV/0!</v>
      </c>
      <c r="W291" s="83" t="str">
        <f t="shared" si="175"/>
        <v>#DIV/0!</v>
      </c>
    </row>
    <row r="292" ht="26.25" customHeight="1">
      <c r="A292" s="72"/>
      <c r="B292" s="73" t="s">
        <v>1138</v>
      </c>
      <c r="C292" s="87" t="s">
        <v>366</v>
      </c>
      <c r="D292" s="75">
        <v>8523.0</v>
      </c>
      <c r="E292" s="75" t="s">
        <v>892</v>
      </c>
      <c r="F292" s="76"/>
      <c r="G292" s="77" t="s">
        <v>658</v>
      </c>
      <c r="H292" s="77">
        <v>8523.0</v>
      </c>
      <c r="I292" s="77">
        <v>1.0</v>
      </c>
      <c r="J292" s="78"/>
      <c r="K292" s="79" t="str">
        <f t="shared" si="170"/>
        <v>#DIV/0!</v>
      </c>
      <c r="L292" s="80" t="s">
        <v>658</v>
      </c>
      <c r="M292" s="81">
        <v>5.0</v>
      </c>
      <c r="N292" s="81" t="s">
        <v>689</v>
      </c>
      <c r="O292" s="82">
        <v>90.023753</v>
      </c>
      <c r="P292" s="82">
        <v>72.921615</v>
      </c>
      <c r="Q292" s="82">
        <f t="shared" si="171"/>
        <v>17.102138</v>
      </c>
      <c r="R292" s="78">
        <f t="shared" si="172"/>
        <v>13.11889648</v>
      </c>
      <c r="S292" s="83">
        <f t="shared" si="173"/>
        <v>651.6697327</v>
      </c>
      <c r="T292" s="84" t="s">
        <v>739</v>
      </c>
      <c r="U292" s="83">
        <f>8523/2627</f>
        <v>3.24438523</v>
      </c>
      <c r="V292" s="83" t="str">
        <f t="shared" si="174"/>
        <v>#DIV/0!</v>
      </c>
      <c r="W292" s="83" t="str">
        <f t="shared" si="175"/>
        <v>#DIV/0!</v>
      </c>
    </row>
    <row r="293" ht="26.25" customHeight="1">
      <c r="A293" s="72"/>
      <c r="B293" s="73" t="s">
        <v>1138</v>
      </c>
      <c r="C293" s="87" t="s">
        <v>366</v>
      </c>
      <c r="D293" s="75">
        <v>38602.0</v>
      </c>
      <c r="E293" s="75" t="s">
        <v>1154</v>
      </c>
      <c r="F293" s="76" t="s">
        <v>1155</v>
      </c>
      <c r="G293" s="77" t="s">
        <v>658</v>
      </c>
      <c r="H293" s="77">
        <v>38602.0</v>
      </c>
      <c r="I293" s="77">
        <v>1.0</v>
      </c>
      <c r="J293" s="78"/>
      <c r="K293" s="79" t="str">
        <f t="shared" si="170"/>
        <v>#DIV/0!</v>
      </c>
      <c r="L293" s="80" t="s">
        <v>658</v>
      </c>
      <c r="M293" s="81">
        <v>2.0</v>
      </c>
      <c r="N293" s="81" t="s">
        <v>689</v>
      </c>
      <c r="O293" s="82">
        <v>90.023753</v>
      </c>
      <c r="P293" s="82">
        <v>51.425178</v>
      </c>
      <c r="Q293" s="82">
        <f t="shared" si="171"/>
        <v>38.598575</v>
      </c>
      <c r="R293" s="78">
        <f t="shared" si="172"/>
        <v>13.11889648</v>
      </c>
      <c r="S293" s="83" t="s">
        <v>1247</v>
      </c>
      <c r="T293" s="84" t="s">
        <v>739</v>
      </c>
      <c r="U293" s="83">
        <f>38602/6685</f>
        <v>5.774420344</v>
      </c>
      <c r="V293" s="83" t="str">
        <f t="shared" si="174"/>
        <v>#DIV/0!</v>
      </c>
      <c r="W293" s="83" t="str">
        <f t="shared" si="175"/>
        <v>#DIV/0!</v>
      </c>
    </row>
    <row r="294" ht="26.25" customHeight="1">
      <c r="A294" s="72"/>
      <c r="B294" s="73" t="s">
        <v>1138</v>
      </c>
      <c r="C294" s="74" t="s">
        <v>1156</v>
      </c>
      <c r="D294" s="75">
        <v>27992.0</v>
      </c>
      <c r="E294" s="75" t="s">
        <v>1157</v>
      </c>
      <c r="F294" s="75" t="s">
        <v>1158</v>
      </c>
      <c r="G294" s="77" t="s">
        <v>658</v>
      </c>
      <c r="H294" s="77">
        <f>27986+27992</f>
        <v>55978</v>
      </c>
      <c r="I294" s="77">
        <v>2.0</v>
      </c>
      <c r="J294" s="78"/>
      <c r="K294" s="79" t="str">
        <f t="shared" si="170"/>
        <v>#DIV/0!</v>
      </c>
      <c r="L294" s="80" t="s">
        <v>658</v>
      </c>
      <c r="M294" s="81">
        <v>2.0</v>
      </c>
      <c r="N294" s="79" t="s">
        <v>689</v>
      </c>
      <c r="O294" s="82">
        <v>33.372922</v>
      </c>
      <c r="P294" s="82">
        <v>11.045131</v>
      </c>
      <c r="Q294" s="82">
        <f t="shared" si="171"/>
        <v>22.327791</v>
      </c>
      <c r="R294" s="78">
        <f t="shared" si="172"/>
        <v>13.11889648</v>
      </c>
      <c r="S294" s="83">
        <f t="shared" ref="S294:S301" si="177">IFS(N294="B",Q294/M294/100*249945/R294
*U294,N294="C",Q294/M294/100*249945/R294
)</f>
        <v>2126.977573</v>
      </c>
      <c r="T294" s="84" t="s">
        <v>705</v>
      </c>
      <c r="U294" s="83">
        <f t="shared" ref="U294:U295" si="178">16251/5899</f>
        <v>2.754873707</v>
      </c>
      <c r="V294" s="83" t="str">
        <f t="shared" si="174"/>
        <v>#DIV/0!</v>
      </c>
      <c r="W294" s="83" t="str">
        <f t="shared" si="175"/>
        <v>#DIV/0!</v>
      </c>
    </row>
    <row r="295" ht="26.25" customHeight="1">
      <c r="A295" s="72"/>
      <c r="B295" s="73" t="s">
        <v>1138</v>
      </c>
      <c r="C295" s="74" t="s">
        <v>1156</v>
      </c>
      <c r="D295" s="75">
        <v>16251.0</v>
      </c>
      <c r="E295" s="75" t="s">
        <v>1159</v>
      </c>
      <c r="F295" s="75" t="s">
        <v>1160</v>
      </c>
      <c r="G295" s="77" t="s">
        <v>658</v>
      </c>
      <c r="H295" s="77">
        <v>16251.0</v>
      </c>
      <c r="I295" s="77">
        <v>1.0</v>
      </c>
      <c r="J295" s="78"/>
      <c r="K295" s="79" t="str">
        <f t="shared" si="170"/>
        <v>#DIV/0!</v>
      </c>
      <c r="L295" s="89" t="s">
        <v>303</v>
      </c>
      <c r="M295" s="85" t="s">
        <v>303</v>
      </c>
      <c r="N295" s="85" t="s">
        <v>303</v>
      </c>
      <c r="O295" s="82" t="s">
        <v>303</v>
      </c>
      <c r="P295" s="82" t="s">
        <v>303</v>
      </c>
      <c r="Q295" s="82" t="s">
        <v>303</v>
      </c>
      <c r="R295" s="78" t="s">
        <v>303</v>
      </c>
      <c r="S295" s="83" t="str">
        <f t="shared" si="177"/>
        <v>#N/A</v>
      </c>
      <c r="T295" s="84" t="s">
        <v>739</v>
      </c>
      <c r="U295" s="83">
        <f t="shared" si="178"/>
        <v>2.754873707</v>
      </c>
      <c r="V295" s="83">
        <f>62130/59607</f>
        <v>1.042327243</v>
      </c>
      <c r="W295" s="83">
        <f>(62130-59607)/(1500000/845)</f>
        <v>1.42129</v>
      </c>
    </row>
    <row r="296" ht="26.25" customHeight="1">
      <c r="A296" s="72"/>
      <c r="B296" s="73" t="s">
        <v>1138</v>
      </c>
      <c r="C296" s="87" t="s">
        <v>692</v>
      </c>
      <c r="D296" s="75">
        <v>6456.0</v>
      </c>
      <c r="E296" s="75" t="s">
        <v>1161</v>
      </c>
      <c r="F296" s="88"/>
      <c r="G296" s="77" t="s">
        <v>658</v>
      </c>
      <c r="H296" s="77">
        <v>6456.0</v>
      </c>
      <c r="I296" s="77">
        <v>1.0</v>
      </c>
      <c r="J296" s="78"/>
      <c r="K296" s="79" t="str">
        <f t="shared" si="170"/>
        <v>#DIV/0!</v>
      </c>
      <c r="L296" s="80" t="s">
        <v>658</v>
      </c>
      <c r="M296" s="81">
        <v>13.0</v>
      </c>
      <c r="N296" s="81" t="s">
        <v>659</v>
      </c>
      <c r="O296" s="82">
        <v>90.023753</v>
      </c>
      <c r="P296" s="82">
        <v>80.285036</v>
      </c>
      <c r="Q296" s="82">
        <f t="shared" ref="Q296:Q301" si="179">O296-P296</f>
        <v>9.738717</v>
      </c>
      <c r="R296" s="78">
        <f t="shared" ref="R296:R297" si="180">IFS(L296="S",21494/2048*1.25)</f>
        <v>13.11889648</v>
      </c>
      <c r="S296" s="83">
        <f t="shared" si="177"/>
        <v>490.9132913</v>
      </c>
      <c r="T296" s="84" t="s">
        <v>660</v>
      </c>
      <c r="U296" s="83">
        <f>6456/1877</f>
        <v>3.439531167</v>
      </c>
      <c r="V296" s="83" t="str">
        <f t="shared" ref="V296:V301" si="181">S296/K296</f>
        <v>#DIV/0!</v>
      </c>
      <c r="W296" s="83" t="str">
        <f t="shared" ref="W296:W301" si="182">(S296-K296)*M296*#REF!*#REF!*J296/(249945/845)</f>
        <v>#DIV/0!</v>
      </c>
    </row>
    <row r="297" ht="26.25" customHeight="1">
      <c r="A297" s="72"/>
      <c r="B297" s="73" t="s">
        <v>1138</v>
      </c>
      <c r="C297" s="87" t="s">
        <v>403</v>
      </c>
      <c r="D297" s="75">
        <v>17314.0</v>
      </c>
      <c r="E297" s="75" t="s">
        <v>1162</v>
      </c>
      <c r="F297" s="76" t="s">
        <v>1163</v>
      </c>
      <c r="G297" s="77" t="s">
        <v>658</v>
      </c>
      <c r="H297" s="77">
        <f>17314+25105+32896</f>
        <v>75315</v>
      </c>
      <c r="I297" s="77">
        <v>1.0</v>
      </c>
      <c r="J297" s="78"/>
      <c r="K297" s="79" t="str">
        <f t="shared" si="170"/>
        <v>#DIV/0!</v>
      </c>
      <c r="L297" s="80" t="s">
        <v>658</v>
      </c>
      <c r="M297" s="81">
        <v>1.0</v>
      </c>
      <c r="N297" s="81" t="s">
        <v>689</v>
      </c>
      <c r="O297" s="82">
        <v>90.023753</v>
      </c>
      <c r="P297" s="82">
        <v>59.857482</v>
      </c>
      <c r="Q297" s="82">
        <f t="shared" si="179"/>
        <v>30.166271</v>
      </c>
      <c r="R297" s="78">
        <f t="shared" si="180"/>
        <v>13.11889648</v>
      </c>
      <c r="S297" s="83">
        <f t="shared" si="177"/>
        <v>5747.364966</v>
      </c>
      <c r="T297" s="84" t="s">
        <v>739</v>
      </c>
      <c r="U297" s="83">
        <f>17314/8615</f>
        <v>2.009750435</v>
      </c>
      <c r="V297" s="83" t="str">
        <f t="shared" si="181"/>
        <v>#DIV/0!</v>
      </c>
      <c r="W297" s="83" t="str">
        <f t="shared" si="182"/>
        <v>#DIV/0!</v>
      </c>
    </row>
    <row r="298" ht="26.25" customHeight="1">
      <c r="A298" s="72"/>
      <c r="B298" s="73" t="s">
        <v>1138</v>
      </c>
      <c r="C298" s="87" t="s">
        <v>403</v>
      </c>
      <c r="D298" s="75">
        <v>90708.0</v>
      </c>
      <c r="E298" s="75" t="s">
        <v>1164</v>
      </c>
      <c r="F298" s="76" t="s">
        <v>1165</v>
      </c>
      <c r="G298" s="77" t="s">
        <v>658</v>
      </c>
      <c r="H298" s="77">
        <v>90708.0</v>
      </c>
      <c r="I298" s="77">
        <v>1.0</v>
      </c>
      <c r="J298" s="78"/>
      <c r="K298" s="79" t="str">
        <f t="shared" si="170"/>
        <v>#DIV/0!</v>
      </c>
      <c r="L298" s="80" t="s">
        <v>658</v>
      </c>
      <c r="M298" s="81">
        <v>1.0</v>
      </c>
      <c r="N298" s="79" t="s">
        <v>689</v>
      </c>
      <c r="O298" s="82">
        <v>90.023753</v>
      </c>
      <c r="P298" s="82">
        <v>53.68171</v>
      </c>
      <c r="Q298" s="82">
        <f t="shared" si="179"/>
        <v>36.342043</v>
      </c>
      <c r="R298" s="78">
        <f>21494/2048</f>
        <v>10.49511719</v>
      </c>
      <c r="S298" s="83">
        <f t="shared" si="177"/>
        <v>8654.988577</v>
      </c>
      <c r="T298" s="84" t="s">
        <v>757</v>
      </c>
      <c r="U298" s="79">
        <f>8963/4460</f>
        <v>2.009641256</v>
      </c>
      <c r="V298" s="83" t="str">
        <f t="shared" si="181"/>
        <v>#DIV/0!</v>
      </c>
      <c r="W298" s="83" t="str">
        <f t="shared" si="182"/>
        <v>#DIV/0!</v>
      </c>
    </row>
    <row r="299" ht="26.25" customHeight="1">
      <c r="A299" s="72"/>
      <c r="B299" s="73" t="s">
        <v>1138</v>
      </c>
      <c r="C299" s="87" t="s">
        <v>403</v>
      </c>
      <c r="D299" s="75">
        <v>8523.0</v>
      </c>
      <c r="E299" s="75" t="s">
        <v>892</v>
      </c>
      <c r="F299" s="76"/>
      <c r="G299" s="77" t="s">
        <v>658</v>
      </c>
      <c r="H299" s="77">
        <v>8523.0</v>
      </c>
      <c r="I299" s="77">
        <v>1.0</v>
      </c>
      <c r="J299" s="78"/>
      <c r="K299" s="79" t="str">
        <f t="shared" si="170"/>
        <v>#DIV/0!</v>
      </c>
      <c r="L299" s="80" t="s">
        <v>658</v>
      </c>
      <c r="M299" s="81">
        <v>6.0</v>
      </c>
      <c r="N299" s="81" t="s">
        <v>689</v>
      </c>
      <c r="O299" s="82">
        <v>90.023753</v>
      </c>
      <c r="P299" s="82">
        <v>69.477435</v>
      </c>
      <c r="Q299" s="82">
        <f t="shared" si="179"/>
        <v>20.546318</v>
      </c>
      <c r="R299" s="78">
        <f t="shared" ref="R299:R301" si="183">IFS(L299="S",21494/2048*1.25)</f>
        <v>13.11889648</v>
      </c>
      <c r="S299" s="83">
        <f t="shared" si="177"/>
        <v>652.423962</v>
      </c>
      <c r="T299" s="84" t="s">
        <v>739</v>
      </c>
      <c r="U299" s="83">
        <f>8523/2627</f>
        <v>3.24438523</v>
      </c>
      <c r="V299" s="83" t="str">
        <f t="shared" si="181"/>
        <v>#DIV/0!</v>
      </c>
      <c r="W299" s="83" t="str">
        <f t="shared" si="182"/>
        <v>#DIV/0!</v>
      </c>
    </row>
    <row r="300" ht="26.25" customHeight="1">
      <c r="A300" s="72"/>
      <c r="B300" s="73" t="s">
        <v>1138</v>
      </c>
      <c r="C300" s="87" t="s">
        <v>620</v>
      </c>
      <c r="D300" s="75">
        <v>18899.0</v>
      </c>
      <c r="E300" s="75" t="s">
        <v>1166</v>
      </c>
      <c r="F300" s="76" t="s">
        <v>1167</v>
      </c>
      <c r="G300" s="77" t="s">
        <v>658</v>
      </c>
      <c r="H300" s="77">
        <v>18899.0</v>
      </c>
      <c r="I300" s="77">
        <v>1.0</v>
      </c>
      <c r="J300" s="78"/>
      <c r="K300" s="79" t="str">
        <f t="shared" si="170"/>
        <v>#DIV/0!</v>
      </c>
      <c r="L300" s="80" t="s">
        <v>658</v>
      </c>
      <c r="M300" s="81">
        <v>3.0</v>
      </c>
      <c r="N300" s="81" t="s">
        <v>689</v>
      </c>
      <c r="O300" s="82">
        <v>90.023753</v>
      </c>
      <c r="P300" s="82">
        <v>67.339667</v>
      </c>
      <c r="Q300" s="82">
        <f t="shared" si="179"/>
        <v>22.684086</v>
      </c>
      <c r="R300" s="78">
        <f t="shared" si="183"/>
        <v>13.11889648</v>
      </c>
      <c r="S300" s="83">
        <f t="shared" si="177"/>
        <v>1440.612499</v>
      </c>
      <c r="T300" s="84" t="s">
        <v>739</v>
      </c>
      <c r="U300" s="79">
        <f>18899/4004</f>
        <v>4.72002997</v>
      </c>
      <c r="V300" s="83" t="str">
        <f t="shared" si="181"/>
        <v>#DIV/0!</v>
      </c>
      <c r="W300" s="83" t="str">
        <f t="shared" si="182"/>
        <v>#DIV/0!</v>
      </c>
    </row>
    <row r="301" ht="26.25" customHeight="1">
      <c r="A301" s="72"/>
      <c r="B301" s="73" t="s">
        <v>1168</v>
      </c>
      <c r="C301" s="87" t="s">
        <v>656</v>
      </c>
      <c r="D301" s="75">
        <v>5767.0</v>
      </c>
      <c r="E301" s="75" t="s">
        <v>1171</v>
      </c>
      <c r="F301" s="76" t="s">
        <v>1172</v>
      </c>
      <c r="G301" s="77" t="s">
        <v>658</v>
      </c>
      <c r="H301" s="77">
        <v>5767.0</v>
      </c>
      <c r="I301" s="77">
        <v>1.0</v>
      </c>
      <c r="J301" s="78"/>
      <c r="K301" s="79" t="str">
        <f t="shared" si="170"/>
        <v>#DIV/0!</v>
      </c>
      <c r="L301" s="80" t="s">
        <v>658</v>
      </c>
      <c r="M301" s="81">
        <v>7.0</v>
      </c>
      <c r="N301" s="81" t="s">
        <v>659</v>
      </c>
      <c r="O301" s="82">
        <v>90.023753</v>
      </c>
      <c r="P301" s="82">
        <v>73.871734</v>
      </c>
      <c r="Q301" s="82">
        <f t="shared" si="179"/>
        <v>16.152019</v>
      </c>
      <c r="R301" s="78">
        <f t="shared" si="183"/>
        <v>13.11889648</v>
      </c>
      <c r="S301" s="83">
        <f t="shared" si="177"/>
        <v>439.6184644</v>
      </c>
      <c r="T301" s="84" t="s">
        <v>660</v>
      </c>
      <c r="U301" s="79">
        <v>1.0</v>
      </c>
      <c r="V301" s="83" t="str">
        <f t="shared" si="181"/>
        <v>#DIV/0!</v>
      </c>
      <c r="W301" s="83" t="str">
        <f t="shared" si="182"/>
        <v>#DIV/0!</v>
      </c>
    </row>
    <row r="302" ht="26.25" customHeight="1">
      <c r="A302" s="72"/>
      <c r="B302" s="73" t="s">
        <v>1168</v>
      </c>
      <c r="C302" s="87" t="s">
        <v>656</v>
      </c>
      <c r="D302" s="75">
        <v>5767.0</v>
      </c>
      <c r="E302" s="75" t="s">
        <v>1169</v>
      </c>
      <c r="F302" s="76" t="s">
        <v>1170</v>
      </c>
      <c r="G302" s="77" t="s">
        <v>658</v>
      </c>
      <c r="H302" s="77">
        <f>5767+3485*4</f>
        <v>19707</v>
      </c>
      <c r="I302" s="77">
        <v>1.0</v>
      </c>
      <c r="J302" s="78"/>
      <c r="K302" s="79" t="str">
        <f t="shared" si="170"/>
        <v>#DIV/0!</v>
      </c>
      <c r="L302" s="89" t="s">
        <v>303</v>
      </c>
      <c r="M302" s="85" t="s">
        <v>303</v>
      </c>
      <c r="N302" s="85" t="s">
        <v>303</v>
      </c>
      <c r="O302" s="82" t="s">
        <v>303</v>
      </c>
      <c r="P302" s="82" t="s">
        <v>303</v>
      </c>
      <c r="Q302" s="82" t="s">
        <v>303</v>
      </c>
      <c r="R302" s="78" t="s">
        <v>303</v>
      </c>
      <c r="S302" s="83" t="s">
        <v>1247</v>
      </c>
      <c r="T302" s="84" t="s">
        <v>660</v>
      </c>
      <c r="U302" s="79">
        <v>1.0</v>
      </c>
      <c r="V302" s="83">
        <f>44379/42160</f>
        <v>1.052632827</v>
      </c>
      <c r="W302" s="83">
        <f>(44379-42160)/(1500000/845)</f>
        <v>1.250036667</v>
      </c>
    </row>
    <row r="303" ht="26.25" customHeight="1">
      <c r="A303" s="72"/>
      <c r="B303" s="73" t="s">
        <v>1168</v>
      </c>
      <c r="C303" s="87" t="s">
        <v>758</v>
      </c>
      <c r="D303" s="75">
        <v>25891.0</v>
      </c>
      <c r="E303" s="76"/>
      <c r="F303" s="76" t="s">
        <v>1170</v>
      </c>
      <c r="G303" s="77" t="s">
        <v>658</v>
      </c>
      <c r="H303" s="77">
        <v>25891.0</v>
      </c>
      <c r="I303" s="77">
        <v>1.0</v>
      </c>
      <c r="J303" s="78"/>
      <c r="K303" s="79" t="str">
        <f t="shared" si="170"/>
        <v>#DIV/0!</v>
      </c>
      <c r="L303" s="80" t="s">
        <v>658</v>
      </c>
      <c r="M303" s="81">
        <v>2.0</v>
      </c>
      <c r="N303" s="81" t="s">
        <v>659</v>
      </c>
      <c r="O303" s="82">
        <v>90.023753</v>
      </c>
      <c r="P303" s="82">
        <v>69.239905</v>
      </c>
      <c r="Q303" s="82">
        <f t="shared" ref="Q303:Q308" si="184">O303-P303</f>
        <v>20.783848</v>
      </c>
      <c r="R303" s="78">
        <f t="shared" ref="R303:R308" si="185">IFS(L303="S",21494/2048*1.25)</f>
        <v>13.11889648</v>
      </c>
      <c r="S303" s="83" t="s">
        <v>1247</v>
      </c>
      <c r="T303" s="84" t="s">
        <v>660</v>
      </c>
      <c r="U303" s="79">
        <v>1.0</v>
      </c>
      <c r="V303" s="83" t="str">
        <f t="shared" ref="V303:V305" si="186">S303/K303</f>
        <v>#DIV/0!</v>
      </c>
      <c r="W303" s="83" t="str">
        <f t="shared" ref="W303:W305" si="187">(S303-K303)*M303*#REF!*#REF!*J303/(249945/845)</f>
        <v>#DIV/0!</v>
      </c>
    </row>
    <row r="304" ht="26.25" customHeight="1">
      <c r="A304" s="72"/>
      <c r="B304" s="73" t="s">
        <v>1168</v>
      </c>
      <c r="C304" s="87" t="s">
        <v>758</v>
      </c>
      <c r="D304" s="75">
        <v>8631.0</v>
      </c>
      <c r="E304" s="75"/>
      <c r="F304" s="76" t="s">
        <v>1172</v>
      </c>
      <c r="G304" s="77" t="s">
        <v>658</v>
      </c>
      <c r="H304" s="77">
        <v>8631.0</v>
      </c>
      <c r="I304" s="77">
        <v>1.0</v>
      </c>
      <c r="J304" s="78"/>
      <c r="K304" s="79" t="str">
        <f t="shared" si="170"/>
        <v>#DIV/0!</v>
      </c>
      <c r="L304" s="80" t="s">
        <v>658</v>
      </c>
      <c r="M304" s="81">
        <v>4.0</v>
      </c>
      <c r="N304" s="81" t="s">
        <v>659</v>
      </c>
      <c r="O304" s="82">
        <v>90.023753</v>
      </c>
      <c r="P304" s="82">
        <v>76.128266</v>
      </c>
      <c r="Q304" s="82">
        <f t="shared" si="184"/>
        <v>13.895487</v>
      </c>
      <c r="R304" s="78">
        <f t="shared" si="185"/>
        <v>13.11889648</v>
      </c>
      <c r="S304" s="83">
        <f t="shared" ref="S304:S305" si="188">IFS(N304="B",Q304/M304/100*249945/R304
*U304,N304="C",Q304/M304/100*249945/R304
)</f>
        <v>661.8520663</v>
      </c>
      <c r="T304" s="84" t="s">
        <v>660</v>
      </c>
      <c r="U304" s="79">
        <v>1.0</v>
      </c>
      <c r="V304" s="83" t="str">
        <f t="shared" si="186"/>
        <v>#DIV/0!</v>
      </c>
      <c r="W304" s="83" t="str">
        <f t="shared" si="187"/>
        <v>#DIV/0!</v>
      </c>
    </row>
    <row r="305" ht="26.25" customHeight="1">
      <c r="A305" s="72"/>
      <c r="B305" s="73" t="s">
        <v>1168</v>
      </c>
      <c r="C305" s="87" t="s">
        <v>330</v>
      </c>
      <c r="D305" s="75">
        <v>6294.0</v>
      </c>
      <c r="E305" s="76"/>
      <c r="F305" s="76" t="s">
        <v>1172</v>
      </c>
      <c r="G305" s="77" t="s">
        <v>658</v>
      </c>
      <c r="H305" s="77">
        <v>6294.0</v>
      </c>
      <c r="I305" s="77">
        <v>1.0</v>
      </c>
      <c r="J305" s="78"/>
      <c r="K305" s="79" t="str">
        <f t="shared" si="170"/>
        <v>#DIV/0!</v>
      </c>
      <c r="L305" s="80" t="s">
        <v>658</v>
      </c>
      <c r="M305" s="81">
        <v>5.0</v>
      </c>
      <c r="N305" s="81" t="s">
        <v>659</v>
      </c>
      <c r="O305" s="82">
        <v>90.023753</v>
      </c>
      <c r="P305" s="82">
        <v>77.315914</v>
      </c>
      <c r="Q305" s="82">
        <f t="shared" si="184"/>
        <v>12.707839</v>
      </c>
      <c r="R305" s="78">
        <f t="shared" si="185"/>
        <v>13.11889648</v>
      </c>
      <c r="S305" s="83">
        <f t="shared" si="188"/>
        <v>484.2268285</v>
      </c>
      <c r="T305" s="84" t="s">
        <v>739</v>
      </c>
      <c r="U305" s="79">
        <v>1.0</v>
      </c>
      <c r="V305" s="83" t="str">
        <f t="shared" si="186"/>
        <v>#DIV/0!</v>
      </c>
      <c r="W305" s="83" t="str">
        <f t="shared" si="187"/>
        <v>#DIV/0!</v>
      </c>
    </row>
    <row r="306" ht="26.25" customHeight="1">
      <c r="A306" s="72"/>
      <c r="B306" s="73" t="s">
        <v>1168</v>
      </c>
      <c r="C306" s="87" t="s">
        <v>330</v>
      </c>
      <c r="D306" s="75">
        <v>6294.0</v>
      </c>
      <c r="E306" s="75" t="s">
        <v>1173</v>
      </c>
      <c r="F306" s="76" t="s">
        <v>1170</v>
      </c>
      <c r="G306" s="77" t="s">
        <v>658</v>
      </c>
      <c r="H306" s="91">
        <f>6294+3803*4</f>
        <v>21506</v>
      </c>
      <c r="I306" s="77">
        <v>1.0</v>
      </c>
      <c r="J306" s="78"/>
      <c r="K306" s="79" t="str">
        <f t="shared" si="170"/>
        <v>#DIV/0!</v>
      </c>
      <c r="L306" s="80" t="s">
        <v>658</v>
      </c>
      <c r="M306" s="81">
        <v>2.0</v>
      </c>
      <c r="N306" s="81" t="s">
        <v>659</v>
      </c>
      <c r="O306" s="82">
        <v>90.023753</v>
      </c>
      <c r="P306" s="82">
        <v>71.140143</v>
      </c>
      <c r="Q306" s="82">
        <f t="shared" si="184"/>
        <v>18.88361</v>
      </c>
      <c r="R306" s="78">
        <f t="shared" si="185"/>
        <v>13.11889648</v>
      </c>
      <c r="S306" s="83" t="s">
        <v>1247</v>
      </c>
      <c r="T306" s="84" t="s">
        <v>739</v>
      </c>
      <c r="U306" s="79">
        <v>1.0</v>
      </c>
      <c r="V306" s="83">
        <f>71006/69000</f>
        <v>1.029072464</v>
      </c>
      <c r="W306" s="83">
        <f>(71006-69000)/(1500000/845)</f>
        <v>1.130046667</v>
      </c>
    </row>
    <row r="307" ht="26.25" customHeight="1">
      <c r="A307" s="72"/>
      <c r="B307" s="73" t="s">
        <v>1168</v>
      </c>
      <c r="C307" s="87" t="s">
        <v>1174</v>
      </c>
      <c r="D307" s="75">
        <v>5395.0</v>
      </c>
      <c r="E307" s="76"/>
      <c r="F307" s="76" t="s">
        <v>1175</v>
      </c>
      <c r="G307" s="77" t="s">
        <v>658</v>
      </c>
      <c r="H307" s="77">
        <v>5395.0</v>
      </c>
      <c r="I307" s="77">
        <v>1.0</v>
      </c>
      <c r="J307" s="78"/>
      <c r="K307" s="79" t="str">
        <f t="shared" si="170"/>
        <v>#DIV/0!</v>
      </c>
      <c r="L307" s="80" t="s">
        <v>658</v>
      </c>
      <c r="M307" s="81">
        <v>5.0</v>
      </c>
      <c r="N307" s="81" t="s">
        <v>659</v>
      </c>
      <c r="O307" s="82">
        <v>90.023753</v>
      </c>
      <c r="P307" s="82">
        <v>79.216152</v>
      </c>
      <c r="Q307" s="82">
        <f t="shared" si="184"/>
        <v>10.807601</v>
      </c>
      <c r="R307" s="78">
        <f t="shared" si="185"/>
        <v>13.11889648</v>
      </c>
      <c r="S307" s="83">
        <f t="shared" ref="S307:S308" si="189">IFS(N307="B",Q307/M307/100*249945/R307
*U307,N307="C",Q307/M307/100*249945/R307
)</f>
        <v>411.8190635</v>
      </c>
      <c r="T307" s="84" t="s">
        <v>739</v>
      </c>
      <c r="U307" s="79">
        <v>1.0</v>
      </c>
      <c r="V307" s="83" t="str">
        <f t="shared" ref="V307:V308" si="190">S307/K307</f>
        <v>#DIV/0!</v>
      </c>
      <c r="W307" s="83" t="str">
        <f t="shared" ref="W307:W308" si="191">(S307-K307)*M307*#REF!*#REF!*J307/(249945/845)</f>
        <v>#DIV/0!</v>
      </c>
    </row>
    <row r="308" ht="26.25" customHeight="1">
      <c r="A308" s="72"/>
      <c r="B308" s="73" t="s">
        <v>1168</v>
      </c>
      <c r="C308" s="87" t="s">
        <v>1174</v>
      </c>
      <c r="D308" s="75">
        <v>8093.0</v>
      </c>
      <c r="E308" s="75" t="s">
        <v>1176</v>
      </c>
      <c r="F308" s="75" t="s">
        <v>1177</v>
      </c>
      <c r="G308" s="77" t="s">
        <v>658</v>
      </c>
      <c r="H308" s="91">
        <f>8093*2</f>
        <v>16186</v>
      </c>
      <c r="I308" s="77">
        <v>1.0</v>
      </c>
      <c r="J308" s="78"/>
      <c r="K308" s="79" t="str">
        <f t="shared" si="170"/>
        <v>#DIV/0!</v>
      </c>
      <c r="L308" s="80" t="s">
        <v>658</v>
      </c>
      <c r="M308" s="81">
        <v>6.0</v>
      </c>
      <c r="N308" s="81" t="s">
        <v>659</v>
      </c>
      <c r="O308" s="82">
        <v>90.023753</v>
      </c>
      <c r="P308" s="82">
        <v>51.068884</v>
      </c>
      <c r="Q308" s="82">
        <f t="shared" si="184"/>
        <v>38.954869</v>
      </c>
      <c r="R308" s="78">
        <f t="shared" si="185"/>
        <v>13.11889648</v>
      </c>
      <c r="S308" s="83">
        <f t="shared" si="189"/>
        <v>1236.965668</v>
      </c>
      <c r="T308" s="84" t="s">
        <v>739</v>
      </c>
      <c r="U308" s="79">
        <v>1.0</v>
      </c>
      <c r="V308" s="83" t="str">
        <f t="shared" si="190"/>
        <v>#DIV/0!</v>
      </c>
      <c r="W308" s="83" t="str">
        <f t="shared" si="191"/>
        <v>#DIV/0!</v>
      </c>
    </row>
    <row r="309" ht="26.25" customHeight="1">
      <c r="A309" s="72"/>
      <c r="B309" s="73" t="s">
        <v>1168</v>
      </c>
      <c r="C309" s="87" t="s">
        <v>1178</v>
      </c>
      <c r="D309" s="75">
        <v>2019.0</v>
      </c>
      <c r="E309" s="75"/>
      <c r="F309" s="76" t="s">
        <v>1170</v>
      </c>
      <c r="G309" s="77" t="s">
        <v>658</v>
      </c>
      <c r="H309" s="77">
        <f>10*2019+348*3+746*3</f>
        <v>23472</v>
      </c>
      <c r="I309" s="77">
        <v>1.0</v>
      </c>
      <c r="J309" s="78"/>
      <c r="K309" s="79" t="str">
        <f t="shared" si="170"/>
        <v>#DIV/0!</v>
      </c>
      <c r="L309" s="89" t="s">
        <v>303</v>
      </c>
      <c r="M309" s="85" t="s">
        <v>303</v>
      </c>
      <c r="N309" s="85" t="s">
        <v>303</v>
      </c>
      <c r="O309" s="82" t="s">
        <v>303</v>
      </c>
      <c r="P309" s="82" t="s">
        <v>303</v>
      </c>
      <c r="Q309" s="82" t="s">
        <v>303</v>
      </c>
      <c r="R309" s="78" t="s">
        <v>303</v>
      </c>
      <c r="S309" s="83" t="s">
        <v>1247</v>
      </c>
      <c r="T309" s="84" t="s">
        <v>660</v>
      </c>
      <c r="U309" s="79">
        <v>1.0</v>
      </c>
      <c r="V309" s="83">
        <f>51479/48600</f>
        <v>1.059238683</v>
      </c>
      <c r="W309" s="83">
        <f>(51479-48600)/(1500000/845)</f>
        <v>1.621836667</v>
      </c>
    </row>
    <row r="310" ht="26.25" customHeight="1">
      <c r="A310" s="72"/>
      <c r="B310" s="73" t="s">
        <v>1168</v>
      </c>
      <c r="C310" s="87" t="s">
        <v>29</v>
      </c>
      <c r="D310" s="97"/>
      <c r="E310" s="97"/>
      <c r="F310" s="98" t="s">
        <v>1251</v>
      </c>
      <c r="G310" s="77" t="s">
        <v>303</v>
      </c>
      <c r="H310" s="91" t="s">
        <v>303</v>
      </c>
      <c r="I310" s="91" t="s">
        <v>303</v>
      </c>
      <c r="J310" s="78"/>
      <c r="K310" s="79" t="str">
        <f t="shared" si="170"/>
        <v>#VALUE!</v>
      </c>
      <c r="L310" s="80" t="s">
        <v>303</v>
      </c>
      <c r="M310" s="81" t="s">
        <v>303</v>
      </c>
      <c r="N310" s="79" t="s">
        <v>303</v>
      </c>
      <c r="O310" s="82" t="s">
        <v>303</v>
      </c>
      <c r="P310" s="82" t="s">
        <v>303</v>
      </c>
      <c r="Q310" s="82" t="s">
        <v>303</v>
      </c>
      <c r="R310" s="78" t="s">
        <v>303</v>
      </c>
      <c r="S310" s="83" t="s">
        <v>1247</v>
      </c>
      <c r="T310" s="84" t="s">
        <v>303</v>
      </c>
      <c r="U310" s="79" t="s">
        <v>303</v>
      </c>
      <c r="V310" s="79" t="s">
        <v>303</v>
      </c>
      <c r="W310" s="79" t="s">
        <v>303</v>
      </c>
    </row>
    <row r="311" ht="26.25" customHeight="1">
      <c r="A311" s="72"/>
      <c r="B311" s="73" t="s">
        <v>1168</v>
      </c>
      <c r="C311" s="87" t="s">
        <v>1180</v>
      </c>
      <c r="D311" s="75">
        <v>6099.0</v>
      </c>
      <c r="E311" s="76"/>
      <c r="F311" s="76" t="s">
        <v>1175</v>
      </c>
      <c r="G311" s="77" t="s">
        <v>658</v>
      </c>
      <c r="H311" s="77">
        <v>6099.0</v>
      </c>
      <c r="I311" s="77">
        <v>1.0</v>
      </c>
      <c r="J311" s="78"/>
      <c r="K311" s="79" t="str">
        <f t="shared" si="170"/>
        <v>#DIV/0!</v>
      </c>
      <c r="L311" s="80" t="s">
        <v>658</v>
      </c>
      <c r="M311" s="81">
        <v>5.0</v>
      </c>
      <c r="N311" s="83" t="s">
        <v>659</v>
      </c>
      <c r="O311" s="82">
        <v>90.023753</v>
      </c>
      <c r="P311" s="82">
        <v>77.790974</v>
      </c>
      <c r="Q311" s="82">
        <f>O311-P311</f>
        <v>12.232779</v>
      </c>
      <c r="R311" s="78">
        <f>IFS(L311="S",21494/2048*1.25)</f>
        <v>13.11889648</v>
      </c>
      <c r="S311" s="83">
        <f>IFS(N311="B",Q311/M311/100*249945/R311
*U311,N311="C",Q311/M311/100*249945/R311
)</f>
        <v>466.1248682</v>
      </c>
      <c r="T311" s="84" t="s">
        <v>705</v>
      </c>
      <c r="U311" s="79">
        <v>1.0</v>
      </c>
      <c r="V311" s="83" t="str">
        <f>S311/K311</f>
        <v>#DIV/0!</v>
      </c>
      <c r="W311" s="83" t="str">
        <f>(S311-K311)*M311*#REF!*#REF!*J311/(249945/845)</f>
        <v>#DIV/0!</v>
      </c>
    </row>
    <row r="312" ht="26.25" customHeight="1">
      <c r="A312" s="72"/>
      <c r="B312" s="73" t="s">
        <v>1168</v>
      </c>
      <c r="C312" s="87" t="s">
        <v>1180</v>
      </c>
      <c r="D312" s="75">
        <v>1269.0</v>
      </c>
      <c r="E312" s="75" t="s">
        <v>1181</v>
      </c>
      <c r="F312" s="76" t="s">
        <v>1182</v>
      </c>
      <c r="G312" s="91" t="s">
        <v>834</v>
      </c>
      <c r="H312" s="77">
        <f>(1104*18+1146*5+1269*2)</f>
        <v>28140</v>
      </c>
      <c r="I312" s="77">
        <v>5.0</v>
      </c>
      <c r="J312" s="95"/>
      <c r="K312" s="79" t="str">
        <f t="shared" si="170"/>
        <v>#DIV/0!</v>
      </c>
      <c r="L312" s="80" t="s">
        <v>303</v>
      </c>
      <c r="M312" s="81" t="s">
        <v>303</v>
      </c>
      <c r="N312" s="79" t="s">
        <v>303</v>
      </c>
      <c r="O312" s="82" t="s">
        <v>303</v>
      </c>
      <c r="P312" s="82" t="s">
        <v>303</v>
      </c>
      <c r="Q312" s="82" t="s">
        <v>303</v>
      </c>
      <c r="R312" s="78" t="s">
        <v>303</v>
      </c>
      <c r="S312" s="83" t="s">
        <v>1247</v>
      </c>
      <c r="T312" s="84" t="s">
        <v>705</v>
      </c>
      <c r="U312" s="79">
        <v>1.0</v>
      </c>
      <c r="V312" s="83">
        <f>92308/91731</f>
        <v>1.006290131</v>
      </c>
      <c r="W312" s="83">
        <f>(92308-91731)/(1500000/845)</f>
        <v>0.3250433333</v>
      </c>
    </row>
    <row r="313" ht="26.25" customHeight="1">
      <c r="A313" s="72"/>
      <c r="B313" s="73" t="s">
        <v>1168</v>
      </c>
      <c r="C313" s="87" t="s">
        <v>740</v>
      </c>
      <c r="D313" s="75">
        <v>10813.0</v>
      </c>
      <c r="E313" s="76"/>
      <c r="F313" s="76" t="s">
        <v>1183</v>
      </c>
      <c r="G313" s="77" t="s">
        <v>658</v>
      </c>
      <c r="H313" s="77">
        <v>10813.0</v>
      </c>
      <c r="I313" s="77">
        <v>1.0</v>
      </c>
      <c r="J313" s="78"/>
      <c r="K313" s="79" t="str">
        <f t="shared" si="170"/>
        <v>#DIV/0!</v>
      </c>
      <c r="L313" s="80" t="s">
        <v>658</v>
      </c>
      <c r="M313" s="81">
        <v>3.0</v>
      </c>
      <c r="N313" s="81" t="s">
        <v>659</v>
      </c>
      <c r="O313" s="82">
        <v>90.023753</v>
      </c>
      <c r="P313" s="82">
        <v>77.078385</v>
      </c>
      <c r="Q313" s="82">
        <f t="shared" ref="Q313:Q320" si="192">O313-P313</f>
        <v>12.945368</v>
      </c>
      <c r="R313" s="78">
        <f t="shared" ref="R313:R315" si="193">IFS(L313="S",21494/2048*1.25)</f>
        <v>13.11889648</v>
      </c>
      <c r="S313" s="83" t="s">
        <v>1247</v>
      </c>
      <c r="T313" s="84" t="s">
        <v>660</v>
      </c>
      <c r="U313" s="79">
        <v>1.0</v>
      </c>
      <c r="V313" s="83" t="str">
        <f t="shared" ref="V313:V320" si="194">S313/K313</f>
        <v>#DIV/0!</v>
      </c>
      <c r="W313" s="83" t="str">
        <f t="shared" ref="W313:W315" si="195">(S313-K313)*M313*#REF!*#REF!*J313/(249945/845)</f>
        <v>#DIV/0!</v>
      </c>
    </row>
    <row r="314" ht="26.25" customHeight="1">
      <c r="A314" s="72"/>
      <c r="B314" s="73" t="s">
        <v>1168</v>
      </c>
      <c r="C314" s="87" t="s">
        <v>740</v>
      </c>
      <c r="D314" s="75">
        <v>17301.0</v>
      </c>
      <c r="E314" s="76"/>
      <c r="F314" s="76" t="s">
        <v>1170</v>
      </c>
      <c r="G314" s="77" t="s">
        <v>658</v>
      </c>
      <c r="H314" s="77">
        <v>17301.0</v>
      </c>
      <c r="I314" s="77">
        <v>1.0</v>
      </c>
      <c r="J314" s="78"/>
      <c r="K314" s="79" t="str">
        <f t="shared" si="170"/>
        <v>#DIV/0!</v>
      </c>
      <c r="L314" s="80" t="s">
        <v>658</v>
      </c>
      <c r="M314" s="81">
        <v>2.0</v>
      </c>
      <c r="N314" s="81" t="s">
        <v>659</v>
      </c>
      <c r="O314" s="82">
        <v>90.023753</v>
      </c>
      <c r="P314" s="82">
        <v>76.128266</v>
      </c>
      <c r="Q314" s="82">
        <f t="shared" si="192"/>
        <v>13.895487</v>
      </c>
      <c r="R314" s="78">
        <f t="shared" si="193"/>
        <v>13.11889648</v>
      </c>
      <c r="S314" s="83" t="s">
        <v>1247</v>
      </c>
      <c r="T314" s="84" t="s">
        <v>660</v>
      </c>
      <c r="U314" s="79">
        <v>1.0</v>
      </c>
      <c r="V314" s="83" t="str">
        <f t="shared" si="194"/>
        <v>#DIV/0!</v>
      </c>
      <c r="W314" s="83" t="str">
        <f t="shared" si="195"/>
        <v>#DIV/0!</v>
      </c>
    </row>
    <row r="315" ht="26.25" customHeight="1">
      <c r="A315" s="72"/>
      <c r="B315" s="73" t="s">
        <v>1168</v>
      </c>
      <c r="C315" s="87" t="s">
        <v>740</v>
      </c>
      <c r="D315" s="75">
        <v>3605.0</v>
      </c>
      <c r="E315" s="76"/>
      <c r="F315" s="76" t="s">
        <v>1184</v>
      </c>
      <c r="G315" s="77" t="s">
        <v>658</v>
      </c>
      <c r="H315" s="77">
        <v>3605.0</v>
      </c>
      <c r="I315" s="77">
        <v>1.0</v>
      </c>
      <c r="J315" s="78"/>
      <c r="K315" s="79" t="str">
        <f t="shared" si="170"/>
        <v>#DIV/0!</v>
      </c>
      <c r="L315" s="80" t="s">
        <v>658</v>
      </c>
      <c r="M315" s="81">
        <v>3.0</v>
      </c>
      <c r="N315" s="81" t="s">
        <v>659</v>
      </c>
      <c r="O315" s="82">
        <v>90.023753</v>
      </c>
      <c r="P315" s="82">
        <v>85.629454</v>
      </c>
      <c r="Q315" s="82">
        <f t="shared" si="192"/>
        <v>4.394299</v>
      </c>
      <c r="R315" s="78">
        <f t="shared" si="193"/>
        <v>13.11889648</v>
      </c>
      <c r="S315" s="83">
        <f t="shared" ref="S315:S316" si="196">IFS(N315="B",Q315/M315/100*249945/R315
*U315,N315="C",Q315/M315/100*249945/R315
)</f>
        <v>279.071507</v>
      </c>
      <c r="T315" s="84" t="s">
        <v>660</v>
      </c>
      <c r="U315" s="79">
        <v>1.0</v>
      </c>
      <c r="V315" s="83" t="str">
        <f t="shared" si="194"/>
        <v>#DIV/0!</v>
      </c>
      <c r="W315" s="83" t="str">
        <f t="shared" si="195"/>
        <v>#DIV/0!</v>
      </c>
    </row>
    <row r="316" ht="26.25" customHeight="1">
      <c r="A316" s="72"/>
      <c r="B316" s="85" t="s">
        <v>1168</v>
      </c>
      <c r="C316" s="74" t="s">
        <v>1185</v>
      </c>
      <c r="D316" s="75">
        <v>1389.0</v>
      </c>
      <c r="E316" s="75"/>
      <c r="F316" s="75" t="s">
        <v>1186</v>
      </c>
      <c r="G316" s="77" t="s">
        <v>689</v>
      </c>
      <c r="H316" s="77">
        <v>1389.0</v>
      </c>
      <c r="I316" s="77">
        <v>1.0</v>
      </c>
      <c r="J316" s="78"/>
      <c r="K316" s="79" t="str">
        <f t="shared" si="170"/>
        <v>#DIV/0!</v>
      </c>
      <c r="L316" s="80" t="s">
        <v>689</v>
      </c>
      <c r="M316" s="81">
        <v>31.0</v>
      </c>
      <c r="N316" s="81" t="s">
        <v>659</v>
      </c>
      <c r="O316" s="82">
        <v>100.0</v>
      </c>
      <c r="P316" s="82">
        <v>97.159763</v>
      </c>
      <c r="Q316" s="82">
        <f t="shared" si="192"/>
        <v>2.840237</v>
      </c>
      <c r="R316" s="78">
        <f t="shared" ref="R316:R320" si="197">2*1.15*1.25</f>
        <v>2.875</v>
      </c>
      <c r="S316" s="83">
        <f t="shared" si="196"/>
        <v>79.65251467</v>
      </c>
      <c r="T316" s="84" t="s">
        <v>713</v>
      </c>
      <c r="U316" s="79">
        <v>1.0</v>
      </c>
      <c r="V316" s="83" t="str">
        <f t="shared" si="194"/>
        <v>#DIV/0!</v>
      </c>
      <c r="W316" s="83" t="str">
        <f t="shared" ref="W316:W320" si="198">(S316-K316)*M316*#REF!*#REF!*J316/(1500000/845)</f>
        <v>#DIV/0!</v>
      </c>
    </row>
    <row r="317" ht="26.25" customHeight="1">
      <c r="A317" s="72"/>
      <c r="B317" s="85" t="s">
        <v>1168</v>
      </c>
      <c r="C317" s="74" t="s">
        <v>1185</v>
      </c>
      <c r="D317" s="75">
        <v>5310.0</v>
      </c>
      <c r="E317" s="75"/>
      <c r="F317" s="75" t="s">
        <v>1187</v>
      </c>
      <c r="G317" s="77" t="s">
        <v>689</v>
      </c>
      <c r="H317" s="77">
        <v>5310.0</v>
      </c>
      <c r="I317" s="77">
        <v>1.0</v>
      </c>
      <c r="J317" s="78"/>
      <c r="K317" s="79" t="str">
        <f t="shared" si="170"/>
        <v>#DIV/0!</v>
      </c>
      <c r="L317" s="80" t="s">
        <v>689</v>
      </c>
      <c r="M317" s="81">
        <v>6.0</v>
      </c>
      <c r="N317" s="81" t="s">
        <v>659</v>
      </c>
      <c r="O317" s="82">
        <v>100.0</v>
      </c>
      <c r="P317" s="82">
        <v>97.869822</v>
      </c>
      <c r="Q317" s="82">
        <f t="shared" si="192"/>
        <v>2.130178</v>
      </c>
      <c r="R317" s="78">
        <f t="shared" si="197"/>
        <v>2.875</v>
      </c>
      <c r="S317" s="83" t="s">
        <v>1247</v>
      </c>
      <c r="T317" s="84" t="s">
        <v>713</v>
      </c>
      <c r="U317" s="79">
        <v>1.0</v>
      </c>
      <c r="V317" s="83" t="str">
        <f t="shared" si="194"/>
        <v>#DIV/0!</v>
      </c>
      <c r="W317" s="83" t="str">
        <f t="shared" si="198"/>
        <v>#DIV/0!</v>
      </c>
    </row>
    <row r="318" ht="26.25" customHeight="1">
      <c r="A318" s="72"/>
      <c r="B318" s="85" t="s">
        <v>1168</v>
      </c>
      <c r="C318" s="74" t="s">
        <v>1185</v>
      </c>
      <c r="D318" s="75">
        <v>2004.0</v>
      </c>
      <c r="E318" s="75" t="s">
        <v>1192</v>
      </c>
      <c r="F318" s="75" t="s">
        <v>1194</v>
      </c>
      <c r="G318" s="77" t="s">
        <v>689</v>
      </c>
      <c r="H318" s="77">
        <v>63228.0</v>
      </c>
      <c r="I318" s="77">
        <v>4.0</v>
      </c>
      <c r="J318" s="78"/>
      <c r="K318" s="79" t="str">
        <f t="shared" si="170"/>
        <v>#DIV/0!</v>
      </c>
      <c r="L318" s="80" t="s">
        <v>689</v>
      </c>
      <c r="M318" s="81">
        <v>4.0</v>
      </c>
      <c r="N318" s="81" t="s">
        <v>659</v>
      </c>
      <c r="O318" s="82">
        <v>100.0</v>
      </c>
      <c r="P318" s="82">
        <v>95.739645</v>
      </c>
      <c r="Q318" s="82">
        <f t="shared" si="192"/>
        <v>4.260355</v>
      </c>
      <c r="R318" s="78">
        <f t="shared" si="197"/>
        <v>2.875</v>
      </c>
      <c r="S318" s="83">
        <f t="shared" ref="S318:S321" si="199">IFS(N318="B",Q318/M318/100*249945/R318
*U318,N318="C",Q318/M318/100*249945/R318
)</f>
        <v>925.9603743</v>
      </c>
      <c r="T318" s="84" t="s">
        <v>713</v>
      </c>
      <c r="U318" s="79">
        <v>1.0</v>
      </c>
      <c r="V318" s="83" t="str">
        <f t="shared" si="194"/>
        <v>#DIV/0!</v>
      </c>
      <c r="W318" s="83" t="str">
        <f t="shared" si="198"/>
        <v>#DIV/0!</v>
      </c>
    </row>
    <row r="319" ht="26.25" customHeight="1">
      <c r="A319" s="72"/>
      <c r="B319" s="85" t="s">
        <v>1168</v>
      </c>
      <c r="C319" s="74" t="s">
        <v>1185</v>
      </c>
      <c r="D319" s="75">
        <v>5310.0</v>
      </c>
      <c r="E319" s="75" t="s">
        <v>1190</v>
      </c>
      <c r="F319" s="75" t="s">
        <v>1191</v>
      </c>
      <c r="G319" s="77" t="s">
        <v>689</v>
      </c>
      <c r="H319" s="77">
        <v>56139.0</v>
      </c>
      <c r="I319" s="77">
        <v>4.0</v>
      </c>
      <c r="J319" s="78"/>
      <c r="K319" s="79" t="str">
        <f t="shared" si="170"/>
        <v>#DIV/0!</v>
      </c>
      <c r="L319" s="80" t="s">
        <v>689</v>
      </c>
      <c r="M319" s="81">
        <v>4.0</v>
      </c>
      <c r="N319" s="81" t="s">
        <v>659</v>
      </c>
      <c r="O319" s="82">
        <v>91.597633</v>
      </c>
      <c r="P319" s="82">
        <v>87.810651</v>
      </c>
      <c r="Q319" s="82">
        <f t="shared" si="192"/>
        <v>3.786982</v>
      </c>
      <c r="R319" s="78">
        <f t="shared" si="197"/>
        <v>2.875</v>
      </c>
      <c r="S319" s="83">
        <f t="shared" si="199"/>
        <v>823.07584</v>
      </c>
      <c r="T319" s="84" t="s">
        <v>713</v>
      </c>
      <c r="U319" s="79">
        <v>1.0</v>
      </c>
      <c r="V319" s="83" t="str">
        <f t="shared" si="194"/>
        <v>#DIV/0!</v>
      </c>
      <c r="W319" s="83" t="str">
        <f t="shared" si="198"/>
        <v>#DIV/0!</v>
      </c>
    </row>
    <row r="320" ht="26.25" customHeight="1">
      <c r="A320" s="72"/>
      <c r="B320" s="85" t="s">
        <v>1168</v>
      </c>
      <c r="C320" s="74" t="s">
        <v>1185</v>
      </c>
      <c r="D320" s="75">
        <v>2004.0</v>
      </c>
      <c r="E320" s="75" t="s">
        <v>1188</v>
      </c>
      <c r="F320" s="75" t="s">
        <v>1189</v>
      </c>
      <c r="G320" s="77" t="s">
        <v>689</v>
      </c>
      <c r="H320" s="77">
        <f>1211*4+2004+1389*3</f>
        <v>11015</v>
      </c>
      <c r="I320" s="77">
        <v>1.0</v>
      </c>
      <c r="J320" s="78"/>
      <c r="K320" s="79" t="str">
        <f t="shared" si="170"/>
        <v>#DIV/0!</v>
      </c>
      <c r="L320" s="80" t="s">
        <v>689</v>
      </c>
      <c r="M320" s="81">
        <v>6.0</v>
      </c>
      <c r="N320" s="81" t="s">
        <v>659</v>
      </c>
      <c r="O320" s="82">
        <v>100.0</v>
      </c>
      <c r="P320" s="82">
        <v>95.502959</v>
      </c>
      <c r="Q320" s="82">
        <f t="shared" si="192"/>
        <v>4.497041</v>
      </c>
      <c r="R320" s="78">
        <f t="shared" si="197"/>
        <v>2.875</v>
      </c>
      <c r="S320" s="83">
        <f t="shared" si="199"/>
        <v>651.6016885</v>
      </c>
      <c r="T320" s="84" t="s">
        <v>713</v>
      </c>
      <c r="U320" s="79">
        <v>1.0</v>
      </c>
      <c r="V320" s="83" t="str">
        <f t="shared" si="194"/>
        <v>#DIV/0!</v>
      </c>
      <c r="W320" s="83" t="str">
        <f t="shared" si="198"/>
        <v>#DIV/0!</v>
      </c>
    </row>
    <row r="321" ht="26.25" customHeight="1">
      <c r="A321" s="72"/>
      <c r="B321" s="85" t="s">
        <v>1168</v>
      </c>
      <c r="C321" s="74" t="s">
        <v>1185</v>
      </c>
      <c r="D321" s="75">
        <v>2004.0</v>
      </c>
      <c r="E321" s="75" t="s">
        <v>1192</v>
      </c>
      <c r="F321" s="75" t="s">
        <v>1193</v>
      </c>
      <c r="G321" s="77" t="s">
        <v>689</v>
      </c>
      <c r="H321" s="77">
        <v>96729.0</v>
      </c>
      <c r="I321" s="77">
        <v>7.0</v>
      </c>
      <c r="J321" s="78"/>
      <c r="K321" s="79" t="str">
        <f t="shared" si="170"/>
        <v>#DIV/0!</v>
      </c>
      <c r="L321" s="80" t="s">
        <v>303</v>
      </c>
      <c r="M321" s="81" t="s">
        <v>303</v>
      </c>
      <c r="N321" s="79" t="s">
        <v>303</v>
      </c>
      <c r="O321" s="82" t="s">
        <v>303</v>
      </c>
      <c r="P321" s="82" t="s">
        <v>303</v>
      </c>
      <c r="Q321" s="82" t="s">
        <v>303</v>
      </c>
      <c r="R321" s="78" t="s">
        <v>303</v>
      </c>
      <c r="S321" s="83" t="str">
        <f t="shared" si="199"/>
        <v>#N/A</v>
      </c>
      <c r="T321" s="84" t="s">
        <v>713</v>
      </c>
      <c r="U321" s="79">
        <v>1.0</v>
      </c>
      <c r="V321" s="83">
        <f>99408/96723</f>
        <v>1.027759685</v>
      </c>
      <c r="W321" s="83">
        <f>(99408-96723)/(1500000/845)</f>
        <v>1.51255</v>
      </c>
    </row>
    <row r="322" ht="26.25" customHeight="1">
      <c r="A322" s="72"/>
      <c r="B322" s="85" t="s">
        <v>1168</v>
      </c>
      <c r="C322" s="74" t="s">
        <v>1185</v>
      </c>
      <c r="D322" s="75">
        <v>2004.0</v>
      </c>
      <c r="E322" s="75" t="s">
        <v>1192</v>
      </c>
      <c r="F322" s="75" t="s">
        <v>1195</v>
      </c>
      <c r="G322" s="77" t="s">
        <v>689</v>
      </c>
      <c r="H322" s="77">
        <v>94406.0</v>
      </c>
      <c r="I322" s="77">
        <v>7.0</v>
      </c>
      <c r="J322" s="78"/>
      <c r="K322" s="79" t="str">
        <f t="shared" si="170"/>
        <v>#DIV/0!</v>
      </c>
      <c r="L322" s="80" t="s">
        <v>689</v>
      </c>
      <c r="M322" s="81">
        <v>7.0</v>
      </c>
      <c r="N322" s="81" t="s">
        <v>659</v>
      </c>
      <c r="O322" s="82">
        <v>100.0</v>
      </c>
      <c r="P322" s="82">
        <v>93.727811</v>
      </c>
      <c r="Q322" s="82">
        <f>O322-P322</f>
        <v>6.272189</v>
      </c>
      <c r="R322" s="78">
        <f>2*1.15*1.25</f>
        <v>2.875</v>
      </c>
      <c r="S322" s="83" t="s">
        <v>1247</v>
      </c>
      <c r="T322" s="84" t="s">
        <v>713</v>
      </c>
      <c r="U322" s="79">
        <v>1.0</v>
      </c>
      <c r="V322" s="83" t="str">
        <f>S322/K322</f>
        <v>#DIV/0!</v>
      </c>
      <c r="W322" s="83" t="str">
        <f>(S322-K322)*M322*#REF!*#REF!*J322/(1500000/845)</f>
        <v>#DIV/0!</v>
      </c>
    </row>
    <row r="323" ht="26.25" customHeight="1">
      <c r="A323" s="72"/>
      <c r="B323" s="73" t="s">
        <v>1168</v>
      </c>
      <c r="C323" s="87" t="s">
        <v>1196</v>
      </c>
      <c r="D323" s="93">
        <v>2536.0</v>
      </c>
      <c r="E323" s="93" t="s">
        <v>1197</v>
      </c>
      <c r="F323" s="76" t="s">
        <v>1198</v>
      </c>
      <c r="G323" s="91" t="s">
        <v>834</v>
      </c>
      <c r="H323" s="77">
        <v>29640.0</v>
      </c>
      <c r="I323" s="77">
        <v>5.0</v>
      </c>
      <c r="J323" s="78"/>
      <c r="K323" s="79" t="str">
        <f t="shared" si="170"/>
        <v>#DIV/0!</v>
      </c>
      <c r="L323" s="80" t="s">
        <v>303</v>
      </c>
      <c r="M323" s="81" t="s">
        <v>303</v>
      </c>
      <c r="N323" s="79" t="s">
        <v>303</v>
      </c>
      <c r="O323" s="82" t="s">
        <v>303</v>
      </c>
      <c r="P323" s="82" t="s">
        <v>303</v>
      </c>
      <c r="Q323" s="82" t="s">
        <v>303</v>
      </c>
      <c r="R323" s="78" t="s">
        <v>303</v>
      </c>
      <c r="S323" s="83" t="str">
        <f t="shared" ref="S323:S324" si="200">IFS(N323="B",Q323/M323/100*249945/R323
*U323,N323="C",Q323/M323/100*249945/R323
)</f>
        <v>#N/A</v>
      </c>
      <c r="T323" s="84" t="s">
        <v>705</v>
      </c>
      <c r="U323" s="79">
        <v>1.0</v>
      </c>
      <c r="V323" s="83">
        <f>71006/71570</f>
        <v>0.9921196032</v>
      </c>
      <c r="W323" s="83">
        <f>(71006-71570)/(1500000/845)</f>
        <v>-0.31772</v>
      </c>
    </row>
    <row r="324" ht="26.25" customHeight="1">
      <c r="A324" s="72"/>
      <c r="B324" s="73" t="s">
        <v>1168</v>
      </c>
      <c r="C324" s="87" t="s">
        <v>1196</v>
      </c>
      <c r="D324" s="75">
        <v>6294.0</v>
      </c>
      <c r="E324" s="76"/>
      <c r="F324" s="76" t="s">
        <v>1175</v>
      </c>
      <c r="G324" s="77" t="s">
        <v>658</v>
      </c>
      <c r="H324" s="77">
        <v>6294.0</v>
      </c>
      <c r="I324" s="77">
        <v>1.0</v>
      </c>
      <c r="J324" s="78"/>
      <c r="K324" s="79" t="str">
        <f t="shared" si="170"/>
        <v>#DIV/0!</v>
      </c>
      <c r="L324" s="80" t="s">
        <v>658</v>
      </c>
      <c r="M324" s="81">
        <v>6.0</v>
      </c>
      <c r="N324" s="81" t="s">
        <v>659</v>
      </c>
      <c r="O324" s="82">
        <v>90.023753</v>
      </c>
      <c r="P324" s="82">
        <v>74.940618</v>
      </c>
      <c r="Q324" s="82">
        <f>O324-P324</f>
        <v>15.083135</v>
      </c>
      <c r="R324" s="78">
        <f>IFS(L324="S",21494/2048*1.25)</f>
        <v>13.11889648</v>
      </c>
      <c r="S324" s="83">
        <f t="shared" si="200"/>
        <v>478.9470646</v>
      </c>
      <c r="T324" s="84" t="s">
        <v>705</v>
      </c>
      <c r="U324" s="79">
        <v>1.0</v>
      </c>
      <c r="V324" s="83" t="str">
        <f>S324/K324</f>
        <v>#DIV/0!</v>
      </c>
      <c r="W324" s="83" t="str">
        <f>(S324-K324)*M324*#REF!*#REF!*J324/(249945/845)</f>
        <v>#DIV/0!</v>
      </c>
    </row>
    <row r="325" ht="26.25" customHeight="1">
      <c r="A325" s="72"/>
      <c r="B325" s="73" t="s">
        <v>1168</v>
      </c>
      <c r="C325" s="87" t="s">
        <v>1196</v>
      </c>
      <c r="D325" s="75">
        <v>6294.0</v>
      </c>
      <c r="E325" s="75" t="s">
        <v>1173</v>
      </c>
      <c r="F325" s="75" t="s">
        <v>1202</v>
      </c>
      <c r="G325" s="77" t="s">
        <v>658</v>
      </c>
      <c r="H325" s="77">
        <f>6294+3803*4</f>
        <v>21506</v>
      </c>
      <c r="I325" s="77">
        <v>1.0</v>
      </c>
      <c r="J325" s="78"/>
      <c r="K325" s="79" t="str">
        <f t="shared" si="170"/>
        <v>#DIV/0!</v>
      </c>
      <c r="L325" s="80" t="s">
        <v>303</v>
      </c>
      <c r="M325" s="81" t="s">
        <v>303</v>
      </c>
      <c r="N325" s="79" t="s">
        <v>303</v>
      </c>
      <c r="O325" s="82" t="s">
        <v>303</v>
      </c>
      <c r="P325" s="82" t="s">
        <v>303</v>
      </c>
      <c r="Q325" s="82" t="s">
        <v>303</v>
      </c>
      <c r="R325" s="78" t="s">
        <v>303</v>
      </c>
      <c r="S325" s="83" t="s">
        <v>1247</v>
      </c>
      <c r="T325" s="84" t="s">
        <v>705</v>
      </c>
      <c r="U325" s="79">
        <v>1.0</v>
      </c>
      <c r="V325" s="83">
        <f>81657/78507</f>
        <v>1.040123811</v>
      </c>
      <c r="W325" s="83">
        <f>(81657-78507)/(1500000/845)</f>
        <v>1.7745</v>
      </c>
    </row>
    <row r="326" ht="26.25" customHeight="1">
      <c r="A326" s="72"/>
      <c r="B326" s="73" t="s">
        <v>1168</v>
      </c>
      <c r="C326" s="87" t="s">
        <v>1196</v>
      </c>
      <c r="D326" s="93">
        <v>2286.0</v>
      </c>
      <c r="E326" s="93" t="s">
        <v>1199</v>
      </c>
      <c r="F326" s="76" t="s">
        <v>1200</v>
      </c>
      <c r="G326" s="91" t="s">
        <v>834</v>
      </c>
      <c r="H326" s="77">
        <v>27936.0</v>
      </c>
      <c r="I326" s="77">
        <v>4.0</v>
      </c>
      <c r="J326" s="78"/>
      <c r="K326" s="79" t="str">
        <f t="shared" si="170"/>
        <v>#DIV/0!</v>
      </c>
      <c r="L326" s="80" t="s">
        <v>834</v>
      </c>
      <c r="M326" s="81">
        <v>4.0</v>
      </c>
      <c r="N326" s="81" t="s">
        <v>659</v>
      </c>
      <c r="O326" s="82">
        <v>100.0</v>
      </c>
      <c r="P326" s="82">
        <v>83.610451</v>
      </c>
      <c r="Q326" s="82">
        <f t="shared" ref="Q326:Q337" si="201">O326-P326</f>
        <v>16.389549</v>
      </c>
      <c r="R326" s="78">
        <f t="shared" ref="R326:R327" si="202">1.25*1.22</f>
        <v>1.525</v>
      </c>
      <c r="S326" s="83" t="s">
        <v>1247</v>
      </c>
      <c r="T326" s="84" t="s">
        <v>705</v>
      </c>
      <c r="U326" s="79">
        <v>1.0</v>
      </c>
      <c r="V326" s="83" t="str">
        <f t="shared" ref="V326:V335" si="203">S326/K326</f>
        <v>#DIV/0!</v>
      </c>
      <c r="W326" s="83" t="str">
        <f t="shared" ref="W326:W329" si="204">(S326-K326)*M326*#REF!*#REF!*J326/(249945/845)</f>
        <v>#DIV/0!</v>
      </c>
    </row>
    <row r="327" ht="26.25" customHeight="1">
      <c r="A327" s="72"/>
      <c r="B327" s="73" t="s">
        <v>1168</v>
      </c>
      <c r="C327" s="87" t="s">
        <v>1196</v>
      </c>
      <c r="D327" s="93">
        <v>2286.0</v>
      </c>
      <c r="E327" s="93" t="s">
        <v>1199</v>
      </c>
      <c r="F327" s="76" t="s">
        <v>1201</v>
      </c>
      <c r="G327" s="91" t="s">
        <v>834</v>
      </c>
      <c r="H327" s="77">
        <v>24978.0</v>
      </c>
      <c r="I327" s="77">
        <v>3.0</v>
      </c>
      <c r="J327" s="78"/>
      <c r="K327" s="79" t="str">
        <f t="shared" si="170"/>
        <v>#DIV/0!</v>
      </c>
      <c r="L327" s="80" t="s">
        <v>834</v>
      </c>
      <c r="M327" s="81">
        <v>3.0</v>
      </c>
      <c r="N327" s="81" t="s">
        <v>659</v>
      </c>
      <c r="O327" s="82">
        <v>100.0</v>
      </c>
      <c r="P327" s="82">
        <v>85.273159</v>
      </c>
      <c r="Q327" s="82">
        <f t="shared" si="201"/>
        <v>14.726841</v>
      </c>
      <c r="R327" s="78">
        <f t="shared" si="202"/>
        <v>1.525</v>
      </c>
      <c r="S327" s="83" t="s">
        <v>1247</v>
      </c>
      <c r="T327" s="84" t="s">
        <v>705</v>
      </c>
      <c r="U327" s="79">
        <v>1.0</v>
      </c>
      <c r="V327" s="83" t="str">
        <f t="shared" si="203"/>
        <v>#DIV/0!</v>
      </c>
      <c r="W327" s="83" t="str">
        <f t="shared" si="204"/>
        <v>#DIV/0!</v>
      </c>
    </row>
    <row r="328" ht="26.25" customHeight="1">
      <c r="A328" s="73"/>
      <c r="B328" s="73" t="s">
        <v>1168</v>
      </c>
      <c r="C328" s="87" t="s">
        <v>1203</v>
      </c>
      <c r="D328" s="75">
        <v>3605.0</v>
      </c>
      <c r="E328" s="76"/>
      <c r="F328" s="76" t="s">
        <v>1170</v>
      </c>
      <c r="G328" s="77" t="s">
        <v>658</v>
      </c>
      <c r="H328" s="77">
        <f>6*3605</f>
        <v>21630</v>
      </c>
      <c r="I328" s="77">
        <v>1.0</v>
      </c>
      <c r="J328" s="78"/>
      <c r="K328" s="79" t="str">
        <f t="shared" si="170"/>
        <v>#DIV/0!</v>
      </c>
      <c r="L328" s="80" t="s">
        <v>658</v>
      </c>
      <c r="M328" s="81">
        <v>2.0</v>
      </c>
      <c r="N328" s="81" t="s">
        <v>659</v>
      </c>
      <c r="O328" s="82">
        <v>84.204276</v>
      </c>
      <c r="P328" s="82">
        <v>66.864608</v>
      </c>
      <c r="Q328" s="82">
        <f t="shared" si="201"/>
        <v>17.339668</v>
      </c>
      <c r="R328" s="78">
        <f>IFS(L328="S",21494/2048*1.25)</f>
        <v>13.11889648</v>
      </c>
      <c r="S328" s="83" t="s">
        <v>1247</v>
      </c>
      <c r="T328" s="84" t="s">
        <v>660</v>
      </c>
      <c r="U328" s="79">
        <v>1.0</v>
      </c>
      <c r="V328" s="83" t="str">
        <f t="shared" si="203"/>
        <v>#DIV/0!</v>
      </c>
      <c r="W328" s="83" t="str">
        <f t="shared" si="204"/>
        <v>#DIV/0!</v>
      </c>
    </row>
    <row r="329" ht="26.25" customHeight="1">
      <c r="A329" s="72"/>
      <c r="B329" s="73" t="s">
        <v>1168</v>
      </c>
      <c r="C329" s="87" t="s">
        <v>1204</v>
      </c>
      <c r="D329" s="76">
        <v>8286.0</v>
      </c>
      <c r="E329" s="76" t="s">
        <v>1205</v>
      </c>
      <c r="F329" s="76" t="s">
        <v>1206</v>
      </c>
      <c r="G329" s="77" t="s">
        <v>834</v>
      </c>
      <c r="H329" s="77">
        <v>15990.0</v>
      </c>
      <c r="I329" s="77">
        <v>5.0</v>
      </c>
      <c r="J329" s="78"/>
      <c r="K329" s="79" t="str">
        <f t="shared" si="170"/>
        <v>#DIV/0!</v>
      </c>
      <c r="L329" s="80" t="s">
        <v>834</v>
      </c>
      <c r="M329" s="81">
        <v>5.0</v>
      </c>
      <c r="N329" s="81" t="s">
        <v>659</v>
      </c>
      <c r="O329" s="82">
        <v>100.0</v>
      </c>
      <c r="P329" s="82">
        <v>90.498812</v>
      </c>
      <c r="Q329" s="82">
        <f t="shared" si="201"/>
        <v>9.501188</v>
      </c>
      <c r="R329" s="78">
        <f>1.25*1.22</f>
        <v>1.525</v>
      </c>
      <c r="S329" s="83" t="s">
        <v>1247</v>
      </c>
      <c r="T329" s="84" t="s">
        <v>705</v>
      </c>
      <c r="U329" s="79">
        <v>1.0</v>
      </c>
      <c r="V329" s="83" t="str">
        <f t="shared" si="203"/>
        <v>#DIV/0!</v>
      </c>
      <c r="W329" s="83" t="str">
        <f t="shared" si="204"/>
        <v>#DIV/0!</v>
      </c>
    </row>
    <row r="330" ht="26.25" customHeight="1">
      <c r="A330" s="72"/>
      <c r="B330" s="73" t="s">
        <v>1168</v>
      </c>
      <c r="C330" s="74" t="s">
        <v>1207</v>
      </c>
      <c r="D330" s="75">
        <v>1997.0</v>
      </c>
      <c r="E330" s="75"/>
      <c r="F330" s="75" t="s">
        <v>1210</v>
      </c>
      <c r="G330" s="77" t="s">
        <v>689</v>
      </c>
      <c r="H330" s="77">
        <v>1997.0</v>
      </c>
      <c r="I330" s="77">
        <v>1.0</v>
      </c>
      <c r="J330" s="78"/>
      <c r="K330" s="79" t="str">
        <f t="shared" si="170"/>
        <v>#DIV/0!</v>
      </c>
      <c r="L330" s="80" t="s">
        <v>689</v>
      </c>
      <c r="M330" s="81">
        <v>37.0</v>
      </c>
      <c r="N330" s="81" t="s">
        <v>659</v>
      </c>
      <c r="O330" s="82">
        <v>97.04142</v>
      </c>
      <c r="P330" s="82">
        <v>92.071006</v>
      </c>
      <c r="Q330" s="82">
        <f t="shared" si="201"/>
        <v>4.970414</v>
      </c>
      <c r="R330" s="78">
        <f t="shared" ref="R330:R333" si="205">2*1.15*1.25*1.25*1.1</f>
        <v>3.953125</v>
      </c>
      <c r="S330" s="83">
        <f>IFS(N330="B",Q330/M330/100*249945/R330
*U330,N330="C",Q330/M330/100*249945/R330
)</f>
        <v>84.9365753</v>
      </c>
      <c r="T330" s="84" t="s">
        <v>757</v>
      </c>
      <c r="U330" s="79">
        <v>1.0</v>
      </c>
      <c r="V330" s="83" t="str">
        <f t="shared" si="203"/>
        <v>#DIV/0!</v>
      </c>
      <c r="W330" s="83" t="str">
        <f t="shared" ref="W330:W334" si="206">(S330-K330)*M330*#REF!*#REF!*J330/(1500000/845)</f>
        <v>#DIV/0!</v>
      </c>
    </row>
    <row r="331" ht="26.25" customHeight="1">
      <c r="A331" s="72"/>
      <c r="B331" s="73" t="s">
        <v>1168</v>
      </c>
      <c r="C331" s="74" t="s">
        <v>1207</v>
      </c>
      <c r="D331" s="75">
        <v>3277.0</v>
      </c>
      <c r="E331" s="75" t="s">
        <v>1211</v>
      </c>
      <c r="F331" s="75" t="s">
        <v>1213</v>
      </c>
      <c r="G331" s="77" t="s">
        <v>689</v>
      </c>
      <c r="H331" s="77">
        <v>110480.0</v>
      </c>
      <c r="I331" s="77">
        <v>1.0</v>
      </c>
      <c r="J331" s="78"/>
      <c r="K331" s="79" t="str">
        <f t="shared" si="170"/>
        <v>#DIV/0!</v>
      </c>
      <c r="L331" s="80" t="s">
        <v>689</v>
      </c>
      <c r="M331" s="81">
        <v>1.0</v>
      </c>
      <c r="N331" s="81" t="s">
        <v>659</v>
      </c>
      <c r="O331" s="82">
        <v>91.83432</v>
      </c>
      <c r="P331" s="82">
        <v>84.497041</v>
      </c>
      <c r="Q331" s="82">
        <f t="shared" si="201"/>
        <v>7.337279</v>
      </c>
      <c r="R331" s="78">
        <f t="shared" si="205"/>
        <v>3.953125</v>
      </c>
      <c r="S331" s="83" t="s">
        <v>1247</v>
      </c>
      <c r="T331" s="84" t="s">
        <v>757</v>
      </c>
      <c r="U331" s="79">
        <v>1.0</v>
      </c>
      <c r="V331" s="83" t="str">
        <f t="shared" si="203"/>
        <v>#DIV/0!</v>
      </c>
      <c r="W331" s="83" t="str">
        <f t="shared" si="206"/>
        <v>#DIV/0!</v>
      </c>
    </row>
    <row r="332" ht="26.25" customHeight="1">
      <c r="A332" s="72"/>
      <c r="B332" s="73" t="s">
        <v>1168</v>
      </c>
      <c r="C332" s="74" t="s">
        <v>1207</v>
      </c>
      <c r="D332" s="75">
        <v>3277.0</v>
      </c>
      <c r="E332" s="75" t="s">
        <v>1211</v>
      </c>
      <c r="F332" s="75" t="s">
        <v>1212</v>
      </c>
      <c r="G332" s="77" t="s">
        <v>689</v>
      </c>
      <c r="H332" s="77">
        <v>120690.0</v>
      </c>
      <c r="I332" s="77">
        <v>1.0</v>
      </c>
      <c r="J332" s="78"/>
      <c r="K332" s="79" t="str">
        <f t="shared" si="170"/>
        <v>#DIV/0!</v>
      </c>
      <c r="L332" s="80" t="s">
        <v>689</v>
      </c>
      <c r="M332" s="81">
        <v>1.0</v>
      </c>
      <c r="N332" s="81" t="s">
        <v>659</v>
      </c>
      <c r="O332" s="82">
        <v>94.319527</v>
      </c>
      <c r="P332" s="82">
        <v>86.272189</v>
      </c>
      <c r="Q332" s="82">
        <f t="shared" si="201"/>
        <v>8.047338</v>
      </c>
      <c r="R332" s="78">
        <f t="shared" si="205"/>
        <v>3.953125</v>
      </c>
      <c r="S332" s="83" t="s">
        <v>1247</v>
      </c>
      <c r="T332" s="84" t="s">
        <v>757</v>
      </c>
      <c r="U332" s="79">
        <v>1.0</v>
      </c>
      <c r="V332" s="83" t="str">
        <f t="shared" si="203"/>
        <v>#DIV/0!</v>
      </c>
      <c r="W332" s="83" t="str">
        <f t="shared" si="206"/>
        <v>#DIV/0!</v>
      </c>
    </row>
    <row r="333" ht="26.25" customHeight="1">
      <c r="A333" s="72"/>
      <c r="B333" s="73" t="s">
        <v>1168</v>
      </c>
      <c r="C333" s="74" t="s">
        <v>1207</v>
      </c>
      <c r="D333" s="75">
        <v>1997.0</v>
      </c>
      <c r="E333" s="75" t="s">
        <v>1208</v>
      </c>
      <c r="F333" s="75" t="s">
        <v>1209</v>
      </c>
      <c r="G333" s="77" t="s">
        <v>689</v>
      </c>
      <c r="H333" s="77">
        <v>48696.0</v>
      </c>
      <c r="I333" s="77">
        <v>21.0</v>
      </c>
      <c r="J333" s="78"/>
      <c r="K333" s="79" t="str">
        <f t="shared" si="170"/>
        <v>#DIV/0!</v>
      </c>
      <c r="L333" s="80" t="s">
        <v>689</v>
      </c>
      <c r="M333" s="81">
        <v>21.0</v>
      </c>
      <c r="N333" s="81" t="s">
        <v>659</v>
      </c>
      <c r="O333" s="82">
        <v>97.633136</v>
      </c>
      <c r="P333" s="82">
        <v>94.319527</v>
      </c>
      <c r="Q333" s="82">
        <f t="shared" si="201"/>
        <v>3.313609</v>
      </c>
      <c r="R333" s="78">
        <f t="shared" si="205"/>
        <v>3.953125</v>
      </c>
      <c r="S333" s="83" t="s">
        <v>1247</v>
      </c>
      <c r="T333" s="84" t="s">
        <v>757</v>
      </c>
      <c r="U333" s="79">
        <v>1.0</v>
      </c>
      <c r="V333" s="83" t="str">
        <f t="shared" si="203"/>
        <v>#DIV/0!</v>
      </c>
      <c r="W333" s="83" t="str">
        <f t="shared" si="206"/>
        <v>#DIV/0!</v>
      </c>
    </row>
    <row r="334" ht="26.25" customHeight="1">
      <c r="A334" s="72"/>
      <c r="B334" s="73" t="s">
        <v>1168</v>
      </c>
      <c r="C334" s="87" t="s">
        <v>1214</v>
      </c>
      <c r="D334" s="75">
        <v>585.0</v>
      </c>
      <c r="E334" s="76"/>
      <c r="F334" s="76" t="s">
        <v>1216</v>
      </c>
      <c r="G334" s="77" t="s">
        <v>689</v>
      </c>
      <c r="H334" s="77">
        <v>45948.0</v>
      </c>
      <c r="I334" s="77">
        <v>4.0</v>
      </c>
      <c r="J334" s="78"/>
      <c r="K334" s="79" t="str">
        <f t="shared" si="170"/>
        <v>#DIV/0!</v>
      </c>
      <c r="L334" s="80" t="s">
        <v>689</v>
      </c>
      <c r="M334" s="81">
        <v>4.0</v>
      </c>
      <c r="N334" s="81" t="s">
        <v>659</v>
      </c>
      <c r="O334" s="82">
        <v>100.0</v>
      </c>
      <c r="P334" s="82">
        <v>96.568047</v>
      </c>
      <c r="Q334" s="82">
        <f t="shared" si="201"/>
        <v>3.431953</v>
      </c>
      <c r="R334" s="78">
        <f>1.15*2*1.22*1.25</f>
        <v>3.5075</v>
      </c>
      <c r="S334" s="83" t="s">
        <v>1247</v>
      </c>
      <c r="T334" s="84" t="s">
        <v>867</v>
      </c>
      <c r="U334" s="79">
        <v>1.0</v>
      </c>
      <c r="V334" s="83" t="str">
        <f t="shared" si="203"/>
        <v>#DIV/0!</v>
      </c>
      <c r="W334" s="83" t="str">
        <f t="shared" si="206"/>
        <v>#DIV/0!</v>
      </c>
    </row>
    <row r="335" ht="26.25" customHeight="1">
      <c r="A335" s="72"/>
      <c r="B335" s="73" t="s">
        <v>1168</v>
      </c>
      <c r="C335" s="87" t="s">
        <v>1214</v>
      </c>
      <c r="D335" s="75">
        <v>5930.0</v>
      </c>
      <c r="E335" s="76"/>
      <c r="F335" s="76" t="s">
        <v>1175</v>
      </c>
      <c r="G335" s="77" t="s">
        <v>658</v>
      </c>
      <c r="H335" s="77">
        <v>5930.0</v>
      </c>
      <c r="I335" s="77">
        <v>1.0</v>
      </c>
      <c r="J335" s="78"/>
      <c r="K335" s="79" t="str">
        <f t="shared" si="170"/>
        <v>#DIV/0!</v>
      </c>
      <c r="L335" s="80" t="s">
        <v>658</v>
      </c>
      <c r="M335" s="81">
        <v>5.0</v>
      </c>
      <c r="N335" s="81" t="s">
        <v>659</v>
      </c>
      <c r="O335" s="82">
        <v>90.023753</v>
      </c>
      <c r="P335" s="82">
        <v>78.147268</v>
      </c>
      <c r="Q335" s="82">
        <f t="shared" si="201"/>
        <v>11.876485</v>
      </c>
      <c r="R335" s="78">
        <f t="shared" ref="R335:R337" si="207">IFS(L335="S",21494/2048*1.25)</f>
        <v>13.11889648</v>
      </c>
      <c r="S335" s="83">
        <f>IFS(N335="B",Q335/M335/100*249945/R335
*U335,N335="C",Q335/M335/100*249945/R335
)</f>
        <v>452.548436</v>
      </c>
      <c r="T335" s="84" t="s">
        <v>705</v>
      </c>
      <c r="U335" s="79">
        <v>1.0</v>
      </c>
      <c r="V335" s="83" t="str">
        <f t="shared" si="203"/>
        <v>#DIV/0!</v>
      </c>
      <c r="W335" s="83" t="str">
        <f>(S335-K335)*M335*#REF!*#REF!*J335/(249945/845)</f>
        <v>#DIV/0!</v>
      </c>
    </row>
    <row r="336" ht="26.25" customHeight="1">
      <c r="A336" s="72"/>
      <c r="B336" s="73" t="s">
        <v>1168</v>
      </c>
      <c r="C336" s="87" t="s">
        <v>1214</v>
      </c>
      <c r="D336" s="75">
        <v>5930.0</v>
      </c>
      <c r="E336" s="75" t="s">
        <v>1215</v>
      </c>
      <c r="F336" s="75" t="s">
        <v>1202</v>
      </c>
      <c r="G336" s="77" t="s">
        <v>658</v>
      </c>
      <c r="H336" s="77">
        <f>5930+3583*4</f>
        <v>20262</v>
      </c>
      <c r="I336" s="77">
        <v>1.0</v>
      </c>
      <c r="J336" s="78"/>
      <c r="K336" s="79" t="str">
        <f t="shared" si="170"/>
        <v>#DIV/0!</v>
      </c>
      <c r="L336" s="80" t="s">
        <v>658</v>
      </c>
      <c r="M336" s="81">
        <v>2.0</v>
      </c>
      <c r="N336" s="81" t="s">
        <v>659</v>
      </c>
      <c r="O336" s="82">
        <v>90.023753</v>
      </c>
      <c r="P336" s="82">
        <v>70.902613</v>
      </c>
      <c r="Q336" s="82">
        <f t="shared" si="201"/>
        <v>19.12114</v>
      </c>
      <c r="R336" s="78">
        <f t="shared" si="207"/>
        <v>13.11889648</v>
      </c>
      <c r="S336" s="83" t="s">
        <v>1247</v>
      </c>
      <c r="T336" s="84" t="s">
        <v>705</v>
      </c>
      <c r="U336" s="79">
        <v>1.0</v>
      </c>
      <c r="V336" s="83">
        <f>42604/41400</f>
        <v>1.029082126</v>
      </c>
      <c r="W336" s="83">
        <f>(42604-41400)/(1500000/845)</f>
        <v>0.6782533333</v>
      </c>
    </row>
    <row r="337" ht="26.25" customHeight="1">
      <c r="A337" s="72"/>
      <c r="B337" s="73" t="s">
        <v>1217</v>
      </c>
      <c r="C337" s="87" t="s">
        <v>656</v>
      </c>
      <c r="D337" s="75">
        <v>411.0</v>
      </c>
      <c r="E337" s="75" t="s">
        <v>1218</v>
      </c>
      <c r="F337" s="76"/>
      <c r="G337" s="77" t="s">
        <v>658</v>
      </c>
      <c r="H337" s="77">
        <v>411.0</v>
      </c>
      <c r="I337" s="77">
        <v>1.0</v>
      </c>
      <c r="J337" s="78"/>
      <c r="K337" s="79" t="str">
        <f t="shared" si="170"/>
        <v>#DIV/0!</v>
      </c>
      <c r="L337" s="80" t="s">
        <v>658</v>
      </c>
      <c r="M337" s="92">
        <v>78.0</v>
      </c>
      <c r="N337" s="81" t="s">
        <v>659</v>
      </c>
      <c r="O337" s="82">
        <v>90.023753</v>
      </c>
      <c r="P337" s="82">
        <v>80.522565</v>
      </c>
      <c r="Q337" s="82">
        <f t="shared" si="201"/>
        <v>9.501188</v>
      </c>
      <c r="R337" s="78">
        <f t="shared" si="207"/>
        <v>13.11889648</v>
      </c>
      <c r="S337" s="83">
        <f t="shared" ref="S337:S350" si="208">IFS(N337="B",Q337/M337/100*249945/R337
*U337,N337="C",Q337/M337/100*249945/R337
)</f>
        <v>31.17100842</v>
      </c>
      <c r="T337" s="84" t="s">
        <v>660</v>
      </c>
      <c r="U337" s="83">
        <f>411/306</f>
        <v>1.343137255</v>
      </c>
      <c r="V337" s="83" t="str">
        <f>S337/K337</f>
        <v>#DIV/0!</v>
      </c>
      <c r="W337" s="83" t="str">
        <f>(S337-K337)*M337*#REF!*#REF!*J337/(249945/845)</f>
        <v>#DIV/0!</v>
      </c>
    </row>
    <row r="338" ht="26.25" customHeight="1">
      <c r="A338" s="72"/>
      <c r="B338" s="73" t="s">
        <v>1217</v>
      </c>
      <c r="C338" s="87" t="s">
        <v>531</v>
      </c>
      <c r="D338" s="76"/>
      <c r="E338" s="76"/>
      <c r="F338" s="76" t="s">
        <v>1219</v>
      </c>
      <c r="G338" s="91" t="s">
        <v>704</v>
      </c>
      <c r="H338" s="77">
        <f>18930*1.5</f>
        <v>28395</v>
      </c>
      <c r="I338" s="77">
        <v>194.0</v>
      </c>
      <c r="J338" s="78"/>
      <c r="K338" s="79" t="str">
        <f t="shared" si="170"/>
        <v>#DIV/0!</v>
      </c>
      <c r="L338" s="80" t="s">
        <v>303</v>
      </c>
      <c r="M338" s="81" t="s">
        <v>303</v>
      </c>
      <c r="N338" s="79" t="s">
        <v>303</v>
      </c>
      <c r="O338" s="82" t="s">
        <v>303</v>
      </c>
      <c r="P338" s="82" t="s">
        <v>303</v>
      </c>
      <c r="Q338" s="82" t="s">
        <v>303</v>
      </c>
      <c r="R338" s="78" t="s">
        <v>303</v>
      </c>
      <c r="S338" s="83" t="str">
        <f t="shared" si="208"/>
        <v>#N/A</v>
      </c>
      <c r="T338" s="84" t="s">
        <v>705</v>
      </c>
      <c r="U338" s="83">
        <f t="shared" ref="U338:U339" si="209">588/438</f>
        <v>1.342465753</v>
      </c>
      <c r="V338" s="83">
        <f>62130/62272</f>
        <v>0.9977196814</v>
      </c>
      <c r="W338" s="83">
        <f>(62130-62272)/(1500000/845)</f>
        <v>-0.07999333333</v>
      </c>
    </row>
    <row r="339" ht="26.25" customHeight="1">
      <c r="A339" s="72"/>
      <c r="B339" s="73" t="s">
        <v>1217</v>
      </c>
      <c r="C339" s="87" t="s">
        <v>531</v>
      </c>
      <c r="D339" s="75">
        <v>588.0</v>
      </c>
      <c r="E339" s="75" t="s">
        <v>1220</v>
      </c>
      <c r="F339" s="76"/>
      <c r="G339" s="77" t="s">
        <v>658</v>
      </c>
      <c r="H339" s="77">
        <v>588.0</v>
      </c>
      <c r="I339" s="77">
        <v>1.0</v>
      </c>
      <c r="J339" s="78"/>
      <c r="K339" s="79" t="str">
        <f t="shared" si="170"/>
        <v>#DIV/0!</v>
      </c>
      <c r="L339" s="80" t="s">
        <v>658</v>
      </c>
      <c r="M339" s="81">
        <v>85.0</v>
      </c>
      <c r="N339" s="81" t="s">
        <v>659</v>
      </c>
      <c r="O339" s="82">
        <v>90.023753</v>
      </c>
      <c r="P339" s="82">
        <v>75.059382</v>
      </c>
      <c r="Q339" s="82">
        <f t="shared" ref="Q339:Q340" si="210">O339-P339</f>
        <v>14.964371</v>
      </c>
      <c r="R339" s="78">
        <f t="shared" ref="R339:R340" si="211">IFS(L339="S",21494/2048*1.25)</f>
        <v>13.11889648</v>
      </c>
      <c r="S339" s="83">
        <f t="shared" si="208"/>
        <v>45.02875142</v>
      </c>
      <c r="T339" s="84" t="s">
        <v>705</v>
      </c>
      <c r="U339" s="83">
        <f t="shared" si="209"/>
        <v>1.342465753</v>
      </c>
      <c r="V339" s="83" t="str">
        <f t="shared" ref="V339:V340" si="212">S339/K339</f>
        <v>#DIV/0!</v>
      </c>
      <c r="W339" s="83" t="str">
        <f t="shared" ref="W339:W340" si="213">(S339-K339)*M339*#REF!*#REF!*J339/(249945/845)</f>
        <v>#DIV/0!</v>
      </c>
    </row>
    <row r="340" ht="26.25" customHeight="1">
      <c r="A340" s="72"/>
      <c r="B340" s="73" t="s">
        <v>1217</v>
      </c>
      <c r="C340" s="87" t="s">
        <v>1221</v>
      </c>
      <c r="D340" s="75">
        <v>411.0</v>
      </c>
      <c r="E340" s="75" t="s">
        <v>1222</v>
      </c>
      <c r="F340" s="76" t="s">
        <v>770</v>
      </c>
      <c r="G340" s="77" t="s">
        <v>658</v>
      </c>
      <c r="H340" s="77">
        <f>411*1.662</f>
        <v>683.082</v>
      </c>
      <c r="I340" s="77">
        <v>1.0</v>
      </c>
      <c r="J340" s="78"/>
      <c r="K340" s="79" t="str">
        <f t="shared" si="170"/>
        <v>#DIV/0!</v>
      </c>
      <c r="L340" s="80" t="s">
        <v>658</v>
      </c>
      <c r="M340" s="81">
        <v>101.0</v>
      </c>
      <c r="N340" s="81" t="s">
        <v>659</v>
      </c>
      <c r="O340" s="82">
        <v>90.023753</v>
      </c>
      <c r="P340" s="82">
        <v>69.477435</v>
      </c>
      <c r="Q340" s="82">
        <f t="shared" si="210"/>
        <v>20.546318</v>
      </c>
      <c r="R340" s="78">
        <f t="shared" si="211"/>
        <v>13.11889648</v>
      </c>
      <c r="S340" s="83">
        <f t="shared" si="208"/>
        <v>52.05712451</v>
      </c>
      <c r="T340" s="84" t="s">
        <v>705</v>
      </c>
      <c r="U340" s="83">
        <f>411/306</f>
        <v>1.343137255</v>
      </c>
      <c r="V340" s="83" t="str">
        <f t="shared" si="212"/>
        <v>#DIV/0!</v>
      </c>
      <c r="W340" s="83" t="str">
        <f t="shared" si="213"/>
        <v>#DIV/0!</v>
      </c>
    </row>
    <row r="341" ht="26.25" customHeight="1">
      <c r="A341" s="72"/>
      <c r="B341" s="73" t="s">
        <v>1217</v>
      </c>
      <c r="C341" s="87" t="s">
        <v>455</v>
      </c>
      <c r="D341" s="75">
        <v>237.0</v>
      </c>
      <c r="E341" s="75" t="s">
        <v>1223</v>
      </c>
      <c r="F341" s="76" t="s">
        <v>1224</v>
      </c>
      <c r="G341" s="77" t="s">
        <v>689</v>
      </c>
      <c r="H341" s="77">
        <v>19586.0</v>
      </c>
      <c r="I341" s="77">
        <v>194.0</v>
      </c>
      <c r="J341" s="78"/>
      <c r="K341" s="79" t="str">
        <f t="shared" si="170"/>
        <v>#DIV/0!</v>
      </c>
      <c r="L341" s="80" t="s">
        <v>303</v>
      </c>
      <c r="M341" s="81" t="s">
        <v>303</v>
      </c>
      <c r="N341" s="79" t="s">
        <v>303</v>
      </c>
      <c r="O341" s="82" t="s">
        <v>303</v>
      </c>
      <c r="P341" s="82" t="s">
        <v>303</v>
      </c>
      <c r="Q341" s="82" t="s">
        <v>303</v>
      </c>
      <c r="R341" s="78" t="s">
        <v>303</v>
      </c>
      <c r="S341" s="83" t="str">
        <f t="shared" si="208"/>
        <v>#N/A</v>
      </c>
      <c r="T341" s="84" t="s">
        <v>705</v>
      </c>
      <c r="U341" s="83">
        <f>206/153</f>
        <v>1.346405229</v>
      </c>
      <c r="V341" s="83">
        <f>46154/46483</f>
        <v>0.9929221436</v>
      </c>
      <c r="W341" s="83">
        <f>(46154-46483)/(1500000/845)</f>
        <v>-0.1853366667</v>
      </c>
    </row>
    <row r="342" ht="26.25" customHeight="1">
      <c r="A342" s="72"/>
      <c r="B342" s="73" t="s">
        <v>1217</v>
      </c>
      <c r="C342" s="87" t="s">
        <v>1225</v>
      </c>
      <c r="D342" s="75">
        <v>748.0</v>
      </c>
      <c r="E342" s="75" t="s">
        <v>1226</v>
      </c>
      <c r="F342" s="76" t="s">
        <v>1227</v>
      </c>
      <c r="G342" s="77" t="s">
        <v>658</v>
      </c>
      <c r="H342" s="77">
        <f>748*3</f>
        <v>2244</v>
      </c>
      <c r="I342" s="77">
        <v>1.0</v>
      </c>
      <c r="J342" s="78"/>
      <c r="K342" s="79" t="str">
        <f t="shared" si="170"/>
        <v>#DIV/0!</v>
      </c>
      <c r="L342" s="80" t="s">
        <v>658</v>
      </c>
      <c r="M342" s="81">
        <v>21.0</v>
      </c>
      <c r="N342" s="81" t="s">
        <v>659</v>
      </c>
      <c r="O342" s="82">
        <v>90.023753</v>
      </c>
      <c r="P342" s="82">
        <v>79.809976</v>
      </c>
      <c r="Q342" s="82">
        <f t="shared" ref="Q342:Q344" si="214">O342-P342</f>
        <v>10.213777</v>
      </c>
      <c r="R342" s="78">
        <f t="shared" ref="R342:R344" si="215">IFS(L342="S",21494/2048*1.25)</f>
        <v>13.11889648</v>
      </c>
      <c r="S342" s="83">
        <f t="shared" si="208"/>
        <v>171.5672767</v>
      </c>
      <c r="T342" s="84" t="s">
        <v>705</v>
      </c>
      <c r="U342" s="83">
        <f>748/404</f>
        <v>1.851485149</v>
      </c>
      <c r="V342" s="83" t="str">
        <f t="shared" ref="V342:V344" si="216">S342/K342</f>
        <v>#DIV/0!</v>
      </c>
      <c r="W342" s="83" t="str">
        <f t="shared" ref="W342:W344" si="217">(S342-K342)*M342*#REF!*#REF!*J342/(249945/845)</f>
        <v>#DIV/0!</v>
      </c>
    </row>
    <row r="343" ht="26.25" customHeight="1">
      <c r="A343" s="72"/>
      <c r="B343" s="73" t="s">
        <v>1217</v>
      </c>
      <c r="C343" s="87" t="s">
        <v>1225</v>
      </c>
      <c r="D343" s="75">
        <v>384.0</v>
      </c>
      <c r="E343" s="75" t="s">
        <v>952</v>
      </c>
      <c r="F343" s="76" t="s">
        <v>762</v>
      </c>
      <c r="G343" s="77" t="s">
        <v>658</v>
      </c>
      <c r="H343" s="77">
        <v>384.0</v>
      </c>
      <c r="I343" s="77">
        <v>1.0</v>
      </c>
      <c r="J343" s="78"/>
      <c r="K343" s="79" t="str">
        <f t="shared" si="170"/>
        <v>#DIV/0!</v>
      </c>
      <c r="L343" s="80" t="s">
        <v>658</v>
      </c>
      <c r="M343" s="81">
        <v>75.0</v>
      </c>
      <c r="N343" s="81" t="s">
        <v>659</v>
      </c>
      <c r="O343" s="82">
        <v>90.023753</v>
      </c>
      <c r="P343" s="82">
        <v>81.353919</v>
      </c>
      <c r="Q343" s="82">
        <f t="shared" si="214"/>
        <v>8.669834</v>
      </c>
      <c r="R343" s="78">
        <f t="shared" si="215"/>
        <v>13.11889648</v>
      </c>
      <c r="S343" s="83">
        <f t="shared" si="208"/>
        <v>29.57071722</v>
      </c>
      <c r="T343" s="84" t="s">
        <v>705</v>
      </c>
      <c r="U343" s="83">
        <f>384/286</f>
        <v>1.342657343</v>
      </c>
      <c r="V343" s="83" t="str">
        <f t="shared" si="216"/>
        <v>#DIV/0!</v>
      </c>
      <c r="W343" s="83" t="str">
        <f t="shared" si="217"/>
        <v>#DIV/0!</v>
      </c>
    </row>
    <row r="344" ht="26.25" customHeight="1">
      <c r="A344" s="72"/>
      <c r="B344" s="73" t="s">
        <v>1217</v>
      </c>
      <c r="C344" s="87" t="s">
        <v>573</v>
      </c>
      <c r="D344" s="75">
        <v>1251.0</v>
      </c>
      <c r="E344" s="75" t="s">
        <v>1228</v>
      </c>
      <c r="F344" s="76"/>
      <c r="G344" s="77" t="s">
        <v>658</v>
      </c>
      <c r="H344" s="77">
        <v>1251.0</v>
      </c>
      <c r="I344" s="77">
        <v>1.0</v>
      </c>
      <c r="J344" s="78"/>
      <c r="K344" s="79" t="str">
        <f t="shared" si="170"/>
        <v>#DIV/0!</v>
      </c>
      <c r="L344" s="80" t="s">
        <v>658</v>
      </c>
      <c r="M344" s="81">
        <v>87.0</v>
      </c>
      <c r="N344" s="81" t="s">
        <v>659</v>
      </c>
      <c r="O344" s="82">
        <v>90.023753</v>
      </c>
      <c r="P344" s="82">
        <v>57.60095</v>
      </c>
      <c r="Q344" s="82">
        <f t="shared" si="214"/>
        <v>32.422803</v>
      </c>
      <c r="R344" s="78">
        <f t="shared" si="215"/>
        <v>13.11889648</v>
      </c>
      <c r="S344" s="83">
        <f t="shared" si="208"/>
        <v>95.40828334</v>
      </c>
      <c r="T344" s="84" t="s">
        <v>705</v>
      </c>
      <c r="U344" s="83">
        <f>1251/931</f>
        <v>1.343716434</v>
      </c>
      <c r="V344" s="83" t="str">
        <f t="shared" si="216"/>
        <v>#DIV/0!</v>
      </c>
      <c r="W344" s="83" t="str">
        <f t="shared" si="217"/>
        <v>#DIV/0!</v>
      </c>
    </row>
    <row r="345" ht="26.25" customHeight="1">
      <c r="A345" s="72"/>
      <c r="B345" s="73" t="s">
        <v>1217</v>
      </c>
      <c r="C345" s="87" t="s">
        <v>1229</v>
      </c>
      <c r="D345" s="75">
        <v>362.0</v>
      </c>
      <c r="E345" s="75" t="s">
        <v>1230</v>
      </c>
      <c r="F345" s="76" t="s">
        <v>1023</v>
      </c>
      <c r="G345" s="77" t="s">
        <v>704</v>
      </c>
      <c r="H345" s="77">
        <f>7622*1.5</f>
        <v>11433</v>
      </c>
      <c r="I345" s="77">
        <v>175.0</v>
      </c>
      <c r="J345" s="78"/>
      <c r="K345" s="79" t="str">
        <f t="shared" si="170"/>
        <v>#DIV/0!</v>
      </c>
      <c r="L345" s="80" t="s">
        <v>303</v>
      </c>
      <c r="M345" s="81" t="s">
        <v>303</v>
      </c>
      <c r="N345" s="79" t="s">
        <v>303</v>
      </c>
      <c r="O345" s="82" t="s">
        <v>303</v>
      </c>
      <c r="P345" s="82" t="s">
        <v>303</v>
      </c>
      <c r="Q345" s="82" t="s">
        <v>303</v>
      </c>
      <c r="R345" s="78" t="s">
        <v>303</v>
      </c>
      <c r="S345" s="83" t="str">
        <f t="shared" si="208"/>
        <v>#N/A</v>
      </c>
      <c r="T345" s="84" t="s">
        <v>705</v>
      </c>
      <c r="U345" s="79">
        <f>362/270</f>
        <v>1.340740741</v>
      </c>
      <c r="V345" s="83">
        <f>51479/52353</f>
        <v>0.9833056367</v>
      </c>
      <c r="W345" s="83">
        <f>(51479-52353)/(1500000/845)</f>
        <v>-0.4923533333</v>
      </c>
    </row>
    <row r="346" ht="26.25" customHeight="1">
      <c r="A346" s="72"/>
      <c r="B346" s="73" t="s">
        <v>1217</v>
      </c>
      <c r="C346" s="87" t="s">
        <v>1231</v>
      </c>
      <c r="D346" s="75">
        <v>576.0</v>
      </c>
      <c r="E346" s="75" t="s">
        <v>1234</v>
      </c>
      <c r="F346" s="76"/>
      <c r="G346" s="77" t="s">
        <v>658</v>
      </c>
      <c r="H346" s="77">
        <v>576.0</v>
      </c>
      <c r="I346" s="77">
        <v>1.0</v>
      </c>
      <c r="J346" s="78"/>
      <c r="K346" s="79" t="str">
        <f t="shared" si="170"/>
        <v>#DIV/0!</v>
      </c>
      <c r="L346" s="80" t="s">
        <v>658</v>
      </c>
      <c r="M346" s="81">
        <f>94-14</f>
        <v>80</v>
      </c>
      <c r="N346" s="81" t="s">
        <v>659</v>
      </c>
      <c r="O346" s="82">
        <v>90.023753</v>
      </c>
      <c r="P346" s="82">
        <v>76.247031</v>
      </c>
      <c r="Q346" s="82">
        <f t="shared" ref="Q346:Q350" si="218">O346-P346</f>
        <v>13.776722</v>
      </c>
      <c r="R346" s="78">
        <f t="shared" ref="R346:R350" si="219">IFS(L346="S",21494/2048*1.25)</f>
        <v>13.11889648</v>
      </c>
      <c r="S346" s="83">
        <f t="shared" si="208"/>
        <v>44.05226542</v>
      </c>
      <c r="T346" s="84" t="s">
        <v>705</v>
      </c>
      <c r="U346" s="83">
        <f>576/429</f>
        <v>1.342657343</v>
      </c>
      <c r="V346" s="83" t="str">
        <f t="shared" ref="V346:V350" si="220">S346/K346</f>
        <v>#DIV/0!</v>
      </c>
      <c r="W346" s="83" t="str">
        <f t="shared" ref="W346:W350" si="221">(S346-K346)*M346*#REF!*#REF!*J346/(249945/845)</f>
        <v>#DIV/0!</v>
      </c>
    </row>
    <row r="347" ht="26.25" customHeight="1">
      <c r="A347" s="72"/>
      <c r="B347" s="73" t="s">
        <v>1217</v>
      </c>
      <c r="C347" s="87" t="s">
        <v>1231</v>
      </c>
      <c r="D347" s="75">
        <v>17719.0</v>
      </c>
      <c r="E347" s="75" t="s">
        <v>1232</v>
      </c>
      <c r="F347" s="76" t="s">
        <v>1233</v>
      </c>
      <c r="G347" s="77" t="s">
        <v>658</v>
      </c>
      <c r="H347" s="77">
        <v>17719.0</v>
      </c>
      <c r="I347" s="77">
        <v>1.0</v>
      </c>
      <c r="J347" s="78"/>
      <c r="K347" s="79" t="str">
        <f t="shared" si="170"/>
        <v>#DIV/0!</v>
      </c>
      <c r="L347" s="80" t="s">
        <v>658</v>
      </c>
      <c r="M347" s="81">
        <v>1.0</v>
      </c>
      <c r="N347" s="81" t="s">
        <v>659</v>
      </c>
      <c r="O347" s="82">
        <v>90.023753</v>
      </c>
      <c r="P347" s="82">
        <v>82.897862</v>
      </c>
      <c r="Q347" s="82">
        <f t="shared" si="218"/>
        <v>7.125891</v>
      </c>
      <c r="R347" s="78">
        <f t="shared" si="219"/>
        <v>13.11889648</v>
      </c>
      <c r="S347" s="83">
        <f t="shared" si="208"/>
        <v>1357.645308</v>
      </c>
      <c r="T347" s="84" t="s">
        <v>705</v>
      </c>
      <c r="U347" s="79">
        <v>1.0</v>
      </c>
      <c r="V347" s="83" t="str">
        <f t="shared" si="220"/>
        <v>#DIV/0!</v>
      </c>
      <c r="W347" s="83" t="str">
        <f t="shared" si="221"/>
        <v>#DIV/0!</v>
      </c>
    </row>
    <row r="348" ht="26.25" customHeight="1">
      <c r="A348" s="72"/>
      <c r="B348" s="73" t="s">
        <v>1217</v>
      </c>
      <c r="C348" s="87" t="s">
        <v>512</v>
      </c>
      <c r="D348" s="75">
        <v>452.0</v>
      </c>
      <c r="E348" s="75" t="s">
        <v>1235</v>
      </c>
      <c r="F348" s="76"/>
      <c r="G348" s="77" t="s">
        <v>658</v>
      </c>
      <c r="H348" s="77">
        <v>452.0</v>
      </c>
      <c r="I348" s="77">
        <v>1.0</v>
      </c>
      <c r="J348" s="78"/>
      <c r="K348" s="79" t="str">
        <f t="shared" si="170"/>
        <v>#DIV/0!</v>
      </c>
      <c r="L348" s="80" t="s">
        <v>658</v>
      </c>
      <c r="M348" s="81">
        <v>38.0</v>
      </c>
      <c r="N348" s="81" t="s">
        <v>659</v>
      </c>
      <c r="O348" s="82">
        <v>90.023753</v>
      </c>
      <c r="P348" s="82">
        <v>84.916865</v>
      </c>
      <c r="Q348" s="82">
        <f t="shared" si="218"/>
        <v>5.106888</v>
      </c>
      <c r="R348" s="78">
        <f t="shared" si="219"/>
        <v>13.11889648</v>
      </c>
      <c r="S348" s="83">
        <f t="shared" si="208"/>
        <v>34.34222418</v>
      </c>
      <c r="T348" s="84" t="s">
        <v>705</v>
      </c>
      <c r="U348" s="83">
        <f>452/337</f>
        <v>1.341246291</v>
      </c>
      <c r="V348" s="83" t="str">
        <f t="shared" si="220"/>
        <v>#DIV/0!</v>
      </c>
      <c r="W348" s="83" t="str">
        <f t="shared" si="221"/>
        <v>#DIV/0!</v>
      </c>
    </row>
    <row r="349" ht="26.25" customHeight="1">
      <c r="A349" s="72"/>
      <c r="B349" s="73" t="s">
        <v>1217</v>
      </c>
      <c r="C349" s="87" t="s">
        <v>1236</v>
      </c>
      <c r="D349" s="75">
        <v>544.0</v>
      </c>
      <c r="E349" s="75" t="s">
        <v>1237</v>
      </c>
      <c r="F349" s="76" t="s">
        <v>1238</v>
      </c>
      <c r="G349" s="77" t="s">
        <v>689</v>
      </c>
      <c r="H349" s="77">
        <v>11970.0</v>
      </c>
      <c r="I349" s="77">
        <v>100.0</v>
      </c>
      <c r="J349" s="78"/>
      <c r="K349" s="79" t="str">
        <f t="shared" si="170"/>
        <v>#DIV/0!</v>
      </c>
      <c r="L349" s="80" t="s">
        <v>658</v>
      </c>
      <c r="M349" s="81">
        <v>100.0</v>
      </c>
      <c r="N349" s="81" t="s">
        <v>659</v>
      </c>
      <c r="O349" s="82">
        <v>90.023753</v>
      </c>
      <c r="P349" s="82">
        <v>74.703088</v>
      </c>
      <c r="Q349" s="82">
        <f t="shared" si="218"/>
        <v>15.320665</v>
      </c>
      <c r="R349" s="78">
        <f t="shared" si="219"/>
        <v>13.11889648</v>
      </c>
      <c r="S349" s="83">
        <f t="shared" si="208"/>
        <v>39.20745395</v>
      </c>
      <c r="T349" s="84" t="s">
        <v>705</v>
      </c>
      <c r="U349" s="83">
        <f>544/405</f>
        <v>1.343209877</v>
      </c>
      <c r="V349" s="83" t="str">
        <f t="shared" si="220"/>
        <v>#DIV/0!</v>
      </c>
      <c r="W349" s="83" t="str">
        <f t="shared" si="221"/>
        <v>#DIV/0!</v>
      </c>
    </row>
    <row r="350" ht="26.25" customHeight="1">
      <c r="A350" s="72"/>
      <c r="B350" s="73" t="s">
        <v>1217</v>
      </c>
      <c r="C350" s="87" t="s">
        <v>1236</v>
      </c>
      <c r="D350" s="75">
        <v>693.0</v>
      </c>
      <c r="E350" s="75" t="s">
        <v>1239</v>
      </c>
      <c r="F350" s="76" t="s">
        <v>1240</v>
      </c>
      <c r="G350" s="77" t="s">
        <v>658</v>
      </c>
      <c r="H350" s="77">
        <v>693.0</v>
      </c>
      <c r="I350" s="77">
        <v>1.0</v>
      </c>
      <c r="J350" s="78"/>
      <c r="K350" s="79" t="str">
        <f t="shared" si="170"/>
        <v>#DIV/0!</v>
      </c>
      <c r="L350" s="80" t="s">
        <v>658</v>
      </c>
      <c r="M350" s="81">
        <v>63.0</v>
      </c>
      <c r="N350" s="81" t="s">
        <v>659</v>
      </c>
      <c r="O350" s="82">
        <v>90.023753</v>
      </c>
      <c r="P350" s="82">
        <v>76.95962</v>
      </c>
      <c r="Q350" s="82">
        <f t="shared" si="218"/>
        <v>13.064133</v>
      </c>
      <c r="R350" s="78">
        <f t="shared" si="219"/>
        <v>13.11889648</v>
      </c>
      <c r="S350" s="83">
        <f t="shared" si="208"/>
        <v>53.06042506</v>
      </c>
      <c r="T350" s="84" t="s">
        <v>705</v>
      </c>
      <c r="U350" s="83">
        <f>693/516</f>
        <v>1.343023256</v>
      </c>
      <c r="V350" s="83" t="str">
        <f t="shared" si="220"/>
        <v>#DIV/0!</v>
      </c>
      <c r="W350" s="83" t="str">
        <f t="shared" si="221"/>
        <v>#DIV/0!</v>
      </c>
    </row>
    <row r="351" ht="26.25" customHeight="1">
      <c r="A351" s="99" t="s">
        <v>1241</v>
      </c>
      <c r="B351" s="100"/>
      <c r="C351" s="101"/>
      <c r="D351" s="100"/>
      <c r="E351" s="100"/>
      <c r="F351" s="100"/>
      <c r="G351" s="100"/>
      <c r="H351" s="100"/>
      <c r="I351" s="100"/>
      <c r="J351" s="102"/>
      <c r="K351" s="103"/>
      <c r="L351" s="104"/>
      <c r="M351" s="100"/>
      <c r="N351" s="100"/>
      <c r="O351" s="100"/>
      <c r="P351" s="100"/>
      <c r="Q351" s="100"/>
      <c r="R351" s="102"/>
      <c r="S351" s="103"/>
      <c r="T351" s="104"/>
      <c r="U351" s="103"/>
      <c r="V351" s="100"/>
      <c r="W351" s="100"/>
    </row>
  </sheetData>
  <autoFilter ref="$A$2:$W$351">
    <sortState ref="A2:W351">
      <sortCondition ref="B2:B351"/>
      <sortCondition ref="C2:C351"/>
      <sortCondition ref="V2:V351"/>
      <sortCondition ref="F2:F351"/>
    </sortState>
  </autoFilter>
  <mergeCells count="4">
    <mergeCell ref="A1:F1"/>
    <mergeCell ref="G1:K1"/>
    <mergeCell ref="L1:S1"/>
    <mergeCell ref="T1:W1"/>
  </mergeCells>
  <conditionalFormatting sqref="A1:W351">
    <cfRule type="containsText" dxfId="4" priority="1" operator="containsText" text="~?">
      <formula>NOT(ISERROR(SEARCH(("~?"),(A1))))</formula>
    </cfRule>
  </conditionalFormatting>
  <conditionalFormatting sqref="V3:V350">
    <cfRule type="colorScale" priority="2">
      <colorScale>
        <cfvo type="min"/>
        <cfvo type="formula" val="1"/>
        <cfvo type="max"/>
        <color rgb="FFE67C73"/>
        <color rgb="FF57BB8A"/>
        <color rgb="FFE67C73"/>
      </colorScale>
    </cfRule>
  </conditionalFormatting>
  <conditionalFormatting sqref="W3:W351">
    <cfRule type="colorScale" priority="3">
      <colorScale>
        <cfvo type="formula" val="-2"/>
        <cfvo type="formula" val="0"/>
        <cfvo type="formula" val="2"/>
        <color rgb="FFE67C73"/>
        <color rgb="FF57BB8A"/>
        <color rgb="FFE67C73"/>
      </colorScale>
    </cfRule>
  </conditionalFormatting>
  <conditionalFormatting sqref="Q3:Q350">
    <cfRule type="colorScale" priority="4">
      <colorScale>
        <cfvo type="min"/>
        <cfvo type="percentile" val="50"/>
        <cfvo type="max"/>
        <color rgb="FFE67C73"/>
        <color rgb="FFFFD666"/>
        <color rgb="FF57BB8A"/>
      </colorScale>
    </cfRule>
  </conditionalFormatting>
  <hyperlinks>
    <hyperlink display="see Ergo Sum tab (uses TFS scalar)" location="'Ergo Sum'!A1" ref="F310"/>
  </hyperlin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4.5"/>
    <col customWidth="1" min="2" max="2" width="18.25"/>
    <col customWidth="1" min="3" max="3" width="19.25"/>
    <col customWidth="1" min="4" max="4" width="6.63"/>
    <col customWidth="1" min="5" max="5" width="22.88"/>
    <col customWidth="1" min="6" max="6" width="46.38"/>
    <col customWidth="1" min="7" max="7" width="4.0"/>
    <col customWidth="1" min="8" max="8" width="5.13"/>
    <col customWidth="1" min="9" max="9" width="3.5"/>
    <col customWidth="1" min="10" max="10" width="4.0"/>
    <col customWidth="1" min="11" max="11" width="9.25"/>
    <col customWidth="1" min="12" max="13" width="3.5"/>
    <col customWidth="1" min="14" max="14" width="8.88"/>
    <col customWidth="1" min="15" max="16" width="8.0"/>
    <col customWidth="1" min="17" max="17" width="4.0"/>
    <col customWidth="1" min="18" max="18" width="9.25"/>
    <col customWidth="1" min="19" max="19" width="5.75"/>
    <col customWidth="1" min="20" max="20" width="5.88"/>
    <col customWidth="1" min="21" max="21" width="7.25"/>
  </cols>
  <sheetData>
    <row r="1" ht="13.5" customHeight="1">
      <c r="A1" s="51" t="s">
        <v>631</v>
      </c>
      <c r="G1" s="52" t="s">
        <v>632</v>
      </c>
      <c r="L1" s="53" t="s">
        <v>633</v>
      </c>
      <c r="S1" s="54" t="s">
        <v>634</v>
      </c>
    </row>
    <row r="2" ht="21.0" customHeight="1">
      <c r="A2" s="55" t="s">
        <v>635</v>
      </c>
      <c r="B2" s="56" t="s">
        <v>636</v>
      </c>
      <c r="C2" s="56" t="s">
        <v>637</v>
      </c>
      <c r="D2" s="58" t="s">
        <v>1252</v>
      </c>
      <c r="E2" s="58" t="s">
        <v>1253</v>
      </c>
      <c r="F2" s="56" t="s">
        <v>640</v>
      </c>
      <c r="G2" s="59" t="s">
        <v>641</v>
      </c>
      <c r="H2" s="59" t="s">
        <v>642</v>
      </c>
      <c r="I2" s="59" t="s">
        <v>292</v>
      </c>
      <c r="J2" s="60" t="s">
        <v>643</v>
      </c>
      <c r="K2" s="61" t="s">
        <v>1254</v>
      </c>
      <c r="L2" s="62" t="s">
        <v>641</v>
      </c>
      <c r="M2" s="63" t="s">
        <v>292</v>
      </c>
      <c r="N2" s="65" t="s">
        <v>645</v>
      </c>
      <c r="O2" s="65" t="s">
        <v>646</v>
      </c>
      <c r="P2" s="65" t="s">
        <v>647</v>
      </c>
      <c r="Q2" s="66" t="s">
        <v>643</v>
      </c>
      <c r="R2" s="67" t="s">
        <v>1255</v>
      </c>
      <c r="S2" s="68" t="s">
        <v>649</v>
      </c>
      <c r="T2" s="70" t="s">
        <v>653</v>
      </c>
      <c r="U2" s="71" t="s">
        <v>654</v>
      </c>
    </row>
    <row r="3" ht="26.25" customHeight="1">
      <c r="A3" s="105"/>
      <c r="B3" s="73" t="s">
        <v>1256</v>
      </c>
      <c r="C3" s="85" t="s">
        <v>1257</v>
      </c>
      <c r="D3" s="75">
        <v>6640.0</v>
      </c>
      <c r="E3" s="75"/>
      <c r="F3" s="76"/>
      <c r="G3" s="77" t="s">
        <v>658</v>
      </c>
      <c r="H3" s="77">
        <v>6640.0</v>
      </c>
      <c r="I3" s="77">
        <v>1.0</v>
      </c>
      <c r="J3" s="78">
        <f t="shared" ref="J3:J23" si="1">IFS(G3="S",21494/2048,G3="C",(21494/2048)/(87875/9999)*2*1.3,OR(G3="R",G3="T"),1)</f>
        <v>10.49511719</v>
      </c>
      <c r="K3" s="79">
        <f t="shared" ref="K3:K208" si="2">H3/I3/J3</f>
        <v>632.6751652</v>
      </c>
      <c r="L3" s="80" t="s">
        <v>658</v>
      </c>
      <c r="M3" s="81">
        <v>5.0</v>
      </c>
      <c r="N3" s="82">
        <v>90.023753</v>
      </c>
      <c r="O3" s="82">
        <v>76.72209</v>
      </c>
      <c r="P3" s="82">
        <f t="shared" ref="P3:P88" si="3">N3-O3</f>
        <v>13.301663</v>
      </c>
      <c r="Q3" s="78">
        <f t="shared" ref="Q3:Q42" si="4">IFS(L3="S",21494/2048,L3="R",1)</f>
        <v>10.49511719</v>
      </c>
      <c r="R3" s="83">
        <f t="shared" ref="R3:R42" si="5">IFS(L3="S",P3/M3/100*249945/Q3,L3="R",P3/M3/100*170255/Q3)</f>
        <v>633.5678009</v>
      </c>
      <c r="S3" s="84" t="s">
        <v>705</v>
      </c>
      <c r="T3" s="83">
        <f t="shared" ref="T3:T88" si="6">R3/K3</f>
        <v>1.001410891</v>
      </c>
      <c r="U3" s="83">
        <f t="shared" ref="U3:U42" si="7">IFS(L3="S",(R3-K3)*M3*J3/(249945/845),L3="R",(R3-K3)*M3*J3/(170255/845))</f>
        <v>0.1583593976</v>
      </c>
    </row>
    <row r="4" ht="26.25" customHeight="1">
      <c r="A4" s="105"/>
      <c r="B4" s="73" t="s">
        <v>1256</v>
      </c>
      <c r="C4" s="85" t="s">
        <v>1258</v>
      </c>
      <c r="D4" s="75">
        <v>8245.0</v>
      </c>
      <c r="E4" s="75" t="s">
        <v>1259</v>
      </c>
      <c r="F4" s="75" t="s">
        <v>1260</v>
      </c>
      <c r="G4" s="77" t="s">
        <v>658</v>
      </c>
      <c r="H4" s="77">
        <f>66*2+67*2+8245*2</f>
        <v>16756</v>
      </c>
      <c r="I4" s="77">
        <v>1.0</v>
      </c>
      <c r="J4" s="78">
        <f t="shared" si="1"/>
        <v>10.49511719</v>
      </c>
      <c r="K4" s="79">
        <f t="shared" si="2"/>
        <v>1596.551968</v>
      </c>
      <c r="L4" s="80" t="s">
        <v>658</v>
      </c>
      <c r="M4" s="81">
        <v>2.0</v>
      </c>
      <c r="N4" s="82">
        <v>90.023753</v>
      </c>
      <c r="O4" s="82">
        <v>76.603325</v>
      </c>
      <c r="P4" s="82">
        <f t="shared" si="3"/>
        <v>13.420428</v>
      </c>
      <c r="Q4" s="78">
        <f t="shared" si="4"/>
        <v>10.49511719</v>
      </c>
      <c r="R4" s="83">
        <f t="shared" si="5"/>
        <v>1598.061659</v>
      </c>
      <c r="S4" s="84" t="s">
        <v>705</v>
      </c>
      <c r="T4" s="83">
        <f t="shared" si="6"/>
        <v>1.000945595</v>
      </c>
      <c r="U4" s="83">
        <f t="shared" si="7"/>
        <v>0.1071315933</v>
      </c>
    </row>
    <row r="5" ht="26.25" customHeight="1">
      <c r="A5" s="105"/>
      <c r="B5" s="73" t="s">
        <v>1256</v>
      </c>
      <c r="C5" s="85" t="s">
        <v>1258</v>
      </c>
      <c r="D5" s="75">
        <v>6596.0</v>
      </c>
      <c r="E5" s="75" t="s">
        <v>1259</v>
      </c>
      <c r="F5" s="75"/>
      <c r="G5" s="77" t="s">
        <v>658</v>
      </c>
      <c r="H5" s="77">
        <f>66+67+6596</f>
        <v>6729</v>
      </c>
      <c r="I5" s="77">
        <v>1.0</v>
      </c>
      <c r="J5" s="78">
        <f t="shared" si="1"/>
        <v>10.49511719</v>
      </c>
      <c r="K5" s="79">
        <f t="shared" si="2"/>
        <v>641.1552992</v>
      </c>
      <c r="L5" s="80" t="s">
        <v>658</v>
      </c>
      <c r="M5" s="81">
        <v>4.0</v>
      </c>
      <c r="N5" s="82">
        <v>90.023753</v>
      </c>
      <c r="O5" s="82">
        <v>79.097387</v>
      </c>
      <c r="P5" s="82">
        <f t="shared" si="3"/>
        <v>10.926366</v>
      </c>
      <c r="Q5" s="78">
        <f t="shared" si="4"/>
        <v>10.49511719</v>
      </c>
      <c r="R5" s="83">
        <f t="shared" si="5"/>
        <v>650.5383649</v>
      </c>
      <c r="S5" s="84" t="s">
        <v>705</v>
      </c>
      <c r="T5" s="83">
        <f t="shared" si="6"/>
        <v>1.014634622</v>
      </c>
      <c r="U5" s="83">
        <f t="shared" si="7"/>
        <v>1.331693558</v>
      </c>
    </row>
    <row r="6" ht="26.25" customHeight="1">
      <c r="A6" s="105"/>
      <c r="B6" s="73" t="s">
        <v>1256</v>
      </c>
      <c r="C6" s="73" t="s">
        <v>1261</v>
      </c>
      <c r="D6" s="75" t="s">
        <v>1047</v>
      </c>
      <c r="E6" s="75" t="s">
        <v>1047</v>
      </c>
      <c r="F6" s="75" t="s">
        <v>1262</v>
      </c>
      <c r="G6" s="77" t="s">
        <v>834</v>
      </c>
      <c r="H6" s="77">
        <v>2494.0</v>
      </c>
      <c r="I6" s="77">
        <v>2.0</v>
      </c>
      <c r="J6" s="78">
        <f t="shared" si="1"/>
        <v>1</v>
      </c>
      <c r="K6" s="79">
        <f t="shared" si="2"/>
        <v>1247</v>
      </c>
      <c r="L6" s="80" t="s">
        <v>834</v>
      </c>
      <c r="M6" s="81">
        <v>2.0</v>
      </c>
      <c r="N6" s="82">
        <v>100.0</v>
      </c>
      <c r="O6" s="82">
        <v>98.456057</v>
      </c>
      <c r="P6" s="82">
        <f t="shared" si="3"/>
        <v>1.543943</v>
      </c>
      <c r="Q6" s="78">
        <f t="shared" si="4"/>
        <v>1</v>
      </c>
      <c r="R6" s="83">
        <f t="shared" si="5"/>
        <v>1314.320077</v>
      </c>
      <c r="S6" s="84" t="s">
        <v>891</v>
      </c>
      <c r="T6" s="83">
        <f t="shared" si="6"/>
        <v>1.053985627</v>
      </c>
      <c r="U6" s="83">
        <f t="shared" si="7"/>
        <v>0.6682384111</v>
      </c>
    </row>
    <row r="7" ht="26.25" customHeight="1">
      <c r="A7" s="105"/>
      <c r="B7" s="73" t="s">
        <v>1256</v>
      </c>
      <c r="C7" s="73" t="s">
        <v>1263</v>
      </c>
      <c r="D7" s="75">
        <v>4283.0</v>
      </c>
      <c r="E7" s="75" t="s">
        <v>1264</v>
      </c>
      <c r="F7" s="75" t="s">
        <v>1265</v>
      </c>
      <c r="G7" s="77" t="s">
        <v>658</v>
      </c>
      <c r="H7" s="77">
        <f>4283*4+88*3+146*2+150*2+210*2+209*3+7441</f>
        <v>26476</v>
      </c>
      <c r="I7" s="77">
        <v>4.0</v>
      </c>
      <c r="J7" s="78">
        <f t="shared" si="1"/>
        <v>10.49511719</v>
      </c>
      <c r="K7" s="79">
        <f t="shared" si="2"/>
        <v>630.6742347</v>
      </c>
      <c r="L7" s="80" t="s">
        <v>658</v>
      </c>
      <c r="M7" s="81">
        <v>4.0</v>
      </c>
      <c r="N7" s="82">
        <v>90.023753</v>
      </c>
      <c r="O7" s="82">
        <v>79.334917</v>
      </c>
      <c r="P7" s="82">
        <f t="shared" si="3"/>
        <v>10.688836</v>
      </c>
      <c r="Q7" s="78">
        <f t="shared" si="4"/>
        <v>10.49511719</v>
      </c>
      <c r="R7" s="83">
        <f t="shared" si="5"/>
        <v>636.3962084</v>
      </c>
      <c r="S7" s="84" t="s">
        <v>705</v>
      </c>
      <c r="T7" s="83">
        <f t="shared" si="6"/>
        <v>1.009072788</v>
      </c>
      <c r="U7" s="83">
        <f t="shared" si="7"/>
        <v>0.8120923142</v>
      </c>
    </row>
    <row r="8" ht="26.25" customHeight="1">
      <c r="A8" s="105"/>
      <c r="B8" s="73" t="s">
        <v>1256</v>
      </c>
      <c r="C8" s="73" t="s">
        <v>1266</v>
      </c>
      <c r="D8" s="93">
        <v>830.0</v>
      </c>
      <c r="E8" s="93" t="s">
        <v>1267</v>
      </c>
      <c r="F8" s="75"/>
      <c r="G8" s="77" t="s">
        <v>834</v>
      </c>
      <c r="H8" s="77">
        <v>5022.0</v>
      </c>
      <c r="I8" s="77">
        <v>6.0</v>
      </c>
      <c r="J8" s="78">
        <f t="shared" si="1"/>
        <v>1</v>
      </c>
      <c r="K8" s="79">
        <f t="shared" si="2"/>
        <v>837</v>
      </c>
      <c r="L8" s="80" t="s">
        <v>834</v>
      </c>
      <c r="M8" s="81">
        <v>6.0</v>
      </c>
      <c r="N8" s="82">
        <v>100.0</v>
      </c>
      <c r="O8" s="82">
        <v>97.030879</v>
      </c>
      <c r="P8" s="82">
        <f t="shared" si="3"/>
        <v>2.969121</v>
      </c>
      <c r="Q8" s="78">
        <f t="shared" si="4"/>
        <v>1</v>
      </c>
      <c r="R8" s="83">
        <f t="shared" si="5"/>
        <v>842.5128264</v>
      </c>
      <c r="S8" s="84" t="s">
        <v>757</v>
      </c>
      <c r="T8" s="83">
        <f t="shared" si="6"/>
        <v>1.006586411</v>
      </c>
      <c r="U8" s="83">
        <f t="shared" si="7"/>
        <v>0.1641656925</v>
      </c>
    </row>
    <row r="9" ht="26.25" customHeight="1">
      <c r="A9" s="105"/>
      <c r="B9" s="73" t="s">
        <v>1256</v>
      </c>
      <c r="C9" s="73" t="s">
        <v>1268</v>
      </c>
      <c r="D9" s="75">
        <v>19109.0</v>
      </c>
      <c r="E9" s="75" t="s">
        <v>1269</v>
      </c>
      <c r="F9" s="75"/>
      <c r="G9" s="77" t="s">
        <v>658</v>
      </c>
      <c r="H9" s="77">
        <f>67+19109</f>
        <v>19176</v>
      </c>
      <c r="I9" s="77">
        <v>1.0</v>
      </c>
      <c r="J9" s="78">
        <f t="shared" si="1"/>
        <v>10.49511719</v>
      </c>
      <c r="K9" s="79">
        <f t="shared" si="2"/>
        <v>1827.135387</v>
      </c>
      <c r="L9" s="80" t="s">
        <v>658</v>
      </c>
      <c r="M9" s="81">
        <v>3.0</v>
      </c>
      <c r="N9" s="82">
        <v>90.023753</v>
      </c>
      <c r="O9" s="82">
        <v>66.983373</v>
      </c>
      <c r="P9" s="82">
        <f t="shared" si="3"/>
        <v>23.04038</v>
      </c>
      <c r="Q9" s="78">
        <f t="shared" si="4"/>
        <v>10.49511719</v>
      </c>
      <c r="R9" s="83">
        <f t="shared" si="5"/>
        <v>1829.049858</v>
      </c>
      <c r="S9" s="84" t="s">
        <v>705</v>
      </c>
      <c r="T9" s="83">
        <f t="shared" si="6"/>
        <v>1.001047799</v>
      </c>
      <c r="U9" s="83">
        <f t="shared" si="7"/>
        <v>0.203783766</v>
      </c>
    </row>
    <row r="10" ht="26.25" customHeight="1">
      <c r="A10" s="105"/>
      <c r="B10" s="73" t="s">
        <v>1256</v>
      </c>
      <c r="C10" s="85" t="s">
        <v>1270</v>
      </c>
      <c r="D10" s="75">
        <v>685.0</v>
      </c>
      <c r="E10" s="75" t="s">
        <v>1271</v>
      </c>
      <c r="F10" s="76" t="s">
        <v>1272</v>
      </c>
      <c r="G10" s="77" t="s">
        <v>658</v>
      </c>
      <c r="H10" s="77">
        <f>685+35+172*16+122+3781+237+5647</f>
        <v>13259</v>
      </c>
      <c r="I10" s="77">
        <v>1.0</v>
      </c>
      <c r="J10" s="78">
        <f t="shared" si="1"/>
        <v>10.49511719</v>
      </c>
      <c r="K10" s="79">
        <f t="shared" si="2"/>
        <v>1263.3494</v>
      </c>
      <c r="L10" s="80" t="s">
        <v>658</v>
      </c>
      <c r="M10" s="81">
        <v>1.0</v>
      </c>
      <c r="N10" s="82">
        <v>90.023753</v>
      </c>
      <c r="O10" s="82">
        <v>84.679335</v>
      </c>
      <c r="P10" s="82">
        <f t="shared" si="3"/>
        <v>5.344418</v>
      </c>
      <c r="Q10" s="78">
        <f t="shared" si="4"/>
        <v>10.49511719</v>
      </c>
      <c r="R10" s="83">
        <f t="shared" si="5"/>
        <v>1272.792417</v>
      </c>
      <c r="S10" s="84" t="s">
        <v>705</v>
      </c>
      <c r="T10" s="83">
        <f t="shared" si="6"/>
        <v>1.007474589</v>
      </c>
      <c r="U10" s="83">
        <f t="shared" si="7"/>
        <v>0.3350505381</v>
      </c>
    </row>
    <row r="11" ht="26.25" customHeight="1">
      <c r="A11" s="105"/>
      <c r="B11" s="73" t="s">
        <v>1256</v>
      </c>
      <c r="C11" s="85" t="s">
        <v>1273</v>
      </c>
      <c r="D11" s="75">
        <v>8124.0</v>
      </c>
      <c r="E11" s="75" t="s">
        <v>1274</v>
      </c>
      <c r="F11" s="76" t="s">
        <v>1275</v>
      </c>
      <c r="G11" s="77" t="s">
        <v>658</v>
      </c>
      <c r="H11" s="77">
        <f>63*2+7624*2+8124*2+7441+150*4</f>
        <v>39663</v>
      </c>
      <c r="I11" s="77">
        <v>2.0</v>
      </c>
      <c r="J11" s="78">
        <f t="shared" si="1"/>
        <v>10.49511719</v>
      </c>
      <c r="K11" s="79">
        <f t="shared" si="2"/>
        <v>1889.593003</v>
      </c>
      <c r="L11" s="80" t="s">
        <v>658</v>
      </c>
      <c r="M11" s="81">
        <v>2.0</v>
      </c>
      <c r="N11" s="82">
        <v>90.023753</v>
      </c>
      <c r="O11" s="82">
        <v>73.990499</v>
      </c>
      <c r="P11" s="82">
        <f t="shared" si="3"/>
        <v>16.033254</v>
      </c>
      <c r="Q11" s="78">
        <f t="shared" si="4"/>
        <v>10.49511719</v>
      </c>
      <c r="R11" s="83">
        <f t="shared" si="5"/>
        <v>1909.188625</v>
      </c>
      <c r="S11" s="84" t="s">
        <v>705</v>
      </c>
      <c r="T11" s="83">
        <f t="shared" si="6"/>
        <v>1.010370287</v>
      </c>
      <c r="U11" s="83">
        <f t="shared" si="7"/>
        <v>1.390556403</v>
      </c>
    </row>
    <row r="12" ht="26.25" customHeight="1">
      <c r="A12" s="105"/>
      <c r="B12" s="73" t="s">
        <v>1256</v>
      </c>
      <c r="C12" s="85" t="s">
        <v>1273</v>
      </c>
      <c r="D12" s="75">
        <v>8124.0</v>
      </c>
      <c r="E12" s="75" t="s">
        <v>1276</v>
      </c>
      <c r="F12" s="75" t="s">
        <v>1265</v>
      </c>
      <c r="G12" s="77" t="s">
        <v>658</v>
      </c>
      <c r="H12" s="77">
        <f>63*2+8124*2+7441+150*4</f>
        <v>24415</v>
      </c>
      <c r="I12" s="77">
        <v>2.0</v>
      </c>
      <c r="J12" s="78">
        <f t="shared" si="1"/>
        <v>10.49511719</v>
      </c>
      <c r="K12" s="79">
        <f t="shared" si="2"/>
        <v>1163.159952</v>
      </c>
      <c r="L12" s="80" t="s">
        <v>658</v>
      </c>
      <c r="M12" s="81">
        <v>2.0</v>
      </c>
      <c r="N12" s="82">
        <v>90.023753</v>
      </c>
      <c r="O12" s="82">
        <v>80.166271</v>
      </c>
      <c r="P12" s="82">
        <f t="shared" si="3"/>
        <v>9.857482</v>
      </c>
      <c r="Q12" s="78">
        <f t="shared" si="4"/>
        <v>10.49511719</v>
      </c>
      <c r="R12" s="83">
        <f t="shared" si="5"/>
        <v>1173.797441</v>
      </c>
      <c r="S12" s="84" t="s">
        <v>705</v>
      </c>
      <c r="T12" s="83">
        <f t="shared" si="6"/>
        <v>1.009145336</v>
      </c>
      <c r="U12" s="83">
        <f t="shared" si="7"/>
        <v>0.754863911</v>
      </c>
    </row>
    <row r="13" ht="26.25" customHeight="1">
      <c r="A13" s="105"/>
      <c r="B13" s="73" t="s">
        <v>1256</v>
      </c>
      <c r="C13" s="85" t="s">
        <v>1277</v>
      </c>
      <c r="D13" s="93">
        <v>166.0</v>
      </c>
      <c r="E13" s="93" t="s">
        <v>1278</v>
      </c>
      <c r="F13" s="75" t="s">
        <v>1279</v>
      </c>
      <c r="G13" s="77" t="s">
        <v>834</v>
      </c>
      <c r="H13" s="77">
        <v>5368.0</v>
      </c>
      <c r="I13" s="77">
        <v>4.0</v>
      </c>
      <c r="J13" s="78">
        <f t="shared" si="1"/>
        <v>1</v>
      </c>
      <c r="K13" s="79">
        <f t="shared" si="2"/>
        <v>1342</v>
      </c>
      <c r="L13" s="80" t="s">
        <v>834</v>
      </c>
      <c r="M13" s="81">
        <v>4.0</v>
      </c>
      <c r="N13" s="82">
        <v>100.0</v>
      </c>
      <c r="O13" s="82">
        <v>97.030879</v>
      </c>
      <c r="P13" s="82">
        <f t="shared" si="3"/>
        <v>2.969121</v>
      </c>
      <c r="Q13" s="78">
        <f t="shared" si="4"/>
        <v>1</v>
      </c>
      <c r="R13" s="83">
        <f t="shared" si="5"/>
        <v>1263.76924</v>
      </c>
      <c r="S13" s="84" t="s">
        <v>705</v>
      </c>
      <c r="T13" s="83">
        <f t="shared" si="6"/>
        <v>0.9417058418</v>
      </c>
      <c r="U13" s="83">
        <f t="shared" si="7"/>
        <v>-1.553081965</v>
      </c>
    </row>
    <row r="14" ht="26.25" customHeight="1">
      <c r="A14" s="105"/>
      <c r="B14" s="73" t="s">
        <v>1256</v>
      </c>
      <c r="C14" s="85" t="s">
        <v>1277</v>
      </c>
      <c r="D14" s="93">
        <v>166.0</v>
      </c>
      <c r="E14" s="93" t="s">
        <v>1280</v>
      </c>
      <c r="F14" s="76" t="s">
        <v>1281</v>
      </c>
      <c r="G14" s="77" t="s">
        <v>834</v>
      </c>
      <c r="H14" s="77">
        <v>3990.0</v>
      </c>
      <c r="I14" s="77">
        <v>3.0</v>
      </c>
      <c r="J14" s="78">
        <f t="shared" si="1"/>
        <v>1</v>
      </c>
      <c r="K14" s="79">
        <f t="shared" si="2"/>
        <v>1330</v>
      </c>
      <c r="L14" s="80" t="s">
        <v>834</v>
      </c>
      <c r="M14" s="81">
        <v>3.0</v>
      </c>
      <c r="N14" s="82">
        <v>100.0</v>
      </c>
      <c r="O14" s="82">
        <v>97.743468</v>
      </c>
      <c r="P14" s="82">
        <f t="shared" si="3"/>
        <v>2.256532</v>
      </c>
      <c r="Q14" s="78">
        <f t="shared" si="4"/>
        <v>1</v>
      </c>
      <c r="R14" s="83">
        <f t="shared" si="5"/>
        <v>1280.619519</v>
      </c>
      <c r="S14" s="84" t="s">
        <v>705</v>
      </c>
      <c r="T14" s="83">
        <f t="shared" si="6"/>
        <v>0.9628718187</v>
      </c>
      <c r="U14" s="83">
        <f t="shared" si="7"/>
        <v>-0.7352472449</v>
      </c>
    </row>
    <row r="15" ht="26.25" customHeight="1">
      <c r="A15" s="105"/>
      <c r="B15" s="73" t="s">
        <v>1256</v>
      </c>
      <c r="C15" s="85" t="s">
        <v>1282</v>
      </c>
      <c r="D15" s="75">
        <v>591.0</v>
      </c>
      <c r="E15" s="75" t="s">
        <v>1283</v>
      </c>
      <c r="F15" s="76" t="s">
        <v>1272</v>
      </c>
      <c r="G15" s="77" t="s">
        <v>658</v>
      </c>
      <c r="H15" s="77">
        <f>24+591+148*15+3781+237+650+34+42+507*2+461*14+112+152+171+209+7090</f>
        <v>22781</v>
      </c>
      <c r="I15" s="77">
        <v>1.0</v>
      </c>
      <c r="J15" s="78">
        <f t="shared" si="1"/>
        <v>10.49511719</v>
      </c>
      <c r="K15" s="79">
        <f t="shared" si="2"/>
        <v>2170.628454</v>
      </c>
      <c r="L15" s="80" t="s">
        <v>658</v>
      </c>
      <c r="M15" s="81">
        <v>1.0</v>
      </c>
      <c r="N15" s="82">
        <v>90.023753</v>
      </c>
      <c r="O15" s="82">
        <v>80.87886</v>
      </c>
      <c r="P15" s="82">
        <f t="shared" si="3"/>
        <v>9.144893</v>
      </c>
      <c r="Q15" s="78">
        <f t="shared" si="4"/>
        <v>10.49511719</v>
      </c>
      <c r="R15" s="83">
        <f t="shared" si="5"/>
        <v>2177.889241</v>
      </c>
      <c r="S15" s="84" t="s">
        <v>705</v>
      </c>
      <c r="T15" s="83">
        <f t="shared" si="6"/>
        <v>1.003345016</v>
      </c>
      <c r="U15" s="83">
        <f t="shared" si="7"/>
        <v>0.2576221708</v>
      </c>
    </row>
    <row r="16" ht="26.25" customHeight="1">
      <c r="A16" s="105"/>
      <c r="B16" s="73" t="s">
        <v>1256</v>
      </c>
      <c r="C16" s="85" t="s">
        <v>1284</v>
      </c>
      <c r="D16" s="75">
        <v>1125.0</v>
      </c>
      <c r="E16" s="75" t="s">
        <v>1285</v>
      </c>
      <c r="F16" s="75" t="s">
        <v>1265</v>
      </c>
      <c r="G16" s="77" t="s">
        <v>834</v>
      </c>
      <c r="H16" s="77">
        <f>6048</f>
        <v>6048</v>
      </c>
      <c r="I16" s="77">
        <v>4.0</v>
      </c>
      <c r="J16" s="78">
        <f t="shared" si="1"/>
        <v>1</v>
      </c>
      <c r="K16" s="79">
        <f t="shared" si="2"/>
        <v>1512</v>
      </c>
      <c r="L16" s="80" t="s">
        <v>834</v>
      </c>
      <c r="M16" s="81">
        <v>4.0</v>
      </c>
      <c r="N16" s="82">
        <v>100.0</v>
      </c>
      <c r="O16" s="82">
        <v>96.437055</v>
      </c>
      <c r="P16" s="82">
        <f t="shared" si="3"/>
        <v>3.562945</v>
      </c>
      <c r="Q16" s="78">
        <f t="shared" si="4"/>
        <v>1</v>
      </c>
      <c r="R16" s="83">
        <f t="shared" si="5"/>
        <v>1516.523002</v>
      </c>
      <c r="S16" s="84" t="s">
        <v>705</v>
      </c>
      <c r="T16" s="83">
        <f t="shared" si="6"/>
        <v>1.002991404</v>
      </c>
      <c r="U16" s="83">
        <f t="shared" si="7"/>
        <v>0.08979324095</v>
      </c>
    </row>
    <row r="17" ht="26.25" customHeight="1">
      <c r="A17" s="105"/>
      <c r="B17" s="73" t="s">
        <v>1256</v>
      </c>
      <c r="C17" s="85" t="s">
        <v>1286</v>
      </c>
      <c r="D17" s="75">
        <v>373.0</v>
      </c>
      <c r="E17" s="75"/>
      <c r="F17" s="75" t="s">
        <v>1287</v>
      </c>
      <c r="G17" s="77" t="s">
        <v>834</v>
      </c>
      <c r="H17" s="77">
        <v>4476.0</v>
      </c>
      <c r="I17" s="77">
        <v>3.0</v>
      </c>
      <c r="J17" s="78">
        <f t="shared" si="1"/>
        <v>1</v>
      </c>
      <c r="K17" s="79">
        <f t="shared" si="2"/>
        <v>1492</v>
      </c>
      <c r="L17" s="80" t="s">
        <v>834</v>
      </c>
      <c r="M17" s="81">
        <v>3.0</v>
      </c>
      <c r="N17" s="82">
        <v>100.0</v>
      </c>
      <c r="O17" s="82">
        <v>97.149644</v>
      </c>
      <c r="P17" s="82">
        <f t="shared" si="3"/>
        <v>2.850356</v>
      </c>
      <c r="Q17" s="78">
        <f t="shared" si="4"/>
        <v>1</v>
      </c>
      <c r="R17" s="83">
        <f t="shared" si="5"/>
        <v>1617.624536</v>
      </c>
      <c r="S17" s="84" t="s">
        <v>891</v>
      </c>
      <c r="T17" s="83">
        <f t="shared" si="6"/>
        <v>1.084198751</v>
      </c>
      <c r="U17" s="83">
        <f t="shared" si="7"/>
        <v>1.870477804</v>
      </c>
    </row>
    <row r="18" ht="26.25" customHeight="1">
      <c r="A18" s="105"/>
      <c r="B18" s="73" t="s">
        <v>1256</v>
      </c>
      <c r="C18" s="85" t="s">
        <v>1286</v>
      </c>
      <c r="D18" s="75">
        <v>373.0</v>
      </c>
      <c r="E18" s="75"/>
      <c r="F18" s="76" t="s">
        <v>1288</v>
      </c>
      <c r="G18" s="77" t="s">
        <v>834</v>
      </c>
      <c r="H18" s="77">
        <v>5602.0</v>
      </c>
      <c r="I18" s="77">
        <v>3.0</v>
      </c>
      <c r="J18" s="78">
        <f t="shared" si="1"/>
        <v>1</v>
      </c>
      <c r="K18" s="79">
        <f t="shared" si="2"/>
        <v>1867.333333</v>
      </c>
      <c r="L18" s="80" t="s">
        <v>834</v>
      </c>
      <c r="M18" s="81">
        <v>3.0</v>
      </c>
      <c r="N18" s="82">
        <v>100.0</v>
      </c>
      <c r="O18" s="82">
        <v>96.31829</v>
      </c>
      <c r="P18" s="82">
        <f t="shared" si="3"/>
        <v>3.68171</v>
      </c>
      <c r="Q18" s="78">
        <f t="shared" si="4"/>
        <v>1</v>
      </c>
      <c r="R18" s="83">
        <f t="shared" si="5"/>
        <v>2089.431787</v>
      </c>
      <c r="S18" s="84" t="s">
        <v>891</v>
      </c>
      <c r="T18" s="83">
        <f t="shared" si="6"/>
        <v>1.118938836</v>
      </c>
      <c r="U18" s="83">
        <f t="shared" si="7"/>
        <v>3.306919501</v>
      </c>
    </row>
    <row r="19" ht="26.25" customHeight="1">
      <c r="A19" s="105"/>
      <c r="B19" s="73" t="s">
        <v>1256</v>
      </c>
      <c r="C19" s="85" t="s">
        <v>1289</v>
      </c>
      <c r="D19" s="75">
        <v>5394.0</v>
      </c>
      <c r="E19" s="75" t="s">
        <v>1290</v>
      </c>
      <c r="F19" s="76" t="s">
        <v>770</v>
      </c>
      <c r="G19" s="77" t="s">
        <v>658</v>
      </c>
      <c r="H19" s="77">
        <f>73+5394+5395</f>
        <v>10862</v>
      </c>
      <c r="I19" s="77">
        <v>1.0</v>
      </c>
      <c r="J19" s="78">
        <f t="shared" si="1"/>
        <v>10.49511719</v>
      </c>
      <c r="K19" s="79">
        <f t="shared" si="2"/>
        <v>1034.957477</v>
      </c>
      <c r="L19" s="80" t="s">
        <v>658</v>
      </c>
      <c r="M19" s="81">
        <v>3.0</v>
      </c>
      <c r="N19" s="82">
        <v>90.023753</v>
      </c>
      <c r="O19" s="82">
        <v>76.95962</v>
      </c>
      <c r="P19" s="82">
        <f t="shared" si="3"/>
        <v>13.064133</v>
      </c>
      <c r="Q19" s="78">
        <f t="shared" si="4"/>
        <v>10.49511719</v>
      </c>
      <c r="R19" s="83">
        <f t="shared" si="5"/>
        <v>1037.090126</v>
      </c>
      <c r="S19" s="84" t="s">
        <v>705</v>
      </c>
      <c r="T19" s="83">
        <f t="shared" si="6"/>
        <v>1.002060616</v>
      </c>
      <c r="U19" s="83">
        <f t="shared" si="7"/>
        <v>0.2270075684</v>
      </c>
    </row>
    <row r="20" ht="26.25" customHeight="1">
      <c r="A20" s="105"/>
      <c r="B20" s="73" t="s">
        <v>1256</v>
      </c>
      <c r="C20" s="85" t="s">
        <v>1289</v>
      </c>
      <c r="D20" s="75">
        <v>4083.0</v>
      </c>
      <c r="E20" s="75"/>
      <c r="F20" s="75" t="s">
        <v>1291</v>
      </c>
      <c r="G20" s="77" t="s">
        <v>658</v>
      </c>
      <c r="H20" s="77">
        <f>9*4083</f>
        <v>36747</v>
      </c>
      <c r="I20" s="77">
        <v>1.0</v>
      </c>
      <c r="J20" s="78">
        <f t="shared" si="1"/>
        <v>10.49511719</v>
      </c>
      <c r="K20" s="79">
        <f t="shared" si="2"/>
        <v>3501.342514</v>
      </c>
      <c r="L20" s="80" t="s">
        <v>658</v>
      </c>
      <c r="M20" s="81">
        <v>1.0</v>
      </c>
      <c r="N20" s="82">
        <v>90.023753</v>
      </c>
      <c r="O20" s="82">
        <v>75.296912</v>
      </c>
      <c r="P20" s="82">
        <f t="shared" si="3"/>
        <v>14.726841</v>
      </c>
      <c r="Q20" s="78">
        <f t="shared" si="4"/>
        <v>10.49511719</v>
      </c>
      <c r="R20" s="83">
        <f t="shared" si="5"/>
        <v>3507.250284</v>
      </c>
      <c r="S20" s="84" t="s">
        <v>705</v>
      </c>
      <c r="T20" s="83">
        <f t="shared" si="6"/>
        <v>1.001687287</v>
      </c>
      <c r="U20" s="83">
        <f t="shared" si="7"/>
        <v>0.209615368</v>
      </c>
    </row>
    <row r="21" ht="26.25" customHeight="1">
      <c r="A21" s="105"/>
      <c r="B21" s="73" t="s">
        <v>1256</v>
      </c>
      <c r="C21" s="85" t="s">
        <v>1292</v>
      </c>
      <c r="D21" s="75">
        <v>2738.0</v>
      </c>
      <c r="E21" s="75" t="s">
        <v>1293</v>
      </c>
      <c r="F21" s="76" t="s">
        <v>770</v>
      </c>
      <c r="G21" s="77" t="s">
        <v>658</v>
      </c>
      <c r="H21" s="77">
        <f>1711+35+2738*5</f>
        <v>15436</v>
      </c>
      <c r="I21" s="77">
        <v>1.0</v>
      </c>
      <c r="J21" s="78">
        <f t="shared" si="1"/>
        <v>10.49511719</v>
      </c>
      <c r="K21" s="79">
        <f t="shared" si="2"/>
        <v>1470.779194</v>
      </c>
      <c r="L21" s="80" t="s">
        <v>658</v>
      </c>
      <c r="M21" s="81">
        <v>1.0</v>
      </c>
      <c r="N21" s="82">
        <v>90.023753</v>
      </c>
      <c r="O21" s="82">
        <v>83.847981</v>
      </c>
      <c r="P21" s="82">
        <f t="shared" si="3"/>
        <v>6.175772</v>
      </c>
      <c r="Q21" s="78">
        <f t="shared" si="4"/>
        <v>10.49511719</v>
      </c>
      <c r="R21" s="83">
        <f t="shared" si="5"/>
        <v>1470.78237</v>
      </c>
      <c r="S21" s="84" t="s">
        <v>1294</v>
      </c>
      <c r="T21" s="83">
        <f t="shared" si="6"/>
        <v>1.000002159</v>
      </c>
      <c r="U21" s="83">
        <f t="shared" si="7"/>
        <v>0.0001126646382</v>
      </c>
    </row>
    <row r="22" ht="26.25" customHeight="1">
      <c r="A22" s="105"/>
      <c r="B22" s="73" t="s">
        <v>1256</v>
      </c>
      <c r="C22" s="73" t="s">
        <v>1292</v>
      </c>
      <c r="D22" s="75">
        <v>2738.0</v>
      </c>
      <c r="E22" s="75" t="s">
        <v>1293</v>
      </c>
      <c r="F22" s="76" t="s">
        <v>1295</v>
      </c>
      <c r="G22" s="77" t="s">
        <v>658</v>
      </c>
      <c r="H22" s="77">
        <f>35+1711+2738*7</f>
        <v>20912</v>
      </c>
      <c r="I22" s="77">
        <v>1.0</v>
      </c>
      <c r="J22" s="78">
        <f t="shared" si="1"/>
        <v>10.49511719</v>
      </c>
      <c r="K22" s="79">
        <f t="shared" si="2"/>
        <v>1992.545641</v>
      </c>
      <c r="L22" s="80" t="s">
        <v>658</v>
      </c>
      <c r="M22" s="81">
        <v>2.0</v>
      </c>
      <c r="N22" s="82">
        <v>90.023753</v>
      </c>
      <c r="O22" s="82">
        <v>73.27791</v>
      </c>
      <c r="P22" s="82">
        <f t="shared" si="3"/>
        <v>16.745843</v>
      </c>
      <c r="Q22" s="78">
        <f t="shared" si="4"/>
        <v>10.49511719</v>
      </c>
      <c r="R22" s="83">
        <f t="shared" si="5"/>
        <v>1994.041445</v>
      </c>
      <c r="S22" s="84" t="s">
        <v>705</v>
      </c>
      <c r="T22" s="83">
        <f t="shared" si="6"/>
        <v>1.0007507</v>
      </c>
      <c r="U22" s="83">
        <f t="shared" si="7"/>
        <v>0.10614618</v>
      </c>
    </row>
    <row r="23" ht="26.25" customHeight="1">
      <c r="A23" s="105"/>
      <c r="B23" s="73" t="s">
        <v>1256</v>
      </c>
      <c r="C23" s="85" t="s">
        <v>1292</v>
      </c>
      <c r="D23" s="75">
        <v>3261.0</v>
      </c>
      <c r="E23" s="75" t="s">
        <v>1296</v>
      </c>
      <c r="F23" s="75" t="s">
        <v>1297</v>
      </c>
      <c r="G23" s="77" t="s">
        <v>658</v>
      </c>
      <c r="H23" s="77">
        <f>1631+33+2668+2845+3087+3231+3261*3</f>
        <v>23278</v>
      </c>
      <c r="I23" s="77">
        <v>1.0</v>
      </c>
      <c r="J23" s="78">
        <f t="shared" si="1"/>
        <v>10.49511719</v>
      </c>
      <c r="K23" s="79">
        <f t="shared" si="2"/>
        <v>2217.983809</v>
      </c>
      <c r="L23" s="80" t="s">
        <v>658</v>
      </c>
      <c r="M23" s="81">
        <v>1.0</v>
      </c>
      <c r="N23" s="82">
        <v>90.023753</v>
      </c>
      <c r="O23" s="82">
        <v>80.64133</v>
      </c>
      <c r="P23" s="82">
        <f t="shared" si="3"/>
        <v>9.382423</v>
      </c>
      <c r="Q23" s="78">
        <f t="shared" si="4"/>
        <v>10.49511719</v>
      </c>
      <c r="R23" s="83">
        <f t="shared" si="5"/>
        <v>2234.457867</v>
      </c>
      <c r="S23" s="84" t="s">
        <v>705</v>
      </c>
      <c r="T23" s="83">
        <f t="shared" si="6"/>
        <v>1.007427492</v>
      </c>
      <c r="U23" s="83">
        <f t="shared" si="7"/>
        <v>0.5845210203</v>
      </c>
    </row>
    <row r="24" ht="26.25" customHeight="1">
      <c r="A24" s="105"/>
      <c r="B24" s="73" t="s">
        <v>1256</v>
      </c>
      <c r="C24" s="85" t="s">
        <v>1298</v>
      </c>
      <c r="D24" s="75">
        <v>1282.0</v>
      </c>
      <c r="E24" s="75" t="s">
        <v>1299</v>
      </c>
      <c r="F24" s="75" t="s">
        <v>770</v>
      </c>
      <c r="G24" s="77" t="s">
        <v>689</v>
      </c>
      <c r="H24" s="77">
        <v>13991.0</v>
      </c>
      <c r="I24" s="77">
        <v>6.0</v>
      </c>
      <c r="J24" s="78">
        <v>2.0</v>
      </c>
      <c r="K24" s="79">
        <f t="shared" si="2"/>
        <v>1165.916667</v>
      </c>
      <c r="L24" s="80" t="s">
        <v>658</v>
      </c>
      <c r="M24" s="81">
        <v>1.0</v>
      </c>
      <c r="N24" s="82">
        <v>90.023753</v>
      </c>
      <c r="O24" s="82">
        <v>85.273159</v>
      </c>
      <c r="P24" s="82">
        <f t="shared" si="3"/>
        <v>4.750594</v>
      </c>
      <c r="Q24" s="78">
        <f t="shared" si="4"/>
        <v>10.49511719</v>
      </c>
      <c r="R24" s="83">
        <f t="shared" si="5"/>
        <v>1131.37109</v>
      </c>
      <c r="S24" s="84" t="s">
        <v>705</v>
      </c>
      <c r="T24" s="83">
        <f t="shared" si="6"/>
        <v>0.9703704582</v>
      </c>
      <c r="U24" s="83">
        <f t="shared" si="7"/>
        <v>-0.233579485</v>
      </c>
    </row>
    <row r="25" ht="26.25" customHeight="1">
      <c r="A25" s="105"/>
      <c r="B25" s="73" t="s">
        <v>1256</v>
      </c>
      <c r="C25" s="73" t="s">
        <v>1298</v>
      </c>
      <c r="D25" s="75">
        <v>1885.0</v>
      </c>
      <c r="E25" s="75" t="s">
        <v>1300</v>
      </c>
      <c r="F25" s="76" t="s">
        <v>1291</v>
      </c>
      <c r="G25" s="77" t="s">
        <v>689</v>
      </c>
      <c r="H25" s="77">
        <v>28177.0</v>
      </c>
      <c r="I25" s="77">
        <v>6.0</v>
      </c>
      <c r="J25" s="78">
        <v>2.0</v>
      </c>
      <c r="K25" s="79">
        <f t="shared" si="2"/>
        <v>2348.083333</v>
      </c>
      <c r="L25" s="80" t="s">
        <v>658</v>
      </c>
      <c r="M25" s="81">
        <v>2.0</v>
      </c>
      <c r="N25" s="82">
        <v>90.023753</v>
      </c>
      <c r="O25" s="82">
        <v>71.377672</v>
      </c>
      <c r="P25" s="82">
        <f t="shared" si="3"/>
        <v>18.646081</v>
      </c>
      <c r="Q25" s="78">
        <f t="shared" si="4"/>
        <v>10.49511719</v>
      </c>
      <c r="R25" s="83">
        <f t="shared" si="5"/>
        <v>2220.315711</v>
      </c>
      <c r="S25" s="84" t="s">
        <v>705</v>
      </c>
      <c r="T25" s="83">
        <f t="shared" si="6"/>
        <v>0.945586419</v>
      </c>
      <c r="U25" s="83">
        <f t="shared" si="7"/>
        <v>-1.727798373</v>
      </c>
    </row>
    <row r="26" ht="26.25" customHeight="1">
      <c r="A26" s="105"/>
      <c r="B26" s="85" t="s">
        <v>1256</v>
      </c>
      <c r="C26" s="85" t="s">
        <v>1301</v>
      </c>
      <c r="D26" s="75">
        <v>2977.0</v>
      </c>
      <c r="E26" s="75" t="s">
        <v>1302</v>
      </c>
      <c r="F26" s="76"/>
      <c r="G26" s="77" t="s">
        <v>658</v>
      </c>
      <c r="H26" s="77">
        <f>2083+30+2977</f>
        <v>5090</v>
      </c>
      <c r="I26" s="77">
        <v>1.0</v>
      </c>
      <c r="J26" s="78">
        <f t="shared" ref="J26:J62" si="8">IFS(G26="S",21494/2048,G26="C",(21494/2048)/(87875/9999)*2*1.3,OR(G26="R",G26="T"),1)</f>
        <v>10.49511719</v>
      </c>
      <c r="K26" s="79">
        <f t="shared" si="2"/>
        <v>484.9874384</v>
      </c>
      <c r="L26" s="80" t="s">
        <v>658</v>
      </c>
      <c r="M26" s="81">
        <v>3.0</v>
      </c>
      <c r="N26" s="82">
        <v>90.023753</v>
      </c>
      <c r="O26" s="82">
        <v>83.847981</v>
      </c>
      <c r="P26" s="82">
        <f t="shared" si="3"/>
        <v>6.175772</v>
      </c>
      <c r="Q26" s="78">
        <f t="shared" si="4"/>
        <v>10.49511719</v>
      </c>
      <c r="R26" s="83">
        <f t="shared" si="5"/>
        <v>490.2607898</v>
      </c>
      <c r="S26" s="84" t="s">
        <v>705</v>
      </c>
      <c r="T26" s="83">
        <f t="shared" si="6"/>
        <v>1.010873171</v>
      </c>
      <c r="U26" s="83">
        <f t="shared" si="7"/>
        <v>0.5613161294</v>
      </c>
    </row>
    <row r="27" ht="26.25" customHeight="1">
      <c r="A27" s="105"/>
      <c r="B27" s="73" t="s">
        <v>1256</v>
      </c>
      <c r="C27" s="85" t="s">
        <v>1303</v>
      </c>
      <c r="D27" s="75">
        <v>985.0</v>
      </c>
      <c r="E27" s="75" t="s">
        <v>1304</v>
      </c>
      <c r="F27" s="76" t="s">
        <v>770</v>
      </c>
      <c r="G27" s="77" t="s">
        <v>658</v>
      </c>
      <c r="H27" s="77">
        <f>66+263*4+985*4</f>
        <v>5058</v>
      </c>
      <c r="I27" s="77">
        <v>1.0</v>
      </c>
      <c r="J27" s="78">
        <f t="shared" si="8"/>
        <v>10.49511719</v>
      </c>
      <c r="K27" s="79">
        <f t="shared" si="2"/>
        <v>481.9384014</v>
      </c>
      <c r="L27" s="80" t="s">
        <v>658</v>
      </c>
      <c r="M27" s="81">
        <v>3.0</v>
      </c>
      <c r="N27" s="82">
        <v>90.023753</v>
      </c>
      <c r="O27" s="82">
        <v>83.372922</v>
      </c>
      <c r="P27" s="82">
        <f t="shared" si="3"/>
        <v>6.650831</v>
      </c>
      <c r="Q27" s="78">
        <f t="shared" si="4"/>
        <v>10.49511719</v>
      </c>
      <c r="R27" s="83">
        <f t="shared" si="5"/>
        <v>527.9731278</v>
      </c>
      <c r="S27" s="84" t="s">
        <v>705</v>
      </c>
      <c r="T27" s="83">
        <f t="shared" si="6"/>
        <v>1.095519938</v>
      </c>
      <c r="U27" s="83">
        <f t="shared" si="7"/>
        <v>4.900116081</v>
      </c>
    </row>
    <row r="28" ht="26.25" customHeight="1">
      <c r="A28" s="105"/>
      <c r="B28" s="73" t="s">
        <v>1256</v>
      </c>
      <c r="C28" s="85" t="s">
        <v>1305</v>
      </c>
      <c r="D28" s="75">
        <v>856.0</v>
      </c>
      <c r="E28" s="75" t="s">
        <v>1306</v>
      </c>
      <c r="F28" s="76" t="s">
        <v>1307</v>
      </c>
      <c r="G28" s="77" t="s">
        <v>834</v>
      </c>
      <c r="H28" s="77">
        <v>6519.0</v>
      </c>
      <c r="I28" s="77">
        <v>4.0</v>
      </c>
      <c r="J28" s="78">
        <f t="shared" si="8"/>
        <v>1</v>
      </c>
      <c r="K28" s="79">
        <f t="shared" si="2"/>
        <v>1629.75</v>
      </c>
      <c r="L28" s="80" t="s">
        <v>834</v>
      </c>
      <c r="M28" s="81">
        <v>4.0</v>
      </c>
      <c r="N28" s="82">
        <v>100.0</v>
      </c>
      <c r="O28" s="82">
        <v>96.199525</v>
      </c>
      <c r="P28" s="82">
        <f t="shared" si="3"/>
        <v>3.800475</v>
      </c>
      <c r="Q28" s="78">
        <f t="shared" si="4"/>
        <v>1</v>
      </c>
      <c r="R28" s="83">
        <f t="shared" si="5"/>
        <v>1617.624678</v>
      </c>
      <c r="S28" s="84" t="s">
        <v>891</v>
      </c>
      <c r="T28" s="83">
        <f t="shared" si="6"/>
        <v>0.9925600109</v>
      </c>
      <c r="U28" s="83">
        <f t="shared" si="7"/>
        <v>-0.240718857</v>
      </c>
    </row>
    <row r="29" ht="26.25" customHeight="1">
      <c r="A29" s="105"/>
      <c r="B29" s="73" t="s">
        <v>1256</v>
      </c>
      <c r="C29" s="85" t="s">
        <v>1305</v>
      </c>
      <c r="D29" s="75">
        <v>856.0</v>
      </c>
      <c r="E29" s="75" t="s">
        <v>1308</v>
      </c>
      <c r="F29" s="76" t="s">
        <v>1309</v>
      </c>
      <c r="G29" s="77" t="s">
        <v>834</v>
      </c>
      <c r="H29" s="77">
        <v>11115.0</v>
      </c>
      <c r="I29" s="77">
        <v>4.0</v>
      </c>
      <c r="J29" s="78">
        <f t="shared" si="8"/>
        <v>1</v>
      </c>
      <c r="K29" s="79">
        <f t="shared" si="2"/>
        <v>2778.75</v>
      </c>
      <c r="L29" s="80" t="s">
        <v>834</v>
      </c>
      <c r="M29" s="81">
        <v>4.0</v>
      </c>
      <c r="N29" s="82">
        <v>100.0</v>
      </c>
      <c r="O29" s="82">
        <v>93.467933</v>
      </c>
      <c r="P29" s="82">
        <f t="shared" si="3"/>
        <v>6.532067</v>
      </c>
      <c r="Q29" s="78">
        <f t="shared" si="4"/>
        <v>1</v>
      </c>
      <c r="R29" s="83">
        <f t="shared" si="5"/>
        <v>2780.292668</v>
      </c>
      <c r="S29" s="84" t="s">
        <v>891</v>
      </c>
      <c r="T29" s="83">
        <f t="shared" si="6"/>
        <v>1.000555166</v>
      </c>
      <c r="U29" s="83">
        <f t="shared" si="7"/>
        <v>0.03062592504</v>
      </c>
    </row>
    <row r="30" ht="26.25" customHeight="1">
      <c r="A30" s="105"/>
      <c r="B30" s="73" t="s">
        <v>1256</v>
      </c>
      <c r="C30" s="85" t="s">
        <v>1305</v>
      </c>
      <c r="D30" s="75">
        <v>856.0</v>
      </c>
      <c r="E30" s="75" t="s">
        <v>1310</v>
      </c>
      <c r="F30" s="76" t="s">
        <v>1311</v>
      </c>
      <c r="G30" s="77" t="s">
        <v>658</v>
      </c>
      <c r="H30" s="77">
        <f>685+35+69+71*6+856*12+65+54+43+32+30+171+160+145+134+123+112+101+90+79+68+57+47+36</f>
        <v>13034</v>
      </c>
      <c r="I30" s="77">
        <v>1.0</v>
      </c>
      <c r="J30" s="78">
        <f t="shared" si="8"/>
        <v>10.49511719</v>
      </c>
      <c r="K30" s="79">
        <f t="shared" si="2"/>
        <v>1241.910859</v>
      </c>
      <c r="L30" s="80" t="s">
        <v>658</v>
      </c>
      <c r="M30" s="81">
        <v>1.0</v>
      </c>
      <c r="N30" s="82">
        <v>90.023753</v>
      </c>
      <c r="O30" s="82">
        <v>83.966746</v>
      </c>
      <c r="P30" s="82">
        <f t="shared" si="3"/>
        <v>6.057007</v>
      </c>
      <c r="Q30" s="78">
        <f t="shared" si="4"/>
        <v>10.49511719</v>
      </c>
      <c r="R30" s="83">
        <f t="shared" si="5"/>
        <v>1442.498057</v>
      </c>
      <c r="S30" s="84" t="s">
        <v>1294</v>
      </c>
      <c r="T30" s="83">
        <f t="shared" si="6"/>
        <v>1.161514972</v>
      </c>
      <c r="U30" s="83">
        <f t="shared" si="7"/>
        <v>7.117094935</v>
      </c>
    </row>
    <row r="31" ht="26.25" customHeight="1">
      <c r="A31" s="105"/>
      <c r="B31" s="73" t="s">
        <v>1256</v>
      </c>
      <c r="C31" s="85" t="s">
        <v>1312</v>
      </c>
      <c r="D31" s="75">
        <v>5607.0</v>
      </c>
      <c r="E31" s="75" t="s">
        <v>1313</v>
      </c>
      <c r="F31" s="76" t="s">
        <v>770</v>
      </c>
      <c r="G31" s="77" t="s">
        <v>658</v>
      </c>
      <c r="H31" s="77">
        <f>5607+3958</f>
        <v>9565</v>
      </c>
      <c r="I31" s="77">
        <v>1.0</v>
      </c>
      <c r="J31" s="78">
        <f t="shared" si="8"/>
        <v>10.49511719</v>
      </c>
      <c r="K31" s="79">
        <f t="shared" si="2"/>
        <v>911.376198</v>
      </c>
      <c r="L31" s="80" t="s">
        <v>658</v>
      </c>
      <c r="M31" s="81">
        <v>2.0</v>
      </c>
      <c r="N31" s="82">
        <v>90.023753</v>
      </c>
      <c r="O31" s="82">
        <v>80.047506</v>
      </c>
      <c r="P31" s="82">
        <f t="shared" si="3"/>
        <v>9.976247</v>
      </c>
      <c r="Q31" s="78">
        <f t="shared" si="4"/>
        <v>10.49511719</v>
      </c>
      <c r="R31" s="83">
        <f t="shared" si="5"/>
        <v>1187.939597</v>
      </c>
      <c r="S31" s="84" t="s">
        <v>705</v>
      </c>
      <c r="T31" s="83">
        <f t="shared" si="6"/>
        <v>1.303456904</v>
      </c>
      <c r="U31" s="83">
        <f t="shared" si="7"/>
        <v>19.62565895</v>
      </c>
    </row>
    <row r="32" ht="26.25" customHeight="1">
      <c r="A32" s="105"/>
      <c r="B32" s="73" t="s">
        <v>1256</v>
      </c>
      <c r="C32" s="85" t="s">
        <v>1312</v>
      </c>
      <c r="D32" s="75">
        <v>5607.0</v>
      </c>
      <c r="E32" s="75" t="s">
        <v>1313</v>
      </c>
      <c r="F32" s="75" t="s">
        <v>1295</v>
      </c>
      <c r="G32" s="77" t="s">
        <v>658</v>
      </c>
      <c r="H32" s="77">
        <f>5607+3958*2</f>
        <v>13523</v>
      </c>
      <c r="I32" s="77">
        <v>1.0</v>
      </c>
      <c r="J32" s="78">
        <f t="shared" si="8"/>
        <v>10.49511719</v>
      </c>
      <c r="K32" s="79">
        <f t="shared" si="2"/>
        <v>1288.503955</v>
      </c>
      <c r="L32" s="80" t="s">
        <v>658</v>
      </c>
      <c r="M32" s="81">
        <v>2.0</v>
      </c>
      <c r="N32" s="82">
        <v>90.023753</v>
      </c>
      <c r="O32" s="82">
        <v>79.097387</v>
      </c>
      <c r="P32" s="82">
        <f t="shared" si="3"/>
        <v>10.926366</v>
      </c>
      <c r="Q32" s="78">
        <f t="shared" si="4"/>
        <v>10.49511719</v>
      </c>
      <c r="R32" s="83">
        <f t="shared" si="5"/>
        <v>1301.07673</v>
      </c>
      <c r="S32" s="84" t="s">
        <v>705</v>
      </c>
      <c r="T32" s="83">
        <f t="shared" si="6"/>
        <v>1.009757654</v>
      </c>
      <c r="U32" s="83">
        <f t="shared" si="7"/>
        <v>0.8921968689</v>
      </c>
    </row>
    <row r="33" ht="26.25" customHeight="1">
      <c r="A33" s="105"/>
      <c r="B33" s="73" t="s">
        <v>1256</v>
      </c>
      <c r="C33" s="85" t="s">
        <v>1312</v>
      </c>
      <c r="D33" s="75">
        <v>5342.0</v>
      </c>
      <c r="E33" s="75" t="s">
        <v>1314</v>
      </c>
      <c r="F33" s="76" t="s">
        <v>1297</v>
      </c>
      <c r="G33" s="77" t="s">
        <v>658</v>
      </c>
      <c r="H33" s="77">
        <f>5342+1081+1368+1353+1050+1273+1237+1075+854+862+611+632+632+940</f>
        <v>18310</v>
      </c>
      <c r="I33" s="77">
        <v>1.0</v>
      </c>
      <c r="J33" s="78">
        <f t="shared" si="8"/>
        <v>10.49511719</v>
      </c>
      <c r="K33" s="79">
        <f t="shared" si="2"/>
        <v>1744.620824</v>
      </c>
      <c r="L33" s="80" t="s">
        <v>658</v>
      </c>
      <c r="M33" s="81">
        <v>1.0</v>
      </c>
      <c r="N33" s="82">
        <v>90.023753</v>
      </c>
      <c r="O33" s="82">
        <v>80.522565</v>
      </c>
      <c r="P33" s="82">
        <f t="shared" si="3"/>
        <v>9.501188</v>
      </c>
      <c r="Q33" s="78">
        <f t="shared" si="4"/>
        <v>10.49511719</v>
      </c>
      <c r="R33" s="83">
        <f t="shared" si="5"/>
        <v>2262.74218</v>
      </c>
      <c r="S33" s="84" t="s">
        <v>705</v>
      </c>
      <c r="T33" s="83">
        <f t="shared" si="6"/>
        <v>1.296982214</v>
      </c>
      <c r="U33" s="83">
        <f t="shared" si="7"/>
        <v>18.38362029</v>
      </c>
    </row>
    <row r="34" ht="26.25" customHeight="1">
      <c r="A34" s="105"/>
      <c r="B34" s="73" t="s">
        <v>1256</v>
      </c>
      <c r="C34" s="73" t="s">
        <v>1315</v>
      </c>
      <c r="D34" s="75">
        <v>1037.0</v>
      </c>
      <c r="E34" s="75" t="s">
        <v>1267</v>
      </c>
      <c r="F34" s="76"/>
      <c r="G34" s="77" t="s">
        <v>834</v>
      </c>
      <c r="H34" s="77">
        <v>6264.0</v>
      </c>
      <c r="I34" s="77">
        <v>6.0</v>
      </c>
      <c r="J34" s="78">
        <f t="shared" si="8"/>
        <v>1</v>
      </c>
      <c r="K34" s="79">
        <f t="shared" si="2"/>
        <v>1044</v>
      </c>
      <c r="L34" s="80" t="s">
        <v>834</v>
      </c>
      <c r="M34" s="81">
        <v>6.0</v>
      </c>
      <c r="N34" s="82">
        <v>100.0</v>
      </c>
      <c r="O34" s="82">
        <v>96.199525</v>
      </c>
      <c r="P34" s="82">
        <f t="shared" si="3"/>
        <v>3.800475</v>
      </c>
      <c r="Q34" s="78">
        <f t="shared" si="4"/>
        <v>1</v>
      </c>
      <c r="R34" s="83">
        <f t="shared" si="5"/>
        <v>1078.416452</v>
      </c>
      <c r="S34" s="84" t="s">
        <v>757</v>
      </c>
      <c r="T34" s="83">
        <f t="shared" si="6"/>
        <v>1.03296595</v>
      </c>
      <c r="U34" s="83">
        <f t="shared" si="7"/>
        <v>1.024882741</v>
      </c>
    </row>
    <row r="35" ht="26.25" customHeight="1">
      <c r="A35" s="105"/>
      <c r="B35" s="73" t="s">
        <v>1256</v>
      </c>
      <c r="C35" s="85" t="s">
        <v>1316</v>
      </c>
      <c r="D35" s="75">
        <v>629.0</v>
      </c>
      <c r="E35" s="75" t="s">
        <v>1317</v>
      </c>
      <c r="F35" s="76" t="s">
        <v>1318</v>
      </c>
      <c r="G35" s="77" t="s">
        <v>658</v>
      </c>
      <c r="H35" s="77">
        <f>79*3+50+98*3+590*11+55+286+357+103+629*4+46+570+441+137+170*3+590*6+629*3+475+178+348+190+229+7441</f>
        <v>26380</v>
      </c>
      <c r="I35" s="77">
        <v>3.0</v>
      </c>
      <c r="J35" s="78">
        <f t="shared" si="8"/>
        <v>10.49511719</v>
      </c>
      <c r="K35" s="79">
        <f t="shared" si="2"/>
        <v>837.8499426</v>
      </c>
      <c r="L35" s="80" t="s">
        <v>658</v>
      </c>
      <c r="M35" s="81">
        <v>3.0</v>
      </c>
      <c r="N35" s="82">
        <v>90.023753</v>
      </c>
      <c r="O35" s="82">
        <v>78.859857</v>
      </c>
      <c r="P35" s="82">
        <f t="shared" si="3"/>
        <v>11.163896</v>
      </c>
      <c r="Q35" s="78">
        <f t="shared" si="4"/>
        <v>10.49511719</v>
      </c>
      <c r="R35" s="83">
        <f t="shared" si="5"/>
        <v>886.2406952</v>
      </c>
      <c r="S35" s="84" t="s">
        <v>705</v>
      </c>
      <c r="T35" s="83">
        <f t="shared" si="6"/>
        <v>1.05775587</v>
      </c>
      <c r="U35" s="83">
        <f t="shared" si="7"/>
        <v>5.150900715</v>
      </c>
    </row>
    <row r="36" ht="26.25" customHeight="1">
      <c r="A36" s="105"/>
      <c r="B36" s="73" t="s">
        <v>1256</v>
      </c>
      <c r="C36" s="85" t="s">
        <v>1316</v>
      </c>
      <c r="D36" s="75">
        <v>629.0</v>
      </c>
      <c r="E36" s="75" t="s">
        <v>1317</v>
      </c>
      <c r="F36" s="76" t="s">
        <v>1265</v>
      </c>
      <c r="G36" s="77" t="s">
        <v>658</v>
      </c>
      <c r="H36" s="77">
        <f>79*2+540+629+54+590*2+21+461+242+127+190*5+7441+1+191+274+629+590</f>
        <v>13488</v>
      </c>
      <c r="I36" s="77">
        <v>2.0</v>
      </c>
      <c r="J36" s="78">
        <f t="shared" si="8"/>
        <v>10.49511719</v>
      </c>
      <c r="K36" s="79">
        <f t="shared" si="2"/>
        <v>642.5845352</v>
      </c>
      <c r="L36" s="80" t="s">
        <v>658</v>
      </c>
      <c r="M36" s="81">
        <v>2.0</v>
      </c>
      <c r="N36" s="82">
        <v>90.023753</v>
      </c>
      <c r="O36" s="82">
        <v>81.710214</v>
      </c>
      <c r="P36" s="82">
        <f t="shared" si="3"/>
        <v>8.313539</v>
      </c>
      <c r="Q36" s="78">
        <f t="shared" si="4"/>
        <v>10.49511719</v>
      </c>
      <c r="R36" s="83">
        <f t="shared" si="5"/>
        <v>989.9496443</v>
      </c>
      <c r="S36" s="84" t="s">
        <v>705</v>
      </c>
      <c r="T36" s="83">
        <f t="shared" si="6"/>
        <v>1.540574959</v>
      </c>
      <c r="U36" s="83">
        <f t="shared" si="7"/>
        <v>24.64993267</v>
      </c>
    </row>
    <row r="37" ht="26.25" customHeight="1">
      <c r="A37" s="105"/>
      <c r="B37" s="73" t="s">
        <v>1256</v>
      </c>
      <c r="C37" s="73" t="s">
        <v>1319</v>
      </c>
      <c r="D37" s="75">
        <v>258.0</v>
      </c>
      <c r="E37" s="75" t="s">
        <v>1320</v>
      </c>
      <c r="F37" s="76" t="s">
        <v>1265</v>
      </c>
      <c r="G37" s="77" t="s">
        <v>834</v>
      </c>
      <c r="H37" s="77">
        <v>27531.0</v>
      </c>
      <c r="I37" s="77">
        <v>4.0</v>
      </c>
      <c r="J37" s="78">
        <f t="shared" si="8"/>
        <v>1</v>
      </c>
      <c r="K37" s="79">
        <f t="shared" si="2"/>
        <v>6882.75</v>
      </c>
      <c r="L37" s="80" t="s">
        <v>834</v>
      </c>
      <c r="M37" s="81">
        <v>4.0</v>
      </c>
      <c r="N37" s="82">
        <v>100.0</v>
      </c>
      <c r="O37" s="82">
        <v>83.729216</v>
      </c>
      <c r="P37" s="82">
        <f t="shared" si="3"/>
        <v>16.270784</v>
      </c>
      <c r="Q37" s="78">
        <f t="shared" si="4"/>
        <v>1</v>
      </c>
      <c r="R37" s="83">
        <f t="shared" si="5"/>
        <v>6925.455825</v>
      </c>
      <c r="S37" s="84" t="s">
        <v>891</v>
      </c>
      <c r="T37" s="83">
        <f t="shared" si="6"/>
        <v>1.006204762</v>
      </c>
      <c r="U37" s="83">
        <f t="shared" si="7"/>
        <v>0.8478205505</v>
      </c>
    </row>
    <row r="38" ht="26.25" customHeight="1">
      <c r="A38" s="105"/>
      <c r="B38" s="85" t="s">
        <v>1256</v>
      </c>
      <c r="C38" s="73" t="s">
        <v>1321</v>
      </c>
      <c r="D38" s="75">
        <v>3095.0</v>
      </c>
      <c r="E38" s="75" t="s">
        <v>1322</v>
      </c>
      <c r="F38" s="76" t="s">
        <v>1323</v>
      </c>
      <c r="G38" s="77" t="s">
        <v>658</v>
      </c>
      <c r="H38" s="77">
        <f>3095*3</f>
        <v>9285</v>
      </c>
      <c r="I38" s="77">
        <v>1.0</v>
      </c>
      <c r="J38" s="78">
        <f t="shared" si="8"/>
        <v>10.49511719</v>
      </c>
      <c r="K38" s="79">
        <f t="shared" si="2"/>
        <v>884.6971248</v>
      </c>
      <c r="L38" s="80" t="s">
        <v>658</v>
      </c>
      <c r="M38" s="81">
        <v>2.0</v>
      </c>
      <c r="N38" s="82">
        <v>90.023753</v>
      </c>
      <c r="O38" s="82">
        <v>82.541568</v>
      </c>
      <c r="P38" s="82">
        <f t="shared" si="3"/>
        <v>7.482185</v>
      </c>
      <c r="Q38" s="78">
        <f t="shared" si="4"/>
        <v>10.49511719</v>
      </c>
      <c r="R38" s="83">
        <f t="shared" si="5"/>
        <v>890.954668</v>
      </c>
      <c r="S38" s="84" t="s">
        <v>705</v>
      </c>
      <c r="T38" s="83">
        <f t="shared" si="6"/>
        <v>1.007073091</v>
      </c>
      <c r="U38" s="83">
        <f t="shared" si="7"/>
        <v>0.4440515594</v>
      </c>
    </row>
    <row r="39" ht="26.25" customHeight="1">
      <c r="A39" s="105"/>
      <c r="B39" s="85" t="s">
        <v>1256</v>
      </c>
      <c r="C39" s="73" t="s">
        <v>1321</v>
      </c>
      <c r="D39" s="75">
        <v>4116.0</v>
      </c>
      <c r="E39" s="75" t="s">
        <v>1322</v>
      </c>
      <c r="F39" s="76" t="s">
        <v>1324</v>
      </c>
      <c r="G39" s="77" t="s">
        <v>658</v>
      </c>
      <c r="H39" s="77">
        <f>4116*3</f>
        <v>12348</v>
      </c>
      <c r="I39" s="77">
        <v>1.0</v>
      </c>
      <c r="J39" s="78">
        <f t="shared" si="8"/>
        <v>10.49511719</v>
      </c>
      <c r="K39" s="79">
        <f t="shared" si="2"/>
        <v>1176.547129</v>
      </c>
      <c r="L39" s="80" t="s">
        <v>658</v>
      </c>
      <c r="M39" s="81">
        <v>2.0</v>
      </c>
      <c r="N39" s="82">
        <v>90.023753</v>
      </c>
      <c r="O39" s="82">
        <v>80.047506</v>
      </c>
      <c r="P39" s="82">
        <f t="shared" si="3"/>
        <v>9.976247</v>
      </c>
      <c r="Q39" s="78">
        <f t="shared" si="4"/>
        <v>10.49511719</v>
      </c>
      <c r="R39" s="83">
        <f t="shared" si="5"/>
        <v>1187.939597</v>
      </c>
      <c r="S39" s="84" t="s">
        <v>705</v>
      </c>
      <c r="T39" s="83">
        <f t="shared" si="6"/>
        <v>1.009682967</v>
      </c>
      <c r="U39" s="83">
        <f t="shared" si="7"/>
        <v>0.8084391634</v>
      </c>
    </row>
    <row r="40" ht="26.25" customHeight="1">
      <c r="A40" s="105"/>
      <c r="B40" s="73" t="s">
        <v>1256</v>
      </c>
      <c r="C40" s="73" t="s">
        <v>1325</v>
      </c>
      <c r="D40" s="75">
        <v>10055.0</v>
      </c>
      <c r="E40" s="75" t="s">
        <v>1326</v>
      </c>
      <c r="F40" s="75" t="s">
        <v>1327</v>
      </c>
      <c r="G40" s="77" t="s">
        <v>658</v>
      </c>
      <c r="H40" s="77">
        <f>126*2+143*4+10055*2+7090</f>
        <v>28024</v>
      </c>
      <c r="I40" s="77">
        <v>2.0</v>
      </c>
      <c r="J40" s="78">
        <f t="shared" si="8"/>
        <v>10.49511719</v>
      </c>
      <c r="K40" s="79">
        <f t="shared" si="2"/>
        <v>1335.09705</v>
      </c>
      <c r="L40" s="80" t="s">
        <v>658</v>
      </c>
      <c r="M40" s="81">
        <v>2.0</v>
      </c>
      <c r="N40" s="82">
        <v>90.023753</v>
      </c>
      <c r="O40" s="82">
        <v>78.741093</v>
      </c>
      <c r="P40" s="82">
        <f t="shared" si="3"/>
        <v>11.28266</v>
      </c>
      <c r="Q40" s="78">
        <f t="shared" si="4"/>
        <v>10.49511719</v>
      </c>
      <c r="R40" s="83">
        <f t="shared" si="5"/>
        <v>1343.50308</v>
      </c>
      <c r="S40" s="84" t="s">
        <v>705</v>
      </c>
      <c r="T40" s="83">
        <f t="shared" si="6"/>
        <v>1.006296194</v>
      </c>
      <c r="U40" s="83">
        <f t="shared" si="7"/>
        <v>0.5965137681</v>
      </c>
    </row>
    <row r="41" ht="26.25" customHeight="1">
      <c r="A41" s="105"/>
      <c r="B41" s="73" t="s">
        <v>1256</v>
      </c>
      <c r="C41" s="73" t="s">
        <v>1325</v>
      </c>
      <c r="D41" s="75">
        <v>9235.0</v>
      </c>
      <c r="E41" s="75" t="s">
        <v>1328</v>
      </c>
      <c r="F41" s="76" t="s">
        <v>1265</v>
      </c>
      <c r="G41" s="77" t="s">
        <v>658</v>
      </c>
      <c r="H41" s="77">
        <f>132*2+9235*2+150*4+7441</f>
        <v>26775</v>
      </c>
      <c r="I41" s="77">
        <v>2.0</v>
      </c>
      <c r="J41" s="78">
        <f t="shared" si="8"/>
        <v>10.49511719</v>
      </c>
      <c r="K41" s="79">
        <f t="shared" si="2"/>
        <v>1275.593189</v>
      </c>
      <c r="L41" s="80" t="s">
        <v>658</v>
      </c>
      <c r="M41" s="81">
        <v>2.0</v>
      </c>
      <c r="N41" s="82">
        <v>90.023753</v>
      </c>
      <c r="O41" s="82">
        <v>79.216152</v>
      </c>
      <c r="P41" s="82">
        <f t="shared" si="3"/>
        <v>10.807601</v>
      </c>
      <c r="Q41" s="78">
        <f t="shared" si="4"/>
        <v>10.49511719</v>
      </c>
      <c r="R41" s="83">
        <f t="shared" si="5"/>
        <v>1286.934573</v>
      </c>
      <c r="S41" s="84" t="s">
        <v>705</v>
      </c>
      <c r="T41" s="83">
        <f t="shared" si="6"/>
        <v>1.008891067</v>
      </c>
      <c r="U41" s="83">
        <f t="shared" si="7"/>
        <v>0.8048141789</v>
      </c>
    </row>
    <row r="42" ht="26.25" customHeight="1">
      <c r="A42" s="105"/>
      <c r="B42" s="73" t="s">
        <v>1256</v>
      </c>
      <c r="C42" s="73" t="s">
        <v>1329</v>
      </c>
      <c r="D42" s="75">
        <v>959.0</v>
      </c>
      <c r="E42" s="75" t="s">
        <v>1330</v>
      </c>
      <c r="F42" s="76" t="s">
        <v>1331</v>
      </c>
      <c r="G42" s="77" t="s">
        <v>658</v>
      </c>
      <c r="H42" s="77">
        <f>26*959</f>
        <v>24934</v>
      </c>
      <c r="I42" s="77">
        <v>1.0</v>
      </c>
      <c r="J42" s="78">
        <f t="shared" si="8"/>
        <v>10.49511719</v>
      </c>
      <c r="K42" s="79">
        <f t="shared" si="2"/>
        <v>2375.771471</v>
      </c>
      <c r="L42" s="80" t="s">
        <v>658</v>
      </c>
      <c r="M42" s="81">
        <v>1.0</v>
      </c>
      <c r="N42" s="82">
        <v>90.023753</v>
      </c>
      <c r="O42" s="82">
        <v>80.047506</v>
      </c>
      <c r="P42" s="82">
        <f t="shared" si="3"/>
        <v>9.976247</v>
      </c>
      <c r="Q42" s="78">
        <f t="shared" si="4"/>
        <v>10.49511719</v>
      </c>
      <c r="R42" s="83">
        <f t="shared" si="5"/>
        <v>2375.879194</v>
      </c>
      <c r="S42" s="84" t="s">
        <v>705</v>
      </c>
      <c r="T42" s="83">
        <f t="shared" si="6"/>
        <v>1.000045342</v>
      </c>
      <c r="U42" s="83">
        <f t="shared" si="7"/>
        <v>0.003822147699</v>
      </c>
    </row>
    <row r="43" ht="26.25" customHeight="1">
      <c r="A43" s="105"/>
      <c r="B43" s="73" t="s">
        <v>1256</v>
      </c>
      <c r="C43" s="73" t="s">
        <v>1332</v>
      </c>
      <c r="D43" s="93">
        <v>115.0</v>
      </c>
      <c r="E43" s="75"/>
      <c r="F43" s="76" t="s">
        <v>1331</v>
      </c>
      <c r="G43" s="77" t="s">
        <v>704</v>
      </c>
      <c r="H43" s="77">
        <f>6674*1.5</f>
        <v>10011</v>
      </c>
      <c r="I43" s="77">
        <v>3.0</v>
      </c>
      <c r="J43" s="78">
        <f t="shared" si="8"/>
        <v>1</v>
      </c>
      <c r="K43" s="79">
        <f t="shared" si="2"/>
        <v>3337</v>
      </c>
      <c r="L43" s="80" t="s">
        <v>704</v>
      </c>
      <c r="M43" s="81">
        <v>3.0</v>
      </c>
      <c r="N43" s="82">
        <v>99.408284</v>
      </c>
      <c r="O43" s="82">
        <v>94.201183</v>
      </c>
      <c r="P43" s="82">
        <f t="shared" si="3"/>
        <v>5.207101</v>
      </c>
      <c r="Q43" s="78">
        <v>1.0</v>
      </c>
      <c r="R43" s="83">
        <f>P43/M43/100*182596/Q43</f>
        <v>3169.319381</v>
      </c>
      <c r="S43" s="84" t="s">
        <v>891</v>
      </c>
      <c r="T43" s="83">
        <f t="shared" si="6"/>
        <v>0.949751088</v>
      </c>
      <c r="U43" s="83">
        <f>(R43-K43)*M43*J43/(182596/845)</f>
        <v>-2.327928159</v>
      </c>
    </row>
    <row r="44" ht="26.25" customHeight="1">
      <c r="A44" s="105"/>
      <c r="B44" s="73" t="s">
        <v>1256</v>
      </c>
      <c r="C44" s="85" t="s">
        <v>1333</v>
      </c>
      <c r="D44" s="75">
        <v>774.0</v>
      </c>
      <c r="E44" s="75" t="s">
        <v>1334</v>
      </c>
      <c r="F44" s="76" t="s">
        <v>1331</v>
      </c>
      <c r="G44" s="77" t="s">
        <v>658</v>
      </c>
      <c r="H44" s="77">
        <f>1935+39+774*19+239</f>
        <v>16919</v>
      </c>
      <c r="I44" s="77">
        <v>1.0</v>
      </c>
      <c r="J44" s="78">
        <f t="shared" si="8"/>
        <v>10.49511719</v>
      </c>
      <c r="K44" s="79">
        <f t="shared" si="2"/>
        <v>1612.083</v>
      </c>
      <c r="L44" s="80" t="s">
        <v>658</v>
      </c>
      <c r="M44" s="81">
        <v>1.0</v>
      </c>
      <c r="N44" s="82">
        <v>90.023753</v>
      </c>
      <c r="O44" s="82">
        <v>83.254157</v>
      </c>
      <c r="P44" s="82">
        <f t="shared" si="3"/>
        <v>6.769596</v>
      </c>
      <c r="Q44" s="78">
        <f t="shared" ref="Q44:Q88" si="9">IFS(L44="S",21494/2048,L44="R",1)</f>
        <v>10.49511719</v>
      </c>
      <c r="R44" s="83">
        <f t="shared" ref="R44:R88" si="10">IFS(L44="S",P44/M44/100*249945/Q44,L44="R",P44/M44/100*170255/Q44)</f>
        <v>1612.203696</v>
      </c>
      <c r="S44" s="84" t="s">
        <v>705</v>
      </c>
      <c r="T44" s="83">
        <f t="shared" si="6"/>
        <v>1.00007487</v>
      </c>
      <c r="U44" s="83">
        <f t="shared" ref="U44:U88" si="11">IFS(L44="S",(R44-K44)*M44*J44/(249945/845),L44="R",(R44-K44)*M44*J44/(170255/845))</f>
        <v>0.004282463178</v>
      </c>
    </row>
    <row r="45" ht="26.25" customHeight="1">
      <c r="A45" s="105"/>
      <c r="B45" s="73" t="s">
        <v>1256</v>
      </c>
      <c r="C45" s="73" t="s">
        <v>1333</v>
      </c>
      <c r="D45" s="75">
        <v>774.0</v>
      </c>
      <c r="E45" s="75" t="s">
        <v>1335</v>
      </c>
      <c r="F45" s="76" t="s">
        <v>1336</v>
      </c>
      <c r="G45" s="77" t="s">
        <v>658</v>
      </c>
      <c r="H45" s="77">
        <f>1935+39+774*25+199</f>
        <v>21523</v>
      </c>
      <c r="I45" s="77">
        <v>1.0</v>
      </c>
      <c r="J45" s="78">
        <f t="shared" si="8"/>
        <v>10.49511719</v>
      </c>
      <c r="K45" s="79">
        <f t="shared" si="2"/>
        <v>2050.76319</v>
      </c>
      <c r="L45" s="80" t="s">
        <v>658</v>
      </c>
      <c r="M45" s="81">
        <v>1.0</v>
      </c>
      <c r="N45" s="82">
        <v>90.023753</v>
      </c>
      <c r="O45" s="82">
        <v>81.353919</v>
      </c>
      <c r="P45" s="82">
        <f t="shared" si="3"/>
        <v>8.669834</v>
      </c>
      <c r="Q45" s="78">
        <f t="shared" si="9"/>
        <v>10.49511719</v>
      </c>
      <c r="R45" s="83">
        <f t="shared" si="10"/>
        <v>2064.752228</v>
      </c>
      <c r="S45" s="84" t="s">
        <v>705</v>
      </c>
      <c r="T45" s="83">
        <f t="shared" si="6"/>
        <v>1.006821381</v>
      </c>
      <c r="U45" s="83">
        <f t="shared" si="11"/>
        <v>0.4963492754</v>
      </c>
    </row>
    <row r="46" ht="26.25" customHeight="1">
      <c r="A46" s="105"/>
      <c r="B46" s="73" t="s">
        <v>1256</v>
      </c>
      <c r="C46" s="73" t="s">
        <v>1333</v>
      </c>
      <c r="D46" s="75">
        <v>774.0</v>
      </c>
      <c r="E46" s="75" t="s">
        <v>1337</v>
      </c>
      <c r="F46" s="76"/>
      <c r="G46" s="77" t="s">
        <v>658</v>
      </c>
      <c r="H46" s="77">
        <f>1935+39+774*12+488</f>
        <v>11750</v>
      </c>
      <c r="I46" s="77">
        <v>1.0</v>
      </c>
      <c r="J46" s="78">
        <f t="shared" si="8"/>
        <v>10.49511719</v>
      </c>
      <c r="K46" s="79">
        <f t="shared" si="2"/>
        <v>1119.568252</v>
      </c>
      <c r="L46" s="80" t="s">
        <v>658</v>
      </c>
      <c r="M46" s="81">
        <v>1.0</v>
      </c>
      <c r="N46" s="82">
        <v>90.023753</v>
      </c>
      <c r="O46" s="82">
        <v>85.273159</v>
      </c>
      <c r="P46" s="82">
        <f t="shared" si="3"/>
        <v>4.750594</v>
      </c>
      <c r="Q46" s="78">
        <f t="shared" si="9"/>
        <v>10.49511719</v>
      </c>
      <c r="R46" s="83">
        <f t="shared" si="10"/>
        <v>1131.37109</v>
      </c>
      <c r="S46" s="84" t="s">
        <v>705</v>
      </c>
      <c r="T46" s="83">
        <f t="shared" si="6"/>
        <v>1.010542313</v>
      </c>
      <c r="U46" s="83">
        <f t="shared" si="11"/>
        <v>0.4187800774</v>
      </c>
    </row>
    <row r="47" ht="26.25" customHeight="1">
      <c r="A47" s="105"/>
      <c r="B47" s="73" t="s">
        <v>1338</v>
      </c>
      <c r="C47" s="73" t="s">
        <v>1339</v>
      </c>
      <c r="D47" s="75">
        <v>4762.0</v>
      </c>
      <c r="E47" s="75" t="s">
        <v>1340</v>
      </c>
      <c r="F47" s="76" t="s">
        <v>1341</v>
      </c>
      <c r="G47" s="77" t="s">
        <v>658</v>
      </c>
      <c r="H47" s="77">
        <f>8*4762+407*21</f>
        <v>46643</v>
      </c>
      <c r="I47" s="77">
        <v>8.0</v>
      </c>
      <c r="J47" s="78">
        <f t="shared" si="8"/>
        <v>10.49511719</v>
      </c>
      <c r="K47" s="79">
        <f t="shared" si="2"/>
        <v>555.5321485</v>
      </c>
      <c r="L47" s="80" t="s">
        <v>658</v>
      </c>
      <c r="M47" s="81">
        <v>8.0</v>
      </c>
      <c r="N47" s="82">
        <v>90.023753</v>
      </c>
      <c r="O47" s="82">
        <v>71.377672</v>
      </c>
      <c r="P47" s="82">
        <f t="shared" si="3"/>
        <v>18.646081</v>
      </c>
      <c r="Q47" s="78">
        <f t="shared" si="9"/>
        <v>10.49511719</v>
      </c>
      <c r="R47" s="83">
        <f t="shared" si="10"/>
        <v>555.0789277</v>
      </c>
      <c r="S47" s="84" t="s">
        <v>705</v>
      </c>
      <c r="T47" s="83">
        <f t="shared" si="6"/>
        <v>0.9991841682</v>
      </c>
      <c r="U47" s="83">
        <f t="shared" si="11"/>
        <v>-0.1286469169</v>
      </c>
    </row>
    <row r="48" ht="26.25" customHeight="1">
      <c r="A48" s="105"/>
      <c r="B48" s="73" t="s">
        <v>1338</v>
      </c>
      <c r="C48" s="73" t="s">
        <v>1342</v>
      </c>
      <c r="D48" s="75">
        <v>1456.0</v>
      </c>
      <c r="E48" s="75" t="s">
        <v>1343</v>
      </c>
      <c r="F48" s="76"/>
      <c r="G48" s="77" t="s">
        <v>658</v>
      </c>
      <c r="H48" s="77">
        <f>1456+628</f>
        <v>2084</v>
      </c>
      <c r="I48" s="77">
        <v>1.0</v>
      </c>
      <c r="J48" s="78">
        <f t="shared" si="8"/>
        <v>10.49511719</v>
      </c>
      <c r="K48" s="79">
        <f t="shared" si="2"/>
        <v>198.5685308</v>
      </c>
      <c r="L48" s="80" t="s">
        <v>658</v>
      </c>
      <c r="M48" s="81">
        <v>5.0</v>
      </c>
      <c r="N48" s="82">
        <v>90.023753</v>
      </c>
      <c r="O48" s="82">
        <v>85.748219</v>
      </c>
      <c r="P48" s="82">
        <f t="shared" si="3"/>
        <v>4.275534</v>
      </c>
      <c r="Q48" s="78">
        <f t="shared" si="9"/>
        <v>10.49511719</v>
      </c>
      <c r="R48" s="83">
        <f t="shared" si="10"/>
        <v>203.6467676</v>
      </c>
      <c r="S48" s="84" t="s">
        <v>705</v>
      </c>
      <c r="T48" s="83">
        <f t="shared" si="6"/>
        <v>1.025574228</v>
      </c>
      <c r="U48" s="83">
        <f t="shared" si="11"/>
        <v>0.900912283</v>
      </c>
    </row>
    <row r="49" ht="26.25" customHeight="1">
      <c r="A49" s="105"/>
      <c r="B49" s="73" t="s">
        <v>1338</v>
      </c>
      <c r="C49" s="73" t="s">
        <v>1344</v>
      </c>
      <c r="D49" s="75" t="s">
        <v>1345</v>
      </c>
      <c r="E49" s="75"/>
      <c r="F49" s="76" t="s">
        <v>1346</v>
      </c>
      <c r="G49" s="77" t="s">
        <v>658</v>
      </c>
      <c r="H49" s="77">
        <f>6001+5641+5678+5296</f>
        <v>22616</v>
      </c>
      <c r="I49" s="77">
        <v>4.0</v>
      </c>
      <c r="J49" s="78">
        <f t="shared" si="8"/>
        <v>10.49511719</v>
      </c>
      <c r="K49" s="79">
        <f t="shared" si="2"/>
        <v>538.7267144</v>
      </c>
      <c r="L49" s="80" t="s">
        <v>658</v>
      </c>
      <c r="M49" s="81">
        <v>4.0</v>
      </c>
      <c r="N49" s="82">
        <v>90.023753</v>
      </c>
      <c r="O49" s="82">
        <v>82.660333</v>
      </c>
      <c r="P49" s="82">
        <f t="shared" si="3"/>
        <v>7.36342</v>
      </c>
      <c r="Q49" s="78">
        <f t="shared" si="9"/>
        <v>10.49511719</v>
      </c>
      <c r="R49" s="83">
        <f t="shared" si="10"/>
        <v>438.4062557</v>
      </c>
      <c r="S49" s="84" t="s">
        <v>1294</v>
      </c>
      <c r="T49" s="83">
        <f t="shared" si="6"/>
        <v>0.8137822833</v>
      </c>
      <c r="U49" s="83">
        <f t="shared" si="11"/>
        <v>-14.23800196</v>
      </c>
    </row>
    <row r="50" ht="26.25" customHeight="1">
      <c r="A50" s="105"/>
      <c r="B50" s="73" t="s">
        <v>1338</v>
      </c>
      <c r="C50" s="73" t="s">
        <v>1347</v>
      </c>
      <c r="D50" s="75">
        <v>946.0</v>
      </c>
      <c r="E50" s="75" t="s">
        <v>1348</v>
      </c>
      <c r="F50" s="76" t="s">
        <v>1349</v>
      </c>
      <c r="G50" s="77" t="s">
        <v>658</v>
      </c>
      <c r="H50" s="77">
        <f>946+342+375+408+442+475+508+541+575+608+641+674+707+740+824+957+1090+1224+1359</f>
        <v>13436</v>
      </c>
      <c r="I50" s="77">
        <v>1.0</v>
      </c>
      <c r="J50" s="78">
        <f t="shared" si="8"/>
        <v>10.49511719</v>
      </c>
      <c r="K50" s="79">
        <f t="shared" si="2"/>
        <v>1280.214385</v>
      </c>
      <c r="L50" s="80" t="s">
        <v>658</v>
      </c>
      <c r="M50" s="81">
        <v>1.0</v>
      </c>
      <c r="N50" s="82">
        <v>90.023753</v>
      </c>
      <c r="O50" s="82">
        <v>84.441805</v>
      </c>
      <c r="P50" s="82">
        <f t="shared" si="3"/>
        <v>5.581948</v>
      </c>
      <c r="Q50" s="78">
        <f t="shared" si="9"/>
        <v>10.49511719</v>
      </c>
      <c r="R50" s="83">
        <f t="shared" si="10"/>
        <v>1329.361043</v>
      </c>
      <c r="S50" s="84" t="s">
        <v>705</v>
      </c>
      <c r="T50" s="83">
        <f t="shared" si="6"/>
        <v>1.038389396</v>
      </c>
      <c r="U50" s="83">
        <f t="shared" si="11"/>
        <v>1.743787392</v>
      </c>
    </row>
    <row r="51" ht="26.25" customHeight="1">
      <c r="A51" s="105"/>
      <c r="B51" s="73" t="s">
        <v>1338</v>
      </c>
      <c r="C51" s="73" t="s">
        <v>1347</v>
      </c>
      <c r="D51" s="75">
        <v>2079.0</v>
      </c>
      <c r="E51" s="75"/>
      <c r="F51" s="76" t="s">
        <v>1350</v>
      </c>
      <c r="G51" s="77" t="s">
        <v>658</v>
      </c>
      <c r="H51" s="77">
        <v>2079.0</v>
      </c>
      <c r="I51" s="77">
        <v>1.0</v>
      </c>
      <c r="J51" s="78">
        <f t="shared" si="8"/>
        <v>10.49511719</v>
      </c>
      <c r="K51" s="79">
        <f t="shared" si="2"/>
        <v>198.0921187</v>
      </c>
      <c r="L51" s="80" t="s">
        <v>658</v>
      </c>
      <c r="M51" s="81">
        <v>7.0</v>
      </c>
      <c r="N51" s="82">
        <v>90.023753</v>
      </c>
      <c r="O51" s="82">
        <v>84.204276</v>
      </c>
      <c r="P51" s="82">
        <f t="shared" si="3"/>
        <v>5.819477</v>
      </c>
      <c r="Q51" s="78">
        <f t="shared" si="9"/>
        <v>10.49511719</v>
      </c>
      <c r="R51" s="83">
        <f t="shared" si="10"/>
        <v>197.9899187</v>
      </c>
      <c r="S51" s="84" t="s">
        <v>705</v>
      </c>
      <c r="T51" s="83">
        <f t="shared" si="6"/>
        <v>0.999484078</v>
      </c>
      <c r="U51" s="83">
        <f t="shared" si="11"/>
        <v>-0.02538334208</v>
      </c>
    </row>
    <row r="52" ht="26.25" customHeight="1">
      <c r="A52" s="105"/>
      <c r="B52" s="73" t="s">
        <v>1338</v>
      </c>
      <c r="C52" s="73" t="s">
        <v>1347</v>
      </c>
      <c r="D52" s="75">
        <v>946.0</v>
      </c>
      <c r="E52" s="75"/>
      <c r="F52" s="76" t="s">
        <v>1351</v>
      </c>
      <c r="G52" s="77" t="s">
        <v>658</v>
      </c>
      <c r="H52" s="77">
        <v>946.0</v>
      </c>
      <c r="I52" s="77">
        <v>1.0</v>
      </c>
      <c r="J52" s="78">
        <f t="shared" si="8"/>
        <v>10.49511719</v>
      </c>
      <c r="K52" s="79">
        <f t="shared" si="2"/>
        <v>90.13715455</v>
      </c>
      <c r="L52" s="80" t="s">
        <v>658</v>
      </c>
      <c r="M52" s="81">
        <v>20.0</v>
      </c>
      <c r="N52" s="82">
        <v>90.023753</v>
      </c>
      <c r="O52" s="82">
        <v>82.422803</v>
      </c>
      <c r="P52" s="82">
        <f t="shared" si="3"/>
        <v>7.60095</v>
      </c>
      <c r="Q52" s="78">
        <f t="shared" si="9"/>
        <v>10.49511719</v>
      </c>
      <c r="R52" s="83">
        <f t="shared" si="10"/>
        <v>90.50968245</v>
      </c>
      <c r="S52" s="84" t="s">
        <v>705</v>
      </c>
      <c r="T52" s="83">
        <f t="shared" si="6"/>
        <v>1.004132901</v>
      </c>
      <c r="U52" s="83">
        <f t="shared" si="11"/>
        <v>0.2643554922</v>
      </c>
    </row>
    <row r="53" ht="26.25" customHeight="1">
      <c r="A53" s="105"/>
      <c r="B53" s="73" t="s">
        <v>1338</v>
      </c>
      <c r="C53" s="73" t="s">
        <v>1352</v>
      </c>
      <c r="D53" s="75">
        <v>1772.0</v>
      </c>
      <c r="E53" s="75" t="s">
        <v>1353</v>
      </c>
      <c r="F53" s="76" t="s">
        <v>1265</v>
      </c>
      <c r="G53" s="77" t="s">
        <v>658</v>
      </c>
      <c r="H53" s="77">
        <f>1772*9+7090+112*2+139+200*2+218</f>
        <v>24019</v>
      </c>
      <c r="I53" s="77">
        <v>3.0</v>
      </c>
      <c r="J53" s="78">
        <f t="shared" si="8"/>
        <v>10.49511719</v>
      </c>
      <c r="K53" s="79">
        <f t="shared" si="2"/>
        <v>762.8626904</v>
      </c>
      <c r="L53" s="80" t="s">
        <v>658</v>
      </c>
      <c r="M53" s="81">
        <v>3.0</v>
      </c>
      <c r="N53" s="82">
        <v>90.023753</v>
      </c>
      <c r="O53" s="82">
        <v>80.4038</v>
      </c>
      <c r="P53" s="82">
        <f t="shared" si="3"/>
        <v>9.619953</v>
      </c>
      <c r="Q53" s="78">
        <f t="shared" si="9"/>
        <v>10.49511719</v>
      </c>
      <c r="R53" s="83">
        <f t="shared" si="10"/>
        <v>763.6754977</v>
      </c>
      <c r="S53" s="84" t="s">
        <v>705</v>
      </c>
      <c r="T53" s="83">
        <f t="shared" si="6"/>
        <v>1.00106547</v>
      </c>
      <c r="U53" s="83">
        <f t="shared" si="11"/>
        <v>0.08651839142</v>
      </c>
    </row>
    <row r="54" ht="26.25" customHeight="1">
      <c r="A54" s="105"/>
      <c r="B54" s="73" t="s">
        <v>1338</v>
      </c>
      <c r="C54" s="73" t="s">
        <v>1354</v>
      </c>
      <c r="D54" s="75">
        <v>383.0</v>
      </c>
      <c r="E54" s="75" t="s">
        <v>1355</v>
      </c>
      <c r="F54" s="76"/>
      <c r="G54" s="77" t="s">
        <v>658</v>
      </c>
      <c r="H54" s="77">
        <f>383+103+4467+7090</f>
        <v>12043</v>
      </c>
      <c r="I54" s="77">
        <v>1.0</v>
      </c>
      <c r="J54" s="78">
        <f t="shared" si="8"/>
        <v>10.49511719</v>
      </c>
      <c r="K54" s="79">
        <f t="shared" si="2"/>
        <v>1147.485996</v>
      </c>
      <c r="L54" s="80" t="s">
        <v>658</v>
      </c>
      <c r="M54" s="81">
        <v>3.0</v>
      </c>
      <c r="N54" s="82">
        <v>90.023753</v>
      </c>
      <c r="O54" s="82">
        <v>75.534442</v>
      </c>
      <c r="P54" s="82">
        <f t="shared" si="3"/>
        <v>14.489311</v>
      </c>
      <c r="Q54" s="78">
        <f t="shared" si="9"/>
        <v>10.49511719</v>
      </c>
      <c r="R54" s="83">
        <f t="shared" si="10"/>
        <v>1150.227219</v>
      </c>
      <c r="S54" s="84" t="s">
        <v>705</v>
      </c>
      <c r="T54" s="83">
        <f t="shared" si="6"/>
        <v>1.002388895</v>
      </c>
      <c r="U54" s="83">
        <f t="shared" si="11"/>
        <v>0.2917865139</v>
      </c>
    </row>
    <row r="55" ht="26.25" customHeight="1">
      <c r="A55" s="105"/>
      <c r="B55" s="73" t="s">
        <v>1338</v>
      </c>
      <c r="C55" s="73" t="s">
        <v>1356</v>
      </c>
      <c r="D55" s="75">
        <v>5120.0</v>
      </c>
      <c r="E55" s="75" t="s">
        <v>1357</v>
      </c>
      <c r="F55" s="76"/>
      <c r="G55" s="77" t="s">
        <v>658</v>
      </c>
      <c r="H55" s="77">
        <f>5120+946</f>
        <v>6066</v>
      </c>
      <c r="I55" s="77">
        <v>1.0</v>
      </c>
      <c r="J55" s="78">
        <f t="shared" si="8"/>
        <v>10.49511719</v>
      </c>
      <c r="K55" s="79">
        <f t="shared" si="2"/>
        <v>577.983065</v>
      </c>
      <c r="L55" s="80" t="s">
        <v>658</v>
      </c>
      <c r="M55" s="81">
        <v>3.0</v>
      </c>
      <c r="N55" s="82">
        <v>90.023753</v>
      </c>
      <c r="O55" s="82">
        <v>82.660333</v>
      </c>
      <c r="P55" s="82">
        <f t="shared" si="3"/>
        <v>7.36342</v>
      </c>
      <c r="Q55" s="78">
        <f t="shared" si="9"/>
        <v>10.49511719</v>
      </c>
      <c r="R55" s="83">
        <f t="shared" si="10"/>
        <v>584.5416743</v>
      </c>
      <c r="S55" s="84" t="s">
        <v>705</v>
      </c>
      <c r="T55" s="83">
        <f t="shared" si="6"/>
        <v>1.011347407</v>
      </c>
      <c r="U55" s="83">
        <f t="shared" si="11"/>
        <v>0.6981239895</v>
      </c>
    </row>
    <row r="56" ht="26.25" customHeight="1">
      <c r="A56" s="105"/>
      <c r="B56" s="73" t="s">
        <v>1338</v>
      </c>
      <c r="C56" s="85" t="s">
        <v>1358</v>
      </c>
      <c r="D56" s="75">
        <v>1406.0</v>
      </c>
      <c r="E56" s="75" t="s">
        <v>1359</v>
      </c>
      <c r="F56" s="76" t="s">
        <v>1341</v>
      </c>
      <c r="G56" s="77" t="s">
        <v>658</v>
      </c>
      <c r="H56" s="77">
        <f>1406*4*5+25*4*5+407*5</f>
        <v>30655</v>
      </c>
      <c r="I56" s="77">
        <v>5.0</v>
      </c>
      <c r="J56" s="78">
        <f t="shared" si="8"/>
        <v>10.49511719</v>
      </c>
      <c r="K56" s="79">
        <f t="shared" si="2"/>
        <v>584.1764213</v>
      </c>
      <c r="L56" s="80" t="s">
        <v>658</v>
      </c>
      <c r="M56" s="81">
        <v>5.0</v>
      </c>
      <c r="N56" s="82">
        <v>90.023753</v>
      </c>
      <c r="O56" s="82">
        <v>77.315914</v>
      </c>
      <c r="P56" s="82">
        <f t="shared" si="3"/>
        <v>12.707839</v>
      </c>
      <c r="Q56" s="78">
        <f t="shared" si="9"/>
        <v>10.49511719</v>
      </c>
      <c r="R56" s="83">
        <f t="shared" si="10"/>
        <v>605.2835356</v>
      </c>
      <c r="S56" s="84" t="s">
        <v>705</v>
      </c>
      <c r="T56" s="83">
        <f t="shared" si="6"/>
        <v>1.036131404</v>
      </c>
      <c r="U56" s="83">
        <f t="shared" si="11"/>
        <v>3.744539476</v>
      </c>
    </row>
    <row r="57" ht="26.25" customHeight="1">
      <c r="A57" s="105"/>
      <c r="B57" s="73" t="s">
        <v>1338</v>
      </c>
      <c r="C57" s="73" t="s">
        <v>1360</v>
      </c>
      <c r="D57" s="75">
        <v>5376.0</v>
      </c>
      <c r="E57" s="75" t="s">
        <v>1361</v>
      </c>
      <c r="F57" s="76"/>
      <c r="G57" s="77" t="s">
        <v>658</v>
      </c>
      <c r="H57" s="77">
        <f>5376*5</f>
        <v>26880</v>
      </c>
      <c r="I57" s="77">
        <v>5.0</v>
      </c>
      <c r="J57" s="78">
        <f t="shared" si="8"/>
        <v>10.49511719</v>
      </c>
      <c r="K57" s="79">
        <f t="shared" si="2"/>
        <v>512.238206</v>
      </c>
      <c r="L57" s="80" t="s">
        <v>658</v>
      </c>
      <c r="M57" s="81">
        <v>5.0</v>
      </c>
      <c r="N57" s="82">
        <v>90.023753</v>
      </c>
      <c r="O57" s="82">
        <v>79.216152</v>
      </c>
      <c r="P57" s="82">
        <f t="shared" si="3"/>
        <v>10.807601</v>
      </c>
      <c r="Q57" s="78">
        <f t="shared" si="9"/>
        <v>10.49511719</v>
      </c>
      <c r="R57" s="83">
        <f t="shared" si="10"/>
        <v>514.7738293</v>
      </c>
      <c r="S57" s="84" t="s">
        <v>705</v>
      </c>
      <c r="T57" s="83">
        <f t="shared" si="6"/>
        <v>1.004950086</v>
      </c>
      <c r="U57" s="83">
        <f t="shared" si="11"/>
        <v>0.4498360837</v>
      </c>
    </row>
    <row r="58" ht="26.25" customHeight="1">
      <c r="A58" s="106"/>
      <c r="B58" s="73" t="s">
        <v>1338</v>
      </c>
      <c r="C58" s="73" t="s">
        <v>1362</v>
      </c>
      <c r="D58" s="75">
        <v>1191.0</v>
      </c>
      <c r="E58" s="75" t="s">
        <v>1363</v>
      </c>
      <c r="F58" s="76" t="s">
        <v>1364</v>
      </c>
      <c r="G58" s="77" t="s">
        <v>658</v>
      </c>
      <c r="H58" s="77">
        <v>1191.0</v>
      </c>
      <c r="I58" s="77">
        <v>1.0</v>
      </c>
      <c r="J58" s="78">
        <f t="shared" si="8"/>
        <v>10.49511719</v>
      </c>
      <c r="K58" s="79">
        <f t="shared" si="2"/>
        <v>113.4813436</v>
      </c>
      <c r="L58" s="80" t="s">
        <v>658</v>
      </c>
      <c r="M58" s="81">
        <v>16.0</v>
      </c>
      <c r="N58" s="82">
        <v>90.023753</v>
      </c>
      <c r="O58" s="82">
        <v>82.304038</v>
      </c>
      <c r="P58" s="82">
        <f t="shared" si="3"/>
        <v>7.719715</v>
      </c>
      <c r="Q58" s="78">
        <f t="shared" si="9"/>
        <v>10.49511719</v>
      </c>
      <c r="R58" s="83">
        <f t="shared" si="10"/>
        <v>114.9048726</v>
      </c>
      <c r="S58" s="84" t="s">
        <v>705</v>
      </c>
      <c r="T58" s="83">
        <f t="shared" si="6"/>
        <v>1.012544168</v>
      </c>
      <c r="U58" s="83">
        <f t="shared" si="11"/>
        <v>0.8081385903</v>
      </c>
    </row>
    <row r="59" ht="26.25" customHeight="1">
      <c r="A59" s="106"/>
      <c r="B59" s="73" t="s">
        <v>1338</v>
      </c>
      <c r="C59" s="73" t="s">
        <v>1365</v>
      </c>
      <c r="D59" s="75">
        <v>1429.0</v>
      </c>
      <c r="E59" s="75" t="s">
        <v>1366</v>
      </c>
      <c r="F59" s="76" t="s">
        <v>1367</v>
      </c>
      <c r="G59" s="77" t="s">
        <v>658</v>
      </c>
      <c r="H59" s="77">
        <v>1429.0</v>
      </c>
      <c r="I59" s="77">
        <v>1.0</v>
      </c>
      <c r="J59" s="78">
        <f t="shared" si="8"/>
        <v>10.49511719</v>
      </c>
      <c r="K59" s="79">
        <f t="shared" si="2"/>
        <v>136.1585559</v>
      </c>
      <c r="L59" s="80" t="s">
        <v>658</v>
      </c>
      <c r="M59" s="81">
        <v>14.0</v>
      </c>
      <c r="N59" s="82">
        <v>90.023753</v>
      </c>
      <c r="O59" s="82">
        <v>81.947743</v>
      </c>
      <c r="P59" s="82">
        <f t="shared" si="3"/>
        <v>8.07601</v>
      </c>
      <c r="Q59" s="78">
        <f t="shared" si="9"/>
        <v>10.49511719</v>
      </c>
      <c r="R59" s="83">
        <f t="shared" si="10"/>
        <v>137.3807786</v>
      </c>
      <c r="S59" s="84" t="s">
        <v>705</v>
      </c>
      <c r="T59" s="83">
        <f t="shared" si="6"/>
        <v>1.008976467</v>
      </c>
      <c r="U59" s="83">
        <f t="shared" si="11"/>
        <v>0.6071247649</v>
      </c>
    </row>
    <row r="60" ht="26.25" customHeight="1">
      <c r="A60" s="106"/>
      <c r="B60" s="73" t="s">
        <v>1338</v>
      </c>
      <c r="C60" s="73" t="s">
        <v>1368</v>
      </c>
      <c r="D60" s="75">
        <v>1436.0</v>
      </c>
      <c r="E60" s="75" t="s">
        <v>1369</v>
      </c>
      <c r="F60" s="76" t="s">
        <v>1370</v>
      </c>
      <c r="G60" s="77" t="s">
        <v>658</v>
      </c>
      <c r="H60" s="77">
        <f>1436*12+3781*2</f>
        <v>24794</v>
      </c>
      <c r="I60" s="77">
        <v>12.0</v>
      </c>
      <c r="J60" s="78">
        <f t="shared" si="8"/>
        <v>10.49511719</v>
      </c>
      <c r="K60" s="79">
        <f t="shared" si="2"/>
        <v>196.8693279</v>
      </c>
      <c r="L60" s="80" t="s">
        <v>658</v>
      </c>
      <c r="M60" s="81">
        <v>12.0</v>
      </c>
      <c r="N60" s="82">
        <v>90.023753</v>
      </c>
      <c r="O60" s="82">
        <v>80.047506</v>
      </c>
      <c r="P60" s="82">
        <f t="shared" si="3"/>
        <v>9.976247</v>
      </c>
      <c r="Q60" s="78">
        <f t="shared" si="9"/>
        <v>10.49511719</v>
      </c>
      <c r="R60" s="83">
        <f t="shared" si="10"/>
        <v>197.9899328</v>
      </c>
      <c r="S60" s="84" t="s">
        <v>705</v>
      </c>
      <c r="T60" s="83">
        <f t="shared" si="6"/>
        <v>1.005692126</v>
      </c>
      <c r="U60" s="83">
        <f t="shared" si="11"/>
        <v>0.4771262746</v>
      </c>
    </row>
    <row r="61" ht="26.25" customHeight="1">
      <c r="A61" s="105"/>
      <c r="B61" s="73" t="s">
        <v>1338</v>
      </c>
      <c r="C61" s="73" t="s">
        <v>1371</v>
      </c>
      <c r="D61" s="75">
        <v>4083.0</v>
      </c>
      <c r="E61" s="75" t="s">
        <v>1340</v>
      </c>
      <c r="F61" s="76" t="s">
        <v>1341</v>
      </c>
      <c r="G61" s="77" t="s">
        <v>658</v>
      </c>
      <c r="H61" s="77">
        <f>4083*10+407*13</f>
        <v>46121</v>
      </c>
      <c r="I61" s="77">
        <v>5.0</v>
      </c>
      <c r="J61" s="78">
        <f t="shared" si="8"/>
        <v>10.49511719</v>
      </c>
      <c r="K61" s="79">
        <f t="shared" si="2"/>
        <v>878.9039546</v>
      </c>
      <c r="L61" s="80" t="s">
        <v>658</v>
      </c>
      <c r="M61" s="81">
        <v>5.0</v>
      </c>
      <c r="N61" s="82">
        <v>90.023753</v>
      </c>
      <c r="O61" s="82">
        <v>71.496437</v>
      </c>
      <c r="P61" s="82">
        <f t="shared" si="3"/>
        <v>18.527316</v>
      </c>
      <c r="Q61" s="78">
        <f t="shared" si="9"/>
        <v>10.49511719</v>
      </c>
      <c r="R61" s="83">
        <f t="shared" si="10"/>
        <v>882.4694217</v>
      </c>
      <c r="S61" s="84" t="s">
        <v>705</v>
      </c>
      <c r="T61" s="83">
        <f t="shared" si="6"/>
        <v>1.00405672</v>
      </c>
      <c r="U61" s="83">
        <f t="shared" si="11"/>
        <v>0.6325370777</v>
      </c>
    </row>
    <row r="62" ht="26.25" customHeight="1">
      <c r="A62" s="105"/>
      <c r="B62" s="73" t="s">
        <v>1338</v>
      </c>
      <c r="C62" s="73" t="s">
        <v>1372</v>
      </c>
      <c r="D62" s="75">
        <v>4608.0</v>
      </c>
      <c r="E62" s="75" t="s">
        <v>1373</v>
      </c>
      <c r="F62" s="76" t="s">
        <v>772</v>
      </c>
      <c r="G62" s="77" t="s">
        <v>658</v>
      </c>
      <c r="H62" s="77">
        <f>4608*2+3072*2+143*4+218+7090</f>
        <v>23240</v>
      </c>
      <c r="I62" s="77">
        <v>2.0</v>
      </c>
      <c r="J62" s="78">
        <f t="shared" si="8"/>
        <v>10.49511719</v>
      </c>
      <c r="K62" s="79">
        <f t="shared" si="2"/>
        <v>1107.181539</v>
      </c>
      <c r="L62" s="80" t="s">
        <v>658</v>
      </c>
      <c r="M62" s="81">
        <v>2.0</v>
      </c>
      <c r="N62" s="82">
        <v>90.023753</v>
      </c>
      <c r="O62" s="82">
        <v>82.422803</v>
      </c>
      <c r="P62" s="82">
        <f t="shared" si="3"/>
        <v>7.60095</v>
      </c>
      <c r="Q62" s="78">
        <f t="shared" si="9"/>
        <v>10.49511719</v>
      </c>
      <c r="R62" s="83">
        <f t="shared" si="10"/>
        <v>905.0968245</v>
      </c>
      <c r="S62" s="84" t="s">
        <v>705</v>
      </c>
      <c r="T62" s="83">
        <f t="shared" si="6"/>
        <v>0.8174782477</v>
      </c>
      <c r="U62" s="83">
        <f t="shared" si="11"/>
        <v>-14.34045757</v>
      </c>
    </row>
    <row r="63" ht="26.25" customHeight="1">
      <c r="A63" s="105"/>
      <c r="B63" s="73" t="s">
        <v>1338</v>
      </c>
      <c r="C63" s="73" t="s">
        <v>1374</v>
      </c>
      <c r="D63" s="93">
        <v>158.0</v>
      </c>
      <c r="E63" s="93" t="s">
        <v>1278</v>
      </c>
      <c r="F63" s="76" t="s">
        <v>1279</v>
      </c>
      <c r="G63" s="77" t="s">
        <v>834</v>
      </c>
      <c r="H63" s="77">
        <v>9713.0</v>
      </c>
      <c r="I63" s="77">
        <v>4.0</v>
      </c>
      <c r="J63" s="78">
        <v>1.0</v>
      </c>
      <c r="K63" s="79">
        <f t="shared" si="2"/>
        <v>2428.25</v>
      </c>
      <c r="L63" s="80" t="s">
        <v>834</v>
      </c>
      <c r="M63" s="81">
        <v>4.0</v>
      </c>
      <c r="N63" s="82">
        <v>100.0</v>
      </c>
      <c r="O63" s="82">
        <v>94.774347</v>
      </c>
      <c r="P63" s="82">
        <f t="shared" si="3"/>
        <v>5.225653</v>
      </c>
      <c r="Q63" s="78">
        <f t="shared" si="9"/>
        <v>1</v>
      </c>
      <c r="R63" s="83">
        <f t="shared" si="10"/>
        <v>2224.233879</v>
      </c>
      <c r="S63" s="84" t="s">
        <v>1294</v>
      </c>
      <c r="T63" s="83">
        <f t="shared" si="6"/>
        <v>0.9159822419</v>
      </c>
      <c r="U63" s="83">
        <f t="shared" si="11"/>
        <v>-4.05024516</v>
      </c>
    </row>
    <row r="64" ht="26.25" customHeight="1">
      <c r="A64" s="105"/>
      <c r="B64" s="73" t="s">
        <v>1338</v>
      </c>
      <c r="C64" s="73" t="s">
        <v>1374</v>
      </c>
      <c r="D64" s="93">
        <v>418.0</v>
      </c>
      <c r="E64" s="93" t="s">
        <v>1278</v>
      </c>
      <c r="F64" s="76" t="s">
        <v>1375</v>
      </c>
      <c r="G64" s="77" t="s">
        <v>834</v>
      </c>
      <c r="H64" s="77">
        <v>31521.0</v>
      </c>
      <c r="I64" s="77">
        <v>6.0</v>
      </c>
      <c r="J64" s="78">
        <v>1.0</v>
      </c>
      <c r="K64" s="79">
        <f t="shared" si="2"/>
        <v>5253.5</v>
      </c>
      <c r="L64" s="80" t="s">
        <v>834</v>
      </c>
      <c r="M64" s="81">
        <v>6.0</v>
      </c>
      <c r="N64" s="82">
        <v>100.0</v>
      </c>
      <c r="O64" s="82">
        <v>81.472684</v>
      </c>
      <c r="P64" s="82">
        <f t="shared" si="3"/>
        <v>18.527316</v>
      </c>
      <c r="Q64" s="78">
        <f t="shared" si="9"/>
        <v>1</v>
      </c>
      <c r="R64" s="83">
        <f t="shared" si="10"/>
        <v>5257.280309</v>
      </c>
      <c r="S64" s="84" t="s">
        <v>1294</v>
      </c>
      <c r="T64" s="83">
        <f t="shared" si="6"/>
        <v>1.000719579</v>
      </c>
      <c r="U64" s="83">
        <f t="shared" si="11"/>
        <v>0.1125733056</v>
      </c>
    </row>
    <row r="65" ht="26.25" customHeight="1">
      <c r="A65" s="105"/>
      <c r="B65" s="73" t="s">
        <v>1338</v>
      </c>
      <c r="C65" s="73" t="s">
        <v>1376</v>
      </c>
      <c r="D65" s="75">
        <v>937.0</v>
      </c>
      <c r="E65" s="75" t="s">
        <v>1377</v>
      </c>
      <c r="F65" s="75" t="s">
        <v>1311</v>
      </c>
      <c r="G65" s="77" t="s">
        <v>658</v>
      </c>
      <c r="H65" s="77">
        <f>937*5+218+7090</f>
        <v>11993</v>
      </c>
      <c r="I65" s="77">
        <v>1.0</v>
      </c>
      <c r="J65" s="78">
        <f t="shared" ref="J65:J95" si="12">IFS(G65="S",21494/2048,G65="C",(21494/2048)/(87875/9999)*2*1.3,OR(G65="R",G65="T"),1)</f>
        <v>10.49511719</v>
      </c>
      <c r="K65" s="79">
        <f t="shared" si="2"/>
        <v>1142.721876</v>
      </c>
      <c r="L65" s="80" t="s">
        <v>658</v>
      </c>
      <c r="M65" s="81">
        <v>3.0</v>
      </c>
      <c r="N65" s="82">
        <v>90.023753</v>
      </c>
      <c r="O65" s="82">
        <v>75.534442</v>
      </c>
      <c r="P65" s="82">
        <f t="shared" si="3"/>
        <v>14.489311</v>
      </c>
      <c r="Q65" s="78">
        <f t="shared" si="9"/>
        <v>10.49511719</v>
      </c>
      <c r="R65" s="83">
        <f t="shared" si="10"/>
        <v>1150.227219</v>
      </c>
      <c r="S65" s="84" t="s">
        <v>705</v>
      </c>
      <c r="T65" s="83">
        <f t="shared" si="6"/>
        <v>1.006567953</v>
      </c>
      <c r="U65" s="83">
        <f t="shared" si="11"/>
        <v>0.7988980784</v>
      </c>
    </row>
    <row r="66" ht="26.25" customHeight="1">
      <c r="A66" s="105"/>
      <c r="B66" s="73" t="s">
        <v>1338</v>
      </c>
      <c r="C66" s="73" t="s">
        <v>1378</v>
      </c>
      <c r="D66" s="75">
        <v>2338.0</v>
      </c>
      <c r="E66" s="75" t="s">
        <v>1379</v>
      </c>
      <c r="F66" s="76" t="s">
        <v>1380</v>
      </c>
      <c r="G66" s="77" t="s">
        <v>658</v>
      </c>
      <c r="H66" s="77">
        <f>2338*6+200*3+7090</f>
        <v>21718</v>
      </c>
      <c r="I66" s="77">
        <v>2.0</v>
      </c>
      <c r="J66" s="78">
        <f t="shared" si="12"/>
        <v>10.49511719</v>
      </c>
      <c r="K66" s="79">
        <f t="shared" si="2"/>
        <v>1034.671629</v>
      </c>
      <c r="L66" s="80" t="s">
        <v>658</v>
      </c>
      <c r="M66" s="81">
        <v>2.0</v>
      </c>
      <c r="N66" s="82">
        <v>90.023753</v>
      </c>
      <c r="O66" s="82">
        <v>81.235154</v>
      </c>
      <c r="P66" s="82">
        <f t="shared" si="3"/>
        <v>8.788599</v>
      </c>
      <c r="Q66" s="78">
        <f t="shared" si="9"/>
        <v>10.49511719</v>
      </c>
      <c r="R66" s="83">
        <f t="shared" si="10"/>
        <v>1046.51827</v>
      </c>
      <c r="S66" s="84" t="s">
        <v>757</v>
      </c>
      <c r="T66" s="83">
        <f t="shared" si="6"/>
        <v>1.011449663</v>
      </c>
      <c r="U66" s="83">
        <f t="shared" si="11"/>
        <v>0.8406684915</v>
      </c>
    </row>
    <row r="67" ht="26.25" customHeight="1">
      <c r="A67" s="105"/>
      <c r="B67" s="73" t="s">
        <v>1338</v>
      </c>
      <c r="C67" s="73" t="s">
        <v>1381</v>
      </c>
      <c r="D67" s="75">
        <v>6655.0</v>
      </c>
      <c r="E67" s="75" t="s">
        <v>1382</v>
      </c>
      <c r="F67" s="76"/>
      <c r="G67" s="77" t="s">
        <v>658</v>
      </c>
      <c r="H67" s="77">
        <f>6655+2662+1331+1040</f>
        <v>11688</v>
      </c>
      <c r="I67" s="77">
        <v>1.0</v>
      </c>
      <c r="J67" s="78">
        <f t="shared" si="12"/>
        <v>10.49511719</v>
      </c>
      <c r="K67" s="79">
        <f t="shared" si="2"/>
        <v>1113.660743</v>
      </c>
      <c r="L67" s="80" t="s">
        <v>658</v>
      </c>
      <c r="M67" s="81">
        <v>3.0</v>
      </c>
      <c r="N67" s="82">
        <v>90.023753</v>
      </c>
      <c r="O67" s="82">
        <v>75.890736</v>
      </c>
      <c r="P67" s="82">
        <f t="shared" si="3"/>
        <v>14.133017</v>
      </c>
      <c r="Q67" s="78">
        <f t="shared" si="9"/>
        <v>10.49511719</v>
      </c>
      <c r="R67" s="83">
        <f t="shared" si="10"/>
        <v>1121.942986</v>
      </c>
      <c r="S67" s="84" t="s">
        <v>705</v>
      </c>
      <c r="T67" s="83">
        <f t="shared" si="6"/>
        <v>1.007436954</v>
      </c>
      <c r="U67" s="83">
        <f t="shared" si="11"/>
        <v>0.8815943221</v>
      </c>
    </row>
    <row r="68" ht="26.25" customHeight="1">
      <c r="A68" s="105"/>
      <c r="B68" s="73" t="s">
        <v>1338</v>
      </c>
      <c r="C68" s="73" t="s">
        <v>1383</v>
      </c>
      <c r="D68" s="75">
        <v>4281.0</v>
      </c>
      <c r="E68" s="75" t="s">
        <v>1384</v>
      </c>
      <c r="F68" s="76" t="s">
        <v>1038</v>
      </c>
      <c r="G68" s="77" t="s">
        <v>658</v>
      </c>
      <c r="H68" s="77">
        <v>4281.0</v>
      </c>
      <c r="I68" s="77">
        <v>1.0</v>
      </c>
      <c r="J68" s="78">
        <f t="shared" si="12"/>
        <v>10.49511719</v>
      </c>
      <c r="K68" s="79">
        <f t="shared" si="2"/>
        <v>407.9039732</v>
      </c>
      <c r="L68" s="80" t="s">
        <v>658</v>
      </c>
      <c r="M68" s="81">
        <v>4.0</v>
      </c>
      <c r="N68" s="82">
        <v>90.023753</v>
      </c>
      <c r="O68" s="82">
        <v>83.135392</v>
      </c>
      <c r="P68" s="82">
        <f t="shared" si="3"/>
        <v>6.888361</v>
      </c>
      <c r="Q68" s="78">
        <f t="shared" si="9"/>
        <v>10.49511719</v>
      </c>
      <c r="R68" s="83">
        <f t="shared" si="10"/>
        <v>410.1220023</v>
      </c>
      <c r="S68" s="84" t="s">
        <v>757</v>
      </c>
      <c r="T68" s="83">
        <f t="shared" si="6"/>
        <v>1.005437626</v>
      </c>
      <c r="U68" s="83">
        <f t="shared" si="11"/>
        <v>0.3147942416</v>
      </c>
    </row>
    <row r="69" ht="26.25" customHeight="1">
      <c r="A69" s="106"/>
      <c r="B69" s="73" t="s">
        <v>1338</v>
      </c>
      <c r="C69" s="73" t="s">
        <v>681</v>
      </c>
      <c r="D69" s="75">
        <v>30492.0</v>
      </c>
      <c r="E69" s="75"/>
      <c r="F69" s="76" t="s">
        <v>1385</v>
      </c>
      <c r="G69" s="77" t="s">
        <v>658</v>
      </c>
      <c r="H69" s="77">
        <v>30492.0</v>
      </c>
      <c r="I69" s="77">
        <v>1.0</v>
      </c>
      <c r="J69" s="78">
        <f t="shared" si="12"/>
        <v>10.49511719</v>
      </c>
      <c r="K69" s="79">
        <f t="shared" si="2"/>
        <v>2905.351075</v>
      </c>
      <c r="L69" s="80" t="s">
        <v>658</v>
      </c>
      <c r="M69" s="81">
        <v>1.0</v>
      </c>
      <c r="N69" s="82">
        <v>90.023753</v>
      </c>
      <c r="O69" s="82">
        <v>80.285036</v>
      </c>
      <c r="P69" s="82">
        <f t="shared" si="3"/>
        <v>9.738717</v>
      </c>
      <c r="Q69" s="78">
        <f t="shared" si="9"/>
        <v>10.49511719</v>
      </c>
      <c r="R69" s="83">
        <f t="shared" si="10"/>
        <v>2319.310568</v>
      </c>
      <c r="S69" s="84" t="s">
        <v>705</v>
      </c>
      <c r="T69" s="83">
        <f t="shared" si="6"/>
        <v>0.7982892629</v>
      </c>
      <c r="U69" s="83">
        <f t="shared" si="11"/>
        <v>-20.79348019</v>
      </c>
    </row>
    <row r="70" ht="26.25" customHeight="1">
      <c r="A70" s="106"/>
      <c r="B70" s="73" t="s">
        <v>1338</v>
      </c>
      <c r="C70" s="73" t="s">
        <v>681</v>
      </c>
      <c r="D70" s="75">
        <v>14553.0</v>
      </c>
      <c r="E70" s="75"/>
      <c r="F70" s="76" t="s">
        <v>1386</v>
      </c>
      <c r="G70" s="77" t="s">
        <v>658</v>
      </c>
      <c r="H70" s="77">
        <v>14553.0</v>
      </c>
      <c r="I70" s="77">
        <v>1.0</v>
      </c>
      <c r="J70" s="78">
        <f t="shared" si="12"/>
        <v>10.49511719</v>
      </c>
      <c r="K70" s="79">
        <f t="shared" si="2"/>
        <v>1386.644831</v>
      </c>
      <c r="L70" s="80" t="s">
        <v>658</v>
      </c>
      <c r="M70" s="81">
        <v>1.0</v>
      </c>
      <c r="N70" s="82">
        <v>90.023753</v>
      </c>
      <c r="O70" s="82">
        <v>84.204276</v>
      </c>
      <c r="P70" s="82">
        <f t="shared" si="3"/>
        <v>5.819477</v>
      </c>
      <c r="Q70" s="78">
        <f t="shared" si="9"/>
        <v>10.49511719</v>
      </c>
      <c r="R70" s="83">
        <f t="shared" si="10"/>
        <v>1385.929431</v>
      </c>
      <c r="S70" s="84" t="s">
        <v>705</v>
      </c>
      <c r="T70" s="83">
        <f t="shared" si="6"/>
        <v>0.999484078</v>
      </c>
      <c r="U70" s="83">
        <f t="shared" si="11"/>
        <v>-0.02538334208</v>
      </c>
    </row>
    <row r="71" ht="26.25" customHeight="1">
      <c r="A71" s="105"/>
      <c r="B71" s="73" t="s">
        <v>1338</v>
      </c>
      <c r="C71" s="73" t="s">
        <v>1387</v>
      </c>
      <c r="D71" s="75">
        <v>1286.0</v>
      </c>
      <c r="E71" s="75" t="s">
        <v>1388</v>
      </c>
      <c r="F71" s="76" t="s">
        <v>1389</v>
      </c>
      <c r="G71" s="77" t="s">
        <v>658</v>
      </c>
      <c r="H71" s="77">
        <f>1286*2+3781*2+237</f>
        <v>10371</v>
      </c>
      <c r="I71" s="77">
        <v>2.0</v>
      </c>
      <c r="J71" s="78">
        <f t="shared" si="12"/>
        <v>10.49511719</v>
      </c>
      <c r="K71" s="79">
        <f t="shared" si="2"/>
        <v>494.086908</v>
      </c>
      <c r="L71" s="80" t="s">
        <v>658</v>
      </c>
      <c r="M71" s="81">
        <v>4.0</v>
      </c>
      <c r="N71" s="82">
        <v>90.023753</v>
      </c>
      <c r="O71" s="82">
        <v>81.710214</v>
      </c>
      <c r="P71" s="82">
        <f t="shared" si="3"/>
        <v>8.313539</v>
      </c>
      <c r="Q71" s="78">
        <f t="shared" si="9"/>
        <v>10.49511719</v>
      </c>
      <c r="R71" s="83">
        <f t="shared" si="10"/>
        <v>494.9748222</v>
      </c>
      <c r="S71" s="84" t="s">
        <v>705</v>
      </c>
      <c r="T71" s="83">
        <f t="shared" si="6"/>
        <v>1.001797081</v>
      </c>
      <c r="U71" s="83">
        <f t="shared" si="11"/>
        <v>0.1260174048</v>
      </c>
    </row>
    <row r="72" ht="26.25" customHeight="1">
      <c r="A72" s="105"/>
      <c r="B72" s="73" t="s">
        <v>1338</v>
      </c>
      <c r="C72" s="85" t="s">
        <v>1390</v>
      </c>
      <c r="D72" s="75">
        <v>4466.0</v>
      </c>
      <c r="E72" s="75" t="s">
        <v>1391</v>
      </c>
      <c r="F72" s="75" t="s">
        <v>819</v>
      </c>
      <c r="G72" s="77" t="s">
        <v>658</v>
      </c>
      <c r="H72" s="77">
        <f>4466+4466+984</f>
        <v>9916</v>
      </c>
      <c r="I72" s="77">
        <v>2.0</v>
      </c>
      <c r="J72" s="78">
        <f t="shared" si="12"/>
        <v>10.49511719</v>
      </c>
      <c r="K72" s="79">
        <f t="shared" si="2"/>
        <v>472.410161</v>
      </c>
      <c r="L72" s="80" t="s">
        <v>658</v>
      </c>
      <c r="M72" s="81">
        <v>6.0</v>
      </c>
      <c r="N72" s="82">
        <v>90.023753</v>
      </c>
      <c r="O72" s="82">
        <v>78.147268</v>
      </c>
      <c r="P72" s="82">
        <f t="shared" si="3"/>
        <v>11.876485</v>
      </c>
      <c r="Q72" s="78">
        <f t="shared" si="9"/>
        <v>10.49511719</v>
      </c>
      <c r="R72" s="83">
        <f t="shared" si="10"/>
        <v>471.4046209</v>
      </c>
      <c r="S72" s="84" t="s">
        <v>705</v>
      </c>
      <c r="T72" s="83">
        <f t="shared" si="6"/>
        <v>0.9978714681</v>
      </c>
      <c r="U72" s="83">
        <f t="shared" si="11"/>
        <v>-0.2140672304</v>
      </c>
    </row>
    <row r="73" ht="26.25" customHeight="1">
      <c r="A73" s="105"/>
      <c r="B73" s="73" t="s">
        <v>1338</v>
      </c>
      <c r="C73" s="73" t="s">
        <v>1392</v>
      </c>
      <c r="D73" s="75">
        <v>2783.0</v>
      </c>
      <c r="E73" s="75" t="s">
        <v>1393</v>
      </c>
      <c r="F73" s="76" t="s">
        <v>1038</v>
      </c>
      <c r="G73" s="77" t="s">
        <v>658</v>
      </c>
      <c r="H73" s="77">
        <f>2783+2552</f>
        <v>5335</v>
      </c>
      <c r="I73" s="77">
        <v>1.0</v>
      </c>
      <c r="J73" s="78">
        <f t="shared" si="12"/>
        <v>10.49511719</v>
      </c>
      <c r="K73" s="79">
        <f t="shared" si="2"/>
        <v>508.3316274</v>
      </c>
      <c r="L73" s="80" t="s">
        <v>658</v>
      </c>
      <c r="M73" s="81">
        <v>3.0</v>
      </c>
      <c r="N73" s="82">
        <v>90.023753</v>
      </c>
      <c r="O73" s="82">
        <v>83.491686</v>
      </c>
      <c r="P73" s="82">
        <f t="shared" si="3"/>
        <v>6.532067</v>
      </c>
      <c r="Q73" s="78">
        <f t="shared" si="9"/>
        <v>10.49511719</v>
      </c>
      <c r="R73" s="83">
        <f t="shared" si="10"/>
        <v>518.5451028</v>
      </c>
      <c r="S73" s="84" t="s">
        <v>757</v>
      </c>
      <c r="T73" s="83">
        <f t="shared" si="6"/>
        <v>1.02009215</v>
      </c>
      <c r="U73" s="83">
        <f t="shared" si="11"/>
        <v>1.087162213</v>
      </c>
    </row>
    <row r="74" ht="26.25" customHeight="1">
      <c r="A74" s="105"/>
      <c r="B74" s="73" t="s">
        <v>1338</v>
      </c>
      <c r="C74" s="73" t="s">
        <v>1394</v>
      </c>
      <c r="D74" s="75">
        <v>5631.0</v>
      </c>
      <c r="E74" s="75" t="s">
        <v>1395</v>
      </c>
      <c r="F74" s="76"/>
      <c r="G74" s="77" t="s">
        <v>658</v>
      </c>
      <c r="H74" s="77">
        <f t="shared" ref="H74:H75" si="13">5631+2048</f>
        <v>7679</v>
      </c>
      <c r="I74" s="77">
        <v>1.0</v>
      </c>
      <c r="J74" s="78">
        <f t="shared" si="12"/>
        <v>10.49511719</v>
      </c>
      <c r="K74" s="79">
        <f t="shared" si="2"/>
        <v>731.6735833</v>
      </c>
      <c r="L74" s="80" t="s">
        <v>658</v>
      </c>
      <c r="M74" s="81">
        <v>2.0</v>
      </c>
      <c r="N74" s="82">
        <v>90.023753</v>
      </c>
      <c r="O74" s="82">
        <v>85.035629</v>
      </c>
      <c r="P74" s="82">
        <f t="shared" si="3"/>
        <v>4.988124</v>
      </c>
      <c r="Q74" s="78">
        <f t="shared" si="9"/>
        <v>10.49511719</v>
      </c>
      <c r="R74" s="83">
        <f t="shared" si="10"/>
        <v>593.969858</v>
      </c>
      <c r="S74" s="84" t="s">
        <v>705</v>
      </c>
      <c r="T74" s="83">
        <f t="shared" si="6"/>
        <v>0.811796232</v>
      </c>
      <c r="U74" s="83">
        <f t="shared" si="11"/>
        <v>-9.771814922</v>
      </c>
    </row>
    <row r="75" ht="26.25" customHeight="1">
      <c r="A75" s="105"/>
      <c r="B75" s="73" t="s">
        <v>1338</v>
      </c>
      <c r="C75" s="73" t="s">
        <v>1396</v>
      </c>
      <c r="D75" s="75">
        <v>5631.0</v>
      </c>
      <c r="E75" s="75" t="s">
        <v>1395</v>
      </c>
      <c r="F75" s="76"/>
      <c r="G75" s="77" t="s">
        <v>658</v>
      </c>
      <c r="H75" s="77">
        <f t="shared" si="13"/>
        <v>7679</v>
      </c>
      <c r="I75" s="77">
        <v>1.0</v>
      </c>
      <c r="J75" s="78">
        <f t="shared" si="12"/>
        <v>10.49511719</v>
      </c>
      <c r="K75" s="79">
        <f t="shared" si="2"/>
        <v>731.6735833</v>
      </c>
      <c r="L75" s="80" t="s">
        <v>658</v>
      </c>
      <c r="M75" s="81">
        <v>2.0</v>
      </c>
      <c r="N75" s="82">
        <v>90.023753</v>
      </c>
      <c r="O75" s="82">
        <v>85.035629</v>
      </c>
      <c r="P75" s="82">
        <f t="shared" si="3"/>
        <v>4.988124</v>
      </c>
      <c r="Q75" s="78">
        <f t="shared" si="9"/>
        <v>10.49511719</v>
      </c>
      <c r="R75" s="83">
        <f t="shared" si="10"/>
        <v>593.969858</v>
      </c>
      <c r="S75" s="84" t="s">
        <v>705</v>
      </c>
      <c r="T75" s="83">
        <f t="shared" si="6"/>
        <v>0.811796232</v>
      </c>
      <c r="U75" s="83">
        <f t="shared" si="11"/>
        <v>-9.771814922</v>
      </c>
    </row>
    <row r="76" ht="26.25" customHeight="1">
      <c r="A76" s="105"/>
      <c r="B76" s="73" t="s">
        <v>1338</v>
      </c>
      <c r="C76" s="73" t="s">
        <v>1397</v>
      </c>
      <c r="D76" s="75">
        <v>2464.0</v>
      </c>
      <c r="E76" s="75"/>
      <c r="F76" s="76"/>
      <c r="G76" s="77" t="s">
        <v>658</v>
      </c>
      <c r="H76" s="77">
        <v>2464.0</v>
      </c>
      <c r="I76" s="77">
        <v>1.0</v>
      </c>
      <c r="J76" s="78">
        <f t="shared" si="12"/>
        <v>10.49511719</v>
      </c>
      <c r="K76" s="79">
        <f t="shared" si="2"/>
        <v>234.7758444</v>
      </c>
      <c r="L76" s="80" t="s">
        <v>658</v>
      </c>
      <c r="M76" s="81">
        <v>3.0</v>
      </c>
      <c r="N76" s="82">
        <v>90.023753</v>
      </c>
      <c r="O76" s="82">
        <v>87.648456</v>
      </c>
      <c r="P76" s="82">
        <f t="shared" si="3"/>
        <v>2.375297</v>
      </c>
      <c r="Q76" s="78">
        <f t="shared" si="9"/>
        <v>10.49511719</v>
      </c>
      <c r="R76" s="83">
        <f t="shared" si="10"/>
        <v>188.5618484</v>
      </c>
      <c r="S76" s="84" t="s">
        <v>705</v>
      </c>
      <c r="T76" s="83">
        <f t="shared" si="6"/>
        <v>0.8031569381</v>
      </c>
      <c r="U76" s="83">
        <f t="shared" si="11"/>
        <v>-4.919198251</v>
      </c>
    </row>
    <row r="77" ht="26.25" customHeight="1">
      <c r="A77" s="105"/>
      <c r="B77" s="73" t="s">
        <v>1338</v>
      </c>
      <c r="C77" s="73" t="s">
        <v>1398</v>
      </c>
      <c r="D77" s="75">
        <v>1985.0</v>
      </c>
      <c r="E77" s="75" t="s">
        <v>1399</v>
      </c>
      <c r="F77" s="75" t="s">
        <v>1400</v>
      </c>
      <c r="G77" s="77" t="s">
        <v>658</v>
      </c>
      <c r="H77" s="77">
        <f>1985+3781+237+851</f>
        <v>6854</v>
      </c>
      <c r="I77" s="77">
        <v>1.0</v>
      </c>
      <c r="J77" s="78">
        <f t="shared" si="12"/>
        <v>10.49511719</v>
      </c>
      <c r="K77" s="79">
        <f t="shared" si="2"/>
        <v>653.0655997</v>
      </c>
      <c r="L77" s="80" t="s">
        <v>658</v>
      </c>
      <c r="M77" s="81">
        <v>2.0</v>
      </c>
      <c r="N77" s="82">
        <v>90.023753</v>
      </c>
      <c r="O77" s="82">
        <v>85.510689</v>
      </c>
      <c r="P77" s="82">
        <f t="shared" si="3"/>
        <v>4.513064</v>
      </c>
      <c r="Q77" s="78">
        <f t="shared" si="9"/>
        <v>10.49511719</v>
      </c>
      <c r="R77" s="83">
        <f t="shared" si="10"/>
        <v>537.4012321</v>
      </c>
      <c r="S77" s="84" t="s">
        <v>705</v>
      </c>
      <c r="T77" s="83">
        <f t="shared" si="6"/>
        <v>0.8228901236</v>
      </c>
      <c r="U77" s="83">
        <f t="shared" si="11"/>
        <v>-8.207844712</v>
      </c>
    </row>
    <row r="78" ht="26.25" customHeight="1">
      <c r="A78" s="105"/>
      <c r="B78" s="73" t="s">
        <v>1338</v>
      </c>
      <c r="C78" s="73" t="s">
        <v>1401</v>
      </c>
      <c r="D78" s="75">
        <v>185.0</v>
      </c>
      <c r="E78" s="75" t="s">
        <v>1402</v>
      </c>
      <c r="F78" s="75" t="s">
        <v>1403</v>
      </c>
      <c r="G78" s="77" t="s">
        <v>658</v>
      </c>
      <c r="H78" s="77">
        <f>185+739+148+71+81+90+99+108+118+127+136</f>
        <v>1902</v>
      </c>
      <c r="I78" s="77">
        <v>1.0</v>
      </c>
      <c r="J78" s="78">
        <f t="shared" si="12"/>
        <v>10.49511719</v>
      </c>
      <c r="K78" s="79">
        <f t="shared" si="2"/>
        <v>181.2271332</v>
      </c>
      <c r="L78" s="80" t="s">
        <v>658</v>
      </c>
      <c r="M78" s="81">
        <v>2.0</v>
      </c>
      <c r="N78" s="82">
        <f>89.786223-0.23753</f>
        <v>89.548693</v>
      </c>
      <c r="O78" s="82">
        <v>87.767221</v>
      </c>
      <c r="P78" s="82">
        <f t="shared" si="3"/>
        <v>1.781472</v>
      </c>
      <c r="Q78" s="78">
        <f t="shared" si="9"/>
        <v>10.49511719</v>
      </c>
      <c r="R78" s="83">
        <f t="shared" si="10"/>
        <v>212.1319901</v>
      </c>
      <c r="S78" s="84" t="s">
        <v>705</v>
      </c>
      <c r="T78" s="83">
        <f t="shared" si="6"/>
        <v>1.17053107</v>
      </c>
      <c r="U78" s="83">
        <f t="shared" si="11"/>
        <v>2.193089123</v>
      </c>
    </row>
    <row r="79" ht="26.25" customHeight="1">
      <c r="A79" s="105"/>
      <c r="B79" s="73" t="s">
        <v>1338</v>
      </c>
      <c r="C79" s="73" t="s">
        <v>1404</v>
      </c>
      <c r="D79" s="75">
        <v>5223.0</v>
      </c>
      <c r="E79" s="75" t="s">
        <v>787</v>
      </c>
      <c r="F79" s="76" t="s">
        <v>1405</v>
      </c>
      <c r="G79" s="77" t="s">
        <v>658</v>
      </c>
      <c r="H79" s="77">
        <f>5223+1040</f>
        <v>6263</v>
      </c>
      <c r="I79" s="77">
        <v>1.0</v>
      </c>
      <c r="J79" s="78">
        <f t="shared" si="12"/>
        <v>10.49511719</v>
      </c>
      <c r="K79" s="79">
        <f t="shared" si="2"/>
        <v>596.7536987</v>
      </c>
      <c r="L79" s="80" t="s">
        <v>658</v>
      </c>
      <c r="M79" s="81">
        <v>3.0</v>
      </c>
      <c r="N79" s="82">
        <v>90.023753</v>
      </c>
      <c r="O79" s="82">
        <v>82.422803</v>
      </c>
      <c r="P79" s="82">
        <f t="shared" si="3"/>
        <v>7.60095</v>
      </c>
      <c r="Q79" s="78">
        <f t="shared" si="9"/>
        <v>10.49511719</v>
      </c>
      <c r="R79" s="83">
        <f t="shared" si="10"/>
        <v>603.397883</v>
      </c>
      <c r="S79" s="84" t="s">
        <v>705</v>
      </c>
      <c r="T79" s="83">
        <f t="shared" si="6"/>
        <v>1.01113388</v>
      </c>
      <c r="U79" s="83">
        <f t="shared" si="11"/>
        <v>0.7072329252</v>
      </c>
    </row>
    <row r="80" ht="26.25" customHeight="1">
      <c r="A80" s="105"/>
      <c r="B80" s="73" t="s">
        <v>1338</v>
      </c>
      <c r="C80" s="73" t="s">
        <v>1406</v>
      </c>
      <c r="D80" s="75">
        <v>3730.0</v>
      </c>
      <c r="E80" s="75"/>
      <c r="F80" s="76"/>
      <c r="G80" s="77" t="s">
        <v>658</v>
      </c>
      <c r="H80" s="77">
        <v>3730.0</v>
      </c>
      <c r="I80" s="77">
        <v>1.0</v>
      </c>
      <c r="J80" s="78">
        <f t="shared" si="12"/>
        <v>10.49511719</v>
      </c>
      <c r="K80" s="79">
        <f t="shared" si="2"/>
        <v>355.4033684</v>
      </c>
      <c r="L80" s="80" t="s">
        <v>658</v>
      </c>
      <c r="M80" s="81">
        <v>2.0</v>
      </c>
      <c r="N80" s="82">
        <v>87.054632</v>
      </c>
      <c r="O80" s="82">
        <v>83.966746</v>
      </c>
      <c r="P80" s="82">
        <f t="shared" si="3"/>
        <v>3.087886</v>
      </c>
      <c r="Q80" s="78">
        <f t="shared" si="9"/>
        <v>10.49511719</v>
      </c>
      <c r="R80" s="83">
        <f t="shared" si="10"/>
        <v>367.6955924</v>
      </c>
      <c r="S80" s="84" t="s">
        <v>705</v>
      </c>
      <c r="T80" s="83">
        <f t="shared" si="6"/>
        <v>1.034586684</v>
      </c>
      <c r="U80" s="83">
        <f t="shared" si="11"/>
        <v>0.8722882233</v>
      </c>
    </row>
    <row r="81" ht="26.25" customHeight="1">
      <c r="A81" s="105"/>
      <c r="B81" s="73" t="s">
        <v>1338</v>
      </c>
      <c r="C81" s="73" t="s">
        <v>1407</v>
      </c>
      <c r="D81" s="75">
        <v>3882.0</v>
      </c>
      <c r="E81" s="75" t="s">
        <v>1408</v>
      </c>
      <c r="F81" s="76" t="s">
        <v>1409</v>
      </c>
      <c r="G81" s="77" t="s">
        <v>658</v>
      </c>
      <c r="H81" s="77">
        <f>3882+2089+2001+1928</f>
        <v>9900</v>
      </c>
      <c r="I81" s="77">
        <v>1.0</v>
      </c>
      <c r="J81" s="78">
        <f t="shared" si="12"/>
        <v>10.49511719</v>
      </c>
      <c r="K81" s="79">
        <f t="shared" si="2"/>
        <v>943.2958035</v>
      </c>
      <c r="L81" s="80" t="s">
        <v>658</v>
      </c>
      <c r="M81" s="81">
        <v>2.0</v>
      </c>
      <c r="N81" s="82">
        <v>82.304038</v>
      </c>
      <c r="O81" s="82">
        <v>76.128266</v>
      </c>
      <c r="P81" s="82">
        <f t="shared" si="3"/>
        <v>6.175772</v>
      </c>
      <c r="Q81" s="78">
        <f t="shared" si="9"/>
        <v>10.49511719</v>
      </c>
      <c r="R81" s="83">
        <f t="shared" si="10"/>
        <v>735.3911848</v>
      </c>
      <c r="S81" s="84" t="s">
        <v>705</v>
      </c>
      <c r="T81" s="83">
        <f t="shared" si="6"/>
        <v>0.7795976427</v>
      </c>
      <c r="U81" s="83">
        <f t="shared" si="11"/>
        <v>-14.75345312</v>
      </c>
    </row>
    <row r="82" ht="26.25" customHeight="1">
      <c r="A82" s="105"/>
      <c r="B82" s="73" t="s">
        <v>1338</v>
      </c>
      <c r="C82" s="73" t="s">
        <v>1407</v>
      </c>
      <c r="D82" s="75">
        <v>3882.0</v>
      </c>
      <c r="E82" s="75"/>
      <c r="F82" s="76"/>
      <c r="G82" s="77" t="s">
        <v>658</v>
      </c>
      <c r="H82" s="77">
        <v>3882.0</v>
      </c>
      <c r="I82" s="77">
        <v>1.0</v>
      </c>
      <c r="J82" s="78">
        <f t="shared" si="12"/>
        <v>10.49511719</v>
      </c>
      <c r="K82" s="79">
        <f t="shared" si="2"/>
        <v>369.8862938</v>
      </c>
      <c r="L82" s="80" t="s">
        <v>658</v>
      </c>
      <c r="M82" s="81">
        <v>6.0</v>
      </c>
      <c r="N82" s="82">
        <v>90.023753</v>
      </c>
      <c r="O82" s="82">
        <v>82.541568</v>
      </c>
      <c r="P82" s="82">
        <f t="shared" si="3"/>
        <v>7.482185</v>
      </c>
      <c r="Q82" s="78">
        <f t="shared" si="9"/>
        <v>10.49511719</v>
      </c>
      <c r="R82" s="83">
        <f t="shared" si="10"/>
        <v>296.9848893</v>
      </c>
      <c r="S82" s="84" t="s">
        <v>705</v>
      </c>
      <c r="T82" s="83">
        <f t="shared" si="6"/>
        <v>0.802908608</v>
      </c>
      <c r="U82" s="83">
        <f t="shared" si="11"/>
        <v>-15.51982049</v>
      </c>
    </row>
    <row r="83" ht="26.25" customHeight="1">
      <c r="A83" s="105"/>
      <c r="B83" s="73" t="s">
        <v>1338</v>
      </c>
      <c r="C83" s="73" t="s">
        <v>1410</v>
      </c>
      <c r="D83" s="75">
        <v>14743.0</v>
      </c>
      <c r="E83" s="75"/>
      <c r="F83" s="76" t="s">
        <v>1411</v>
      </c>
      <c r="G83" s="77" t="s">
        <v>658</v>
      </c>
      <c r="H83" s="77">
        <v>14743.0</v>
      </c>
      <c r="I83" s="77">
        <v>1.0</v>
      </c>
      <c r="J83" s="78">
        <f t="shared" si="12"/>
        <v>10.49511719</v>
      </c>
      <c r="K83" s="79">
        <f t="shared" si="2"/>
        <v>1404.748488</v>
      </c>
      <c r="L83" s="80" t="s">
        <v>658</v>
      </c>
      <c r="M83" s="81">
        <v>2.0</v>
      </c>
      <c r="N83" s="82">
        <v>90.023753</v>
      </c>
      <c r="O83" s="82">
        <v>80.522565</v>
      </c>
      <c r="P83" s="82">
        <f t="shared" si="3"/>
        <v>9.501188</v>
      </c>
      <c r="Q83" s="78">
        <f t="shared" si="9"/>
        <v>10.49511719</v>
      </c>
      <c r="R83" s="83">
        <f t="shared" si="10"/>
        <v>1131.37109</v>
      </c>
      <c r="S83" s="84" t="s">
        <v>705</v>
      </c>
      <c r="T83" s="83">
        <f t="shared" si="6"/>
        <v>0.8053905022</v>
      </c>
      <c r="U83" s="83">
        <f t="shared" si="11"/>
        <v>-19.39957201</v>
      </c>
    </row>
    <row r="84" ht="26.25" customHeight="1">
      <c r="A84" s="105"/>
      <c r="B84" s="73" t="s">
        <v>1338</v>
      </c>
      <c r="C84" s="73" t="s">
        <v>1410</v>
      </c>
      <c r="D84" s="75">
        <v>7372.0</v>
      </c>
      <c r="E84" s="75"/>
      <c r="F84" s="76" t="s">
        <v>712</v>
      </c>
      <c r="G84" s="77" t="s">
        <v>658</v>
      </c>
      <c r="H84" s="77">
        <v>7372.0</v>
      </c>
      <c r="I84" s="77">
        <v>1.0</v>
      </c>
      <c r="J84" s="78">
        <f t="shared" si="12"/>
        <v>10.49511719</v>
      </c>
      <c r="K84" s="79">
        <f t="shared" si="2"/>
        <v>702.4218852</v>
      </c>
      <c r="L84" s="80" t="s">
        <v>658</v>
      </c>
      <c r="M84" s="81">
        <v>3.0</v>
      </c>
      <c r="N84" s="82">
        <v>90.023753</v>
      </c>
      <c r="O84" s="82">
        <v>82.897862</v>
      </c>
      <c r="P84" s="82">
        <f t="shared" si="3"/>
        <v>7.125891</v>
      </c>
      <c r="Q84" s="78">
        <f t="shared" si="9"/>
        <v>10.49511719</v>
      </c>
      <c r="R84" s="83">
        <f t="shared" si="10"/>
        <v>565.6855451</v>
      </c>
      <c r="S84" s="84" t="s">
        <v>705</v>
      </c>
      <c r="T84" s="83">
        <f t="shared" si="6"/>
        <v>0.8053358772</v>
      </c>
      <c r="U84" s="83">
        <f t="shared" si="11"/>
        <v>-14.55475013</v>
      </c>
    </row>
    <row r="85" ht="26.25" customHeight="1">
      <c r="A85" s="105"/>
      <c r="B85" s="73" t="s">
        <v>1338</v>
      </c>
      <c r="C85" s="73" t="s">
        <v>1412</v>
      </c>
      <c r="D85" s="75">
        <v>5994.0</v>
      </c>
      <c r="E85" s="75" t="s">
        <v>1413</v>
      </c>
      <c r="F85" s="76" t="s">
        <v>1038</v>
      </c>
      <c r="G85" s="77" t="s">
        <v>658</v>
      </c>
      <c r="H85" s="77">
        <v>5994.0</v>
      </c>
      <c r="I85" s="77">
        <v>1.0</v>
      </c>
      <c r="J85" s="78">
        <f t="shared" si="12"/>
        <v>10.49511719</v>
      </c>
      <c r="K85" s="79">
        <f t="shared" si="2"/>
        <v>571.1227319</v>
      </c>
      <c r="L85" s="80" t="s">
        <v>658</v>
      </c>
      <c r="M85" s="81">
        <v>3.0</v>
      </c>
      <c r="N85" s="82">
        <v>90.023753</v>
      </c>
      <c r="O85" s="82">
        <v>82.779097</v>
      </c>
      <c r="P85" s="82">
        <f t="shared" si="3"/>
        <v>7.244656</v>
      </c>
      <c r="Q85" s="78">
        <f t="shared" si="9"/>
        <v>10.49511719</v>
      </c>
      <c r="R85" s="83">
        <f t="shared" si="10"/>
        <v>575.1136494</v>
      </c>
      <c r="S85" s="84" t="s">
        <v>757</v>
      </c>
      <c r="T85" s="83">
        <f t="shared" si="6"/>
        <v>1.006987846</v>
      </c>
      <c r="U85" s="83">
        <f t="shared" si="11"/>
        <v>0.4248088424</v>
      </c>
    </row>
    <row r="86" ht="26.25" customHeight="1">
      <c r="A86" s="105"/>
      <c r="B86" s="73" t="s">
        <v>1338</v>
      </c>
      <c r="C86" s="73" t="s">
        <v>1414</v>
      </c>
      <c r="D86" s="75">
        <v>3108.0</v>
      </c>
      <c r="E86" s="75" t="s">
        <v>1415</v>
      </c>
      <c r="F86" s="75" t="s">
        <v>1389</v>
      </c>
      <c r="G86" s="77" t="s">
        <v>658</v>
      </c>
      <c r="H86" s="77">
        <f>3108*2+3781</f>
        <v>9997</v>
      </c>
      <c r="I86" s="77">
        <v>2.0</v>
      </c>
      <c r="J86" s="78">
        <f t="shared" si="12"/>
        <v>10.49511719</v>
      </c>
      <c r="K86" s="79">
        <f t="shared" si="2"/>
        <v>476.2690984</v>
      </c>
      <c r="L86" s="80" t="s">
        <v>658</v>
      </c>
      <c r="M86" s="81">
        <v>4.0</v>
      </c>
      <c r="N86" s="82">
        <v>90.023753</v>
      </c>
      <c r="O86" s="82">
        <v>81.947743</v>
      </c>
      <c r="P86" s="82">
        <f t="shared" si="3"/>
        <v>8.07601</v>
      </c>
      <c r="Q86" s="78">
        <f t="shared" si="9"/>
        <v>10.49511719</v>
      </c>
      <c r="R86" s="83">
        <f t="shared" si="10"/>
        <v>480.8327252</v>
      </c>
      <c r="S86" s="84" t="s">
        <v>705</v>
      </c>
      <c r="T86" s="83">
        <f t="shared" si="6"/>
        <v>1.009582034</v>
      </c>
      <c r="U86" s="83">
        <f t="shared" si="11"/>
        <v>0.64769369</v>
      </c>
    </row>
    <row r="87" ht="26.25" customHeight="1">
      <c r="A87" s="105"/>
      <c r="B87" s="73" t="s">
        <v>1416</v>
      </c>
      <c r="C87" s="73" t="s">
        <v>1417</v>
      </c>
      <c r="D87" s="75">
        <v>571.0</v>
      </c>
      <c r="E87" s="75"/>
      <c r="F87" s="75" t="s">
        <v>852</v>
      </c>
      <c r="G87" s="77" t="s">
        <v>658</v>
      </c>
      <c r="H87" s="77">
        <f>3*571</f>
        <v>1713</v>
      </c>
      <c r="I87" s="77">
        <v>1.0</v>
      </c>
      <c r="J87" s="78">
        <f t="shared" si="12"/>
        <v>10.49511719</v>
      </c>
      <c r="K87" s="79">
        <f t="shared" si="2"/>
        <v>163.2187587</v>
      </c>
      <c r="L87" s="80" t="s">
        <v>658</v>
      </c>
      <c r="M87" s="81">
        <v>6.0</v>
      </c>
      <c r="N87" s="82">
        <v>90.023753</v>
      </c>
      <c r="O87" s="82">
        <v>85.866983</v>
      </c>
      <c r="P87" s="82">
        <f t="shared" si="3"/>
        <v>4.15677</v>
      </c>
      <c r="Q87" s="78">
        <f t="shared" si="9"/>
        <v>10.49511719</v>
      </c>
      <c r="R87" s="83">
        <f t="shared" si="10"/>
        <v>164.9916272</v>
      </c>
      <c r="S87" s="84" t="s">
        <v>705</v>
      </c>
      <c r="T87" s="83">
        <f t="shared" si="6"/>
        <v>1.010861916</v>
      </c>
      <c r="U87" s="83">
        <f t="shared" si="11"/>
        <v>0.3774220974</v>
      </c>
    </row>
    <row r="88" ht="26.25" customHeight="1">
      <c r="A88" s="105"/>
      <c r="B88" s="73" t="s">
        <v>1416</v>
      </c>
      <c r="C88" s="73" t="s">
        <v>1417</v>
      </c>
      <c r="D88" s="75">
        <v>571.0</v>
      </c>
      <c r="E88" s="75"/>
      <c r="F88" s="75" t="s">
        <v>1418</v>
      </c>
      <c r="G88" s="77" t="s">
        <v>658</v>
      </c>
      <c r="H88" s="77">
        <f>571*5</f>
        <v>2855</v>
      </c>
      <c r="I88" s="77">
        <v>1.0</v>
      </c>
      <c r="J88" s="78">
        <f t="shared" si="12"/>
        <v>10.49511719</v>
      </c>
      <c r="K88" s="79">
        <f t="shared" si="2"/>
        <v>272.0312645</v>
      </c>
      <c r="L88" s="80" t="s">
        <v>658</v>
      </c>
      <c r="M88" s="81">
        <v>7.0</v>
      </c>
      <c r="N88" s="82">
        <v>90.023753</v>
      </c>
      <c r="O88" s="82">
        <v>81.710214</v>
      </c>
      <c r="P88" s="82">
        <f t="shared" si="3"/>
        <v>8.313539</v>
      </c>
      <c r="Q88" s="78">
        <f t="shared" si="9"/>
        <v>10.49511719</v>
      </c>
      <c r="R88" s="83">
        <f t="shared" si="10"/>
        <v>282.8427555</v>
      </c>
      <c r="S88" s="84" t="s">
        <v>705</v>
      </c>
      <c r="T88" s="83">
        <f t="shared" si="6"/>
        <v>1.03974356</v>
      </c>
      <c r="U88" s="83">
        <f t="shared" si="11"/>
        <v>2.685240434</v>
      </c>
    </row>
    <row r="89" ht="26.25" customHeight="1">
      <c r="A89" s="105"/>
      <c r="B89" s="73" t="s">
        <v>1416</v>
      </c>
      <c r="C89" s="73" t="s">
        <v>33</v>
      </c>
      <c r="D89" s="75">
        <v>4253.0</v>
      </c>
      <c r="E89" s="75" t="s">
        <v>1419</v>
      </c>
      <c r="F89" s="76"/>
      <c r="G89" s="77" t="s">
        <v>658</v>
      </c>
      <c r="H89" s="77">
        <f>4253+2836</f>
        <v>7089</v>
      </c>
      <c r="I89" s="77">
        <v>1.0</v>
      </c>
      <c r="J89" s="78">
        <f t="shared" si="12"/>
        <v>10.49511719</v>
      </c>
      <c r="K89" s="79">
        <f t="shared" si="2"/>
        <v>675.4569647</v>
      </c>
      <c r="L89" s="80" t="s">
        <v>303</v>
      </c>
      <c r="M89" s="81" t="s">
        <v>303</v>
      </c>
      <c r="N89" s="82" t="s">
        <v>303</v>
      </c>
      <c r="O89" s="82" t="s">
        <v>303</v>
      </c>
      <c r="P89" s="82" t="s">
        <v>303</v>
      </c>
      <c r="Q89" s="78" t="s">
        <v>303</v>
      </c>
      <c r="R89" s="79" t="s">
        <v>303</v>
      </c>
      <c r="S89" s="84" t="s">
        <v>303</v>
      </c>
      <c r="T89" s="79" t="s">
        <v>303</v>
      </c>
      <c r="U89" s="79" t="s">
        <v>303</v>
      </c>
    </row>
    <row r="90" ht="26.25" customHeight="1">
      <c r="A90" s="105"/>
      <c r="B90" s="73" t="s">
        <v>1416</v>
      </c>
      <c r="C90" s="85" t="s">
        <v>1420</v>
      </c>
      <c r="D90" s="75">
        <v>405.0</v>
      </c>
      <c r="E90" s="75" t="s">
        <v>1421</v>
      </c>
      <c r="F90" s="76" t="s">
        <v>1422</v>
      </c>
      <c r="G90" s="77" t="s">
        <v>658</v>
      </c>
      <c r="H90" s="77">
        <f>405*13+466</f>
        <v>5731</v>
      </c>
      <c r="I90" s="77">
        <v>1.0</v>
      </c>
      <c r="J90" s="78">
        <f t="shared" si="12"/>
        <v>10.49511719</v>
      </c>
      <c r="K90" s="79">
        <f t="shared" si="2"/>
        <v>546.0634596</v>
      </c>
      <c r="L90" s="80" t="s">
        <v>658</v>
      </c>
      <c r="M90" s="81">
        <v>1.0</v>
      </c>
      <c r="N90" s="82">
        <v>89.904988</v>
      </c>
      <c r="O90" s="82">
        <v>87.529691</v>
      </c>
      <c r="P90" s="82">
        <f t="shared" ref="P90:P97" si="14">N90-O90</f>
        <v>2.375297</v>
      </c>
      <c r="Q90" s="78">
        <f t="shared" ref="Q90:Q97" si="15">IFS(L90="S",21494/2048,L90="R",1)</f>
        <v>10.49511719</v>
      </c>
      <c r="R90" s="83">
        <f t="shared" ref="R90:R97" si="16">IFS(L90="S",P90/M90/100*249945/Q90,L90="R",P90/M90/100*170255/Q90)</f>
        <v>565.6855451</v>
      </c>
      <c r="S90" s="84" t="s">
        <v>757</v>
      </c>
      <c r="T90" s="83">
        <f t="shared" ref="T90:T97" si="17">R90/K90</f>
        <v>1.035933709</v>
      </c>
      <c r="U90" s="83">
        <f t="shared" ref="U90:U97" si="18">IFS(L90="S",(R90-K90)*M90*J90/(249945/845),L90="R",(R90-K90)*M90*J90/(170255/845))</f>
        <v>0.6962171406</v>
      </c>
    </row>
    <row r="91" ht="26.25" customHeight="1">
      <c r="A91" s="105"/>
      <c r="B91" s="73" t="s">
        <v>1416</v>
      </c>
      <c r="C91" s="85" t="s">
        <v>1420</v>
      </c>
      <c r="D91" s="75">
        <v>414.0</v>
      </c>
      <c r="E91" s="75" t="s">
        <v>1423</v>
      </c>
      <c r="F91" s="75" t="s">
        <v>1424</v>
      </c>
      <c r="G91" s="77" t="s">
        <v>658</v>
      </c>
      <c r="H91" s="77">
        <f>414+422+431+439+448+456+465+473+482+490+499+507+593+524+527*7</f>
        <v>10332</v>
      </c>
      <c r="I91" s="77">
        <v>1.0</v>
      </c>
      <c r="J91" s="78">
        <f t="shared" si="12"/>
        <v>10.49511719</v>
      </c>
      <c r="K91" s="79">
        <f t="shared" si="2"/>
        <v>984.4578022</v>
      </c>
      <c r="L91" s="80" t="s">
        <v>658</v>
      </c>
      <c r="M91" s="81">
        <v>1.0</v>
      </c>
      <c r="N91" s="82">
        <v>89.904988</v>
      </c>
      <c r="O91" s="82">
        <v>85.748219</v>
      </c>
      <c r="P91" s="82">
        <f t="shared" si="14"/>
        <v>4.156769</v>
      </c>
      <c r="Q91" s="78">
        <f t="shared" si="15"/>
        <v>10.49511719</v>
      </c>
      <c r="R91" s="83">
        <f t="shared" si="16"/>
        <v>989.9495252</v>
      </c>
      <c r="S91" s="84" t="s">
        <v>757</v>
      </c>
      <c r="T91" s="83">
        <f t="shared" si="17"/>
        <v>1.005578424</v>
      </c>
      <c r="U91" s="83">
        <f t="shared" si="18"/>
        <v>0.1948534842</v>
      </c>
    </row>
    <row r="92" ht="26.25" customHeight="1">
      <c r="A92" s="105"/>
      <c r="B92" s="73" t="s">
        <v>1416</v>
      </c>
      <c r="C92" s="73" t="s">
        <v>1425</v>
      </c>
      <c r="D92" s="75">
        <v>5671.0</v>
      </c>
      <c r="E92" s="75"/>
      <c r="F92" s="76" t="s">
        <v>992</v>
      </c>
      <c r="G92" s="77" t="s">
        <v>658</v>
      </c>
      <c r="H92" s="77">
        <f>6*5671</f>
        <v>34026</v>
      </c>
      <c r="I92" s="77">
        <v>1.0</v>
      </c>
      <c r="J92" s="78">
        <f t="shared" si="12"/>
        <v>10.49511719</v>
      </c>
      <c r="K92" s="79">
        <f t="shared" si="2"/>
        <v>3242.079092</v>
      </c>
      <c r="L92" s="80" t="s">
        <v>658</v>
      </c>
      <c r="M92" s="81">
        <v>1.0</v>
      </c>
      <c r="N92" s="82">
        <v>75.534442</v>
      </c>
      <c r="O92" s="82">
        <v>64.6080706</v>
      </c>
      <c r="P92" s="82">
        <f t="shared" si="14"/>
        <v>10.9263714</v>
      </c>
      <c r="Q92" s="78">
        <f t="shared" si="15"/>
        <v>10.49511719</v>
      </c>
      <c r="R92" s="83">
        <f t="shared" si="16"/>
        <v>2602.154746</v>
      </c>
      <c r="S92" s="84" t="s">
        <v>705</v>
      </c>
      <c r="T92" s="83">
        <f t="shared" si="17"/>
        <v>0.8026191441</v>
      </c>
      <c r="U92" s="83">
        <f t="shared" si="18"/>
        <v>-22.70534897</v>
      </c>
    </row>
    <row r="93" ht="26.25" customHeight="1">
      <c r="A93" s="105"/>
      <c r="B93" s="73" t="s">
        <v>1416</v>
      </c>
      <c r="C93" s="73" t="s">
        <v>1426</v>
      </c>
      <c r="D93" s="75">
        <v>10632.0</v>
      </c>
      <c r="E93" s="75" t="s">
        <v>1427</v>
      </c>
      <c r="F93" s="76" t="s">
        <v>1428</v>
      </c>
      <c r="G93" s="77" t="s">
        <v>658</v>
      </c>
      <c r="H93" s="77">
        <f>29+10632</f>
        <v>10661</v>
      </c>
      <c r="I93" s="77">
        <v>1.0</v>
      </c>
      <c r="J93" s="78">
        <f t="shared" si="12"/>
        <v>10.49511719</v>
      </c>
      <c r="K93" s="79">
        <f t="shared" si="2"/>
        <v>1015.805713</v>
      </c>
      <c r="L93" s="80" t="s">
        <v>658</v>
      </c>
      <c r="M93" s="81">
        <v>1.0</v>
      </c>
      <c r="N93" s="82">
        <v>90.023753</v>
      </c>
      <c r="O93" s="82">
        <v>85.629454</v>
      </c>
      <c r="P93" s="82">
        <f t="shared" si="14"/>
        <v>4.394299</v>
      </c>
      <c r="Q93" s="78">
        <f t="shared" si="15"/>
        <v>10.49511719</v>
      </c>
      <c r="R93" s="83">
        <f t="shared" si="16"/>
        <v>1046.518151</v>
      </c>
      <c r="S93" s="84" t="s">
        <v>705</v>
      </c>
      <c r="T93" s="83">
        <f t="shared" si="17"/>
        <v>1.030234559</v>
      </c>
      <c r="U93" s="83">
        <f t="shared" si="18"/>
        <v>1.089717286</v>
      </c>
    </row>
    <row r="94" ht="26.25" customHeight="1">
      <c r="A94" s="105"/>
      <c r="B94" s="73" t="s">
        <v>1416</v>
      </c>
      <c r="C94" s="73" t="s">
        <v>1426</v>
      </c>
      <c r="D94" s="75">
        <v>15947.0</v>
      </c>
      <c r="E94" s="75" t="s">
        <v>1429</v>
      </c>
      <c r="F94" s="75" t="s">
        <v>1430</v>
      </c>
      <c r="G94" s="77" t="s">
        <v>658</v>
      </c>
      <c r="H94" s="77">
        <f>67+15947+851*3</f>
        <v>18567</v>
      </c>
      <c r="I94" s="77">
        <v>1.0</v>
      </c>
      <c r="J94" s="78">
        <f t="shared" si="12"/>
        <v>10.49511719</v>
      </c>
      <c r="K94" s="79">
        <f t="shared" si="2"/>
        <v>1769.108402</v>
      </c>
      <c r="L94" s="80" t="s">
        <v>658</v>
      </c>
      <c r="M94" s="81">
        <v>1.0</v>
      </c>
      <c r="N94" s="82">
        <v>90.023753</v>
      </c>
      <c r="O94" s="82">
        <v>82.541568</v>
      </c>
      <c r="P94" s="82">
        <f t="shared" si="14"/>
        <v>7.482185</v>
      </c>
      <c r="Q94" s="78">
        <f t="shared" si="15"/>
        <v>10.49511719</v>
      </c>
      <c r="R94" s="83">
        <f t="shared" si="16"/>
        <v>1781.909336</v>
      </c>
      <c r="S94" s="84" t="s">
        <v>757</v>
      </c>
      <c r="T94" s="83">
        <f t="shared" si="17"/>
        <v>1.007235811</v>
      </c>
      <c r="U94" s="83">
        <f t="shared" si="18"/>
        <v>0.4541937907</v>
      </c>
    </row>
    <row r="95" ht="26.25" customHeight="1">
      <c r="A95" s="105"/>
      <c r="B95" s="73" t="s">
        <v>1416</v>
      </c>
      <c r="C95" s="73" t="s">
        <v>1431</v>
      </c>
      <c r="D95" s="75">
        <v>2269.0</v>
      </c>
      <c r="E95" s="75" t="s">
        <v>1432</v>
      </c>
      <c r="F95" s="75" t="s">
        <v>770</v>
      </c>
      <c r="G95" s="77" t="s">
        <v>658</v>
      </c>
      <c r="H95" s="77">
        <f>2269*3+84*2+139*2+200*3+2251+10+7090</f>
        <v>17204</v>
      </c>
      <c r="I95" s="77">
        <v>4.0</v>
      </c>
      <c r="J95" s="78">
        <f t="shared" si="12"/>
        <v>10.49511719</v>
      </c>
      <c r="K95" s="79">
        <f t="shared" si="2"/>
        <v>409.8096213</v>
      </c>
      <c r="L95" s="80" t="s">
        <v>658</v>
      </c>
      <c r="M95" s="81">
        <v>4.0</v>
      </c>
      <c r="N95" s="82">
        <v>90.023753</v>
      </c>
      <c r="O95" s="82">
        <v>83.016627</v>
      </c>
      <c r="P95" s="82">
        <f t="shared" si="14"/>
        <v>7.007126</v>
      </c>
      <c r="Q95" s="78">
        <f t="shared" si="15"/>
        <v>10.49511719</v>
      </c>
      <c r="R95" s="83">
        <f t="shared" si="16"/>
        <v>417.1930805</v>
      </c>
      <c r="S95" s="84" t="s">
        <v>705</v>
      </c>
      <c r="T95" s="83">
        <f t="shared" si="17"/>
        <v>1.018016803</v>
      </c>
      <c r="U95" s="83">
        <f t="shared" si="18"/>
        <v>1.047898991</v>
      </c>
    </row>
    <row r="96" ht="26.25" customHeight="1">
      <c r="A96" s="105"/>
      <c r="B96" s="73" t="s">
        <v>1416</v>
      </c>
      <c r="C96" s="73" t="s">
        <v>1431</v>
      </c>
      <c r="D96" s="75">
        <v>2722.0</v>
      </c>
      <c r="E96" s="75" t="s">
        <v>1433</v>
      </c>
      <c r="F96" s="75" t="s">
        <v>1434</v>
      </c>
      <c r="G96" s="77" t="s">
        <v>689</v>
      </c>
      <c r="H96" s="77">
        <v>18468.0</v>
      </c>
      <c r="I96" s="77">
        <v>15.0</v>
      </c>
      <c r="J96" s="78">
        <v>2.0</v>
      </c>
      <c r="K96" s="79">
        <f t="shared" si="2"/>
        <v>615.6</v>
      </c>
      <c r="L96" s="80" t="s">
        <v>658</v>
      </c>
      <c r="M96" s="81">
        <v>6.0</v>
      </c>
      <c r="N96" s="82">
        <v>90.023753</v>
      </c>
      <c r="O96" s="82">
        <v>75.653207</v>
      </c>
      <c r="P96" s="82">
        <f t="shared" si="14"/>
        <v>14.370546</v>
      </c>
      <c r="Q96" s="78">
        <f t="shared" si="15"/>
        <v>10.49511719</v>
      </c>
      <c r="R96" s="83">
        <f t="shared" si="16"/>
        <v>570.3995575</v>
      </c>
      <c r="S96" s="84" t="s">
        <v>705</v>
      </c>
      <c r="T96" s="83">
        <f t="shared" si="17"/>
        <v>0.9265749797</v>
      </c>
      <c r="U96" s="83">
        <f t="shared" si="18"/>
        <v>-1.833733368</v>
      </c>
    </row>
    <row r="97" ht="26.25" customHeight="1">
      <c r="A97" s="105"/>
      <c r="B97" s="73" t="s">
        <v>1416</v>
      </c>
      <c r="C97" s="73" t="s">
        <v>1431</v>
      </c>
      <c r="D97" s="75">
        <v>2269.0</v>
      </c>
      <c r="E97" s="75" t="s">
        <v>1435</v>
      </c>
      <c r="F97" s="76" t="s">
        <v>772</v>
      </c>
      <c r="G97" s="77" t="s">
        <v>658</v>
      </c>
      <c r="H97" s="77">
        <f>2269*3+103*2+181*2+7090</f>
        <v>14465</v>
      </c>
      <c r="I97" s="77">
        <v>3.0</v>
      </c>
      <c r="J97" s="78">
        <f t="shared" ref="J97:J109" si="19">IFS(G97="S",21494/2048,G97="C",(21494/2048)/(87875/9999)*2*1.3,OR(G97="R",G97="T"),1)</f>
        <v>10.49511719</v>
      </c>
      <c r="K97" s="79">
        <f t="shared" si="2"/>
        <v>459.4199932</v>
      </c>
      <c r="L97" s="80" t="s">
        <v>658</v>
      </c>
      <c r="M97" s="81">
        <v>3.0</v>
      </c>
      <c r="N97" s="82">
        <v>90.023753</v>
      </c>
      <c r="O97" s="82">
        <v>84.204276</v>
      </c>
      <c r="P97" s="82">
        <f t="shared" si="14"/>
        <v>5.819477</v>
      </c>
      <c r="Q97" s="78">
        <f t="shared" si="15"/>
        <v>10.49511719</v>
      </c>
      <c r="R97" s="83">
        <f t="shared" si="16"/>
        <v>461.9764769</v>
      </c>
      <c r="S97" s="84" t="s">
        <v>705</v>
      </c>
      <c r="T97" s="83">
        <f t="shared" si="17"/>
        <v>1.00556459</v>
      </c>
      <c r="U97" s="83">
        <f t="shared" si="18"/>
        <v>0.2721221091</v>
      </c>
    </row>
    <row r="98" ht="26.25" customHeight="1">
      <c r="A98" s="105"/>
      <c r="B98" s="73" t="s">
        <v>1416</v>
      </c>
      <c r="C98" s="73" t="s">
        <v>1436</v>
      </c>
      <c r="D98" s="76">
        <v>7090.0</v>
      </c>
      <c r="E98" s="75"/>
      <c r="F98" s="76"/>
      <c r="G98" s="77" t="s">
        <v>658</v>
      </c>
      <c r="H98" s="77">
        <v>7090.0</v>
      </c>
      <c r="I98" s="77">
        <v>1.0</v>
      </c>
      <c r="J98" s="78">
        <f t="shared" si="19"/>
        <v>10.49511719</v>
      </c>
      <c r="K98" s="79">
        <f t="shared" si="2"/>
        <v>675.5522471</v>
      </c>
      <c r="L98" s="80" t="s">
        <v>303</v>
      </c>
      <c r="M98" s="81" t="s">
        <v>303</v>
      </c>
      <c r="N98" s="82" t="s">
        <v>303</v>
      </c>
      <c r="O98" s="82" t="s">
        <v>303</v>
      </c>
      <c r="P98" s="82" t="s">
        <v>303</v>
      </c>
      <c r="Q98" s="78" t="s">
        <v>303</v>
      </c>
      <c r="R98" s="79" t="s">
        <v>303</v>
      </c>
      <c r="S98" s="84" t="s">
        <v>303</v>
      </c>
      <c r="T98" s="79" t="s">
        <v>303</v>
      </c>
      <c r="U98" s="79" t="s">
        <v>303</v>
      </c>
    </row>
    <row r="99" ht="26.25" customHeight="1">
      <c r="A99" s="105"/>
      <c r="B99" s="73" t="s">
        <v>1416</v>
      </c>
      <c r="C99" s="73" t="s">
        <v>1437</v>
      </c>
      <c r="D99" s="75">
        <v>1903.0</v>
      </c>
      <c r="E99" s="75" t="s">
        <v>1438</v>
      </c>
      <c r="F99" s="75" t="s">
        <v>1439</v>
      </c>
      <c r="G99" s="77" t="s">
        <v>658</v>
      </c>
      <c r="H99" s="77">
        <f>1903*14+4253*2+2836*2</f>
        <v>40820</v>
      </c>
      <c r="I99" s="77">
        <v>14.0</v>
      </c>
      <c r="J99" s="78">
        <f t="shared" si="19"/>
        <v>10.49511719</v>
      </c>
      <c r="K99" s="79">
        <f t="shared" si="2"/>
        <v>277.8162677</v>
      </c>
      <c r="L99" s="80" t="s">
        <v>658</v>
      </c>
      <c r="M99" s="81">
        <v>14.0</v>
      </c>
      <c r="N99" s="82">
        <v>90.023753</v>
      </c>
      <c r="O99" s="82">
        <v>73.634204</v>
      </c>
      <c r="P99" s="82">
        <f>N99-O99</f>
        <v>16.389549</v>
      </c>
      <c r="Q99" s="78">
        <f>IFS(L99="S",21494/2048,L99="R",1)</f>
        <v>10.49511719</v>
      </c>
      <c r="R99" s="83">
        <f>IFS(L99="S",P99/M99/100*249945/Q99,L99="R",P99/M99/100*170255/Q99)</f>
        <v>278.8021564</v>
      </c>
      <c r="S99" s="84" t="s">
        <v>1294</v>
      </c>
      <c r="T99" s="83">
        <f>R99/K99</f>
        <v>1.003548708</v>
      </c>
      <c r="U99" s="83">
        <f>IFS(L99="S",(R99-K99)*M99*J99/(249945/845),L99="R",(R99-K99)*M99*J99/(170255/845))</f>
        <v>0.4897286187</v>
      </c>
    </row>
    <row r="100" ht="26.25" customHeight="1">
      <c r="A100" s="105"/>
      <c r="B100" s="73" t="s">
        <v>1416</v>
      </c>
      <c r="C100" s="85" t="s">
        <v>1440</v>
      </c>
      <c r="D100" s="76">
        <v>1040.0</v>
      </c>
      <c r="E100" s="75"/>
      <c r="F100" s="76"/>
      <c r="G100" s="77" t="s">
        <v>658</v>
      </c>
      <c r="H100" s="77">
        <v>1040.0</v>
      </c>
      <c r="I100" s="77">
        <v>1.0</v>
      </c>
      <c r="J100" s="78">
        <f t="shared" si="19"/>
        <v>10.49511719</v>
      </c>
      <c r="K100" s="79">
        <f t="shared" si="2"/>
        <v>99.09370057</v>
      </c>
      <c r="L100" s="80" t="s">
        <v>303</v>
      </c>
      <c r="M100" s="81" t="s">
        <v>303</v>
      </c>
      <c r="N100" s="82" t="s">
        <v>303</v>
      </c>
      <c r="O100" s="82" t="s">
        <v>303</v>
      </c>
      <c r="P100" s="82" t="s">
        <v>303</v>
      </c>
      <c r="Q100" s="78" t="s">
        <v>303</v>
      </c>
      <c r="R100" s="79" t="s">
        <v>303</v>
      </c>
      <c r="S100" s="84" t="s">
        <v>303</v>
      </c>
      <c r="T100" s="79" t="s">
        <v>303</v>
      </c>
      <c r="U100" s="79" t="s">
        <v>303</v>
      </c>
    </row>
    <row r="101" ht="26.25" customHeight="1">
      <c r="A101" s="105"/>
      <c r="B101" s="73" t="s">
        <v>1416</v>
      </c>
      <c r="C101" s="73" t="s">
        <v>1441</v>
      </c>
      <c r="D101" s="76">
        <v>3781.0</v>
      </c>
      <c r="E101" s="75" t="s">
        <v>1442</v>
      </c>
      <c r="F101" s="76" t="s">
        <v>1443</v>
      </c>
      <c r="G101" s="77" t="s">
        <v>658</v>
      </c>
      <c r="H101" s="77">
        <v>3781.0</v>
      </c>
      <c r="I101" s="77">
        <v>1.0</v>
      </c>
      <c r="J101" s="78">
        <f t="shared" si="19"/>
        <v>10.49511719</v>
      </c>
      <c r="K101" s="79">
        <f t="shared" si="2"/>
        <v>360.262771</v>
      </c>
      <c r="L101" s="80" t="s">
        <v>303</v>
      </c>
      <c r="M101" s="81" t="s">
        <v>303</v>
      </c>
      <c r="N101" s="82" t="s">
        <v>303</v>
      </c>
      <c r="O101" s="82" t="s">
        <v>303</v>
      </c>
      <c r="P101" s="82" t="s">
        <v>303</v>
      </c>
      <c r="Q101" s="78" t="s">
        <v>303</v>
      </c>
      <c r="R101" s="79" t="s">
        <v>303</v>
      </c>
      <c r="S101" s="84" t="s">
        <v>303</v>
      </c>
      <c r="T101" s="79" t="s">
        <v>303</v>
      </c>
      <c r="U101" s="79" t="s">
        <v>303</v>
      </c>
    </row>
    <row r="102" ht="26.25" customHeight="1">
      <c r="A102" s="105"/>
      <c r="B102" s="85" t="s">
        <v>1416</v>
      </c>
      <c r="C102" s="73" t="s">
        <v>1321</v>
      </c>
      <c r="D102" s="75">
        <v>2949.0</v>
      </c>
      <c r="E102" s="75"/>
      <c r="F102" s="76" t="s">
        <v>770</v>
      </c>
      <c r="G102" s="77" t="s">
        <v>658</v>
      </c>
      <c r="H102" s="77">
        <v>2949.0</v>
      </c>
      <c r="I102" s="77">
        <v>1.0</v>
      </c>
      <c r="J102" s="78">
        <f t="shared" si="19"/>
        <v>10.49511719</v>
      </c>
      <c r="K102" s="79">
        <f t="shared" si="2"/>
        <v>280.9878106</v>
      </c>
      <c r="L102" s="80" t="s">
        <v>658</v>
      </c>
      <c r="M102" s="81">
        <v>10.0</v>
      </c>
      <c r="N102" s="82">
        <v>90.023753</v>
      </c>
      <c r="O102" s="82">
        <v>78.266033</v>
      </c>
      <c r="P102" s="82">
        <f t="shared" ref="P102:P105" si="20">N102-O102</f>
        <v>11.75772</v>
      </c>
      <c r="Q102" s="78">
        <f t="shared" ref="Q102:Q105" si="21">IFS(L102="S",21494/2048,L102="R",1)</f>
        <v>10.49511719</v>
      </c>
      <c r="R102" s="83">
        <f t="shared" ref="R102:R105" si="22">IFS(L102="S",P102/M102/100*249945/Q102,L102="R",P102/M102/100*170255/Q102)</f>
        <v>280.0143412</v>
      </c>
      <c r="S102" s="84" t="s">
        <v>705</v>
      </c>
      <c r="T102" s="83">
        <f t="shared" ref="T102:T105" si="23">R102/K102</f>
        <v>0.9965355461</v>
      </c>
      <c r="U102" s="83">
        <f t="shared" ref="U102:U105" si="24">IFS(L102="S",(R102-K102)*M102*J102/(249945/845),L102="R",(R102-K102)*M102*J102/(170255/845))</f>
        <v>-0.3453995894</v>
      </c>
    </row>
    <row r="103" ht="26.25" customHeight="1">
      <c r="A103" s="105"/>
      <c r="B103" s="85" t="s">
        <v>1416</v>
      </c>
      <c r="C103" s="73" t="s">
        <v>1321</v>
      </c>
      <c r="D103" s="75">
        <v>3922.0</v>
      </c>
      <c r="E103" s="75"/>
      <c r="F103" s="76" t="s">
        <v>1444</v>
      </c>
      <c r="G103" s="77" t="s">
        <v>658</v>
      </c>
      <c r="H103" s="77">
        <v>3922.0</v>
      </c>
      <c r="I103" s="77">
        <v>1.0</v>
      </c>
      <c r="J103" s="78">
        <f t="shared" si="19"/>
        <v>10.49511719</v>
      </c>
      <c r="K103" s="79">
        <f t="shared" si="2"/>
        <v>373.69759</v>
      </c>
      <c r="L103" s="80" t="s">
        <v>658</v>
      </c>
      <c r="M103" s="81">
        <v>7.0</v>
      </c>
      <c r="N103" s="82">
        <v>90.023753</v>
      </c>
      <c r="O103" s="82">
        <v>78.978622</v>
      </c>
      <c r="P103" s="82">
        <f t="shared" si="20"/>
        <v>11.045131</v>
      </c>
      <c r="Q103" s="78">
        <f t="shared" si="21"/>
        <v>10.49511719</v>
      </c>
      <c r="R103" s="83">
        <f t="shared" si="22"/>
        <v>375.7768247</v>
      </c>
      <c r="S103" s="84" t="s">
        <v>705</v>
      </c>
      <c r="T103" s="83">
        <f t="shared" si="23"/>
        <v>1.00556395</v>
      </c>
      <c r="U103" s="83">
        <f t="shared" si="24"/>
        <v>0.5164176634</v>
      </c>
    </row>
    <row r="104" ht="26.25" customHeight="1">
      <c r="A104" s="105"/>
      <c r="B104" s="73" t="s">
        <v>1416</v>
      </c>
      <c r="C104" s="85" t="s">
        <v>1445</v>
      </c>
      <c r="D104" s="75">
        <v>25146.0</v>
      </c>
      <c r="E104" s="75"/>
      <c r="F104" s="75" t="s">
        <v>1411</v>
      </c>
      <c r="G104" s="77" t="s">
        <v>658</v>
      </c>
      <c r="H104" s="77">
        <f>25146+23376</f>
        <v>48522</v>
      </c>
      <c r="I104" s="77">
        <v>2.0</v>
      </c>
      <c r="J104" s="78">
        <f t="shared" si="19"/>
        <v>10.49511719</v>
      </c>
      <c r="K104" s="79">
        <f t="shared" si="2"/>
        <v>2311.646413</v>
      </c>
      <c r="L104" s="80" t="s">
        <v>658</v>
      </c>
      <c r="M104" s="81">
        <v>2.0</v>
      </c>
      <c r="N104" s="82">
        <v>90.023753</v>
      </c>
      <c r="O104" s="82">
        <v>74.465558</v>
      </c>
      <c r="P104" s="82">
        <f t="shared" si="20"/>
        <v>15.558195</v>
      </c>
      <c r="Q104" s="78">
        <f t="shared" si="21"/>
        <v>10.49511719</v>
      </c>
      <c r="R104" s="83">
        <f t="shared" si="22"/>
        <v>1852.620118</v>
      </c>
      <c r="S104" s="84" t="s">
        <v>705</v>
      </c>
      <c r="T104" s="83">
        <f t="shared" si="23"/>
        <v>0.8014288466</v>
      </c>
      <c r="U104" s="83">
        <f t="shared" si="24"/>
        <v>-32.57370115</v>
      </c>
    </row>
    <row r="105" ht="26.25" customHeight="1">
      <c r="A105" s="105"/>
      <c r="B105" s="73" t="s">
        <v>1416</v>
      </c>
      <c r="C105" s="85" t="s">
        <v>1445</v>
      </c>
      <c r="D105" s="75">
        <v>4536.0</v>
      </c>
      <c r="E105" s="75"/>
      <c r="F105" s="75" t="s">
        <v>712</v>
      </c>
      <c r="G105" s="77" t="s">
        <v>658</v>
      </c>
      <c r="H105" s="77">
        <f>4536+4531</f>
        <v>9067</v>
      </c>
      <c r="I105" s="77">
        <v>2.0</v>
      </c>
      <c r="J105" s="78">
        <f t="shared" si="19"/>
        <v>10.49511719</v>
      </c>
      <c r="K105" s="79">
        <f t="shared" si="2"/>
        <v>431.9627803</v>
      </c>
      <c r="L105" s="80" t="s">
        <v>658</v>
      </c>
      <c r="M105" s="81">
        <v>2.0</v>
      </c>
      <c r="N105" s="82">
        <v>90.023753</v>
      </c>
      <c r="O105" s="82">
        <v>87.054632</v>
      </c>
      <c r="P105" s="82">
        <f t="shared" si="20"/>
        <v>2.969121</v>
      </c>
      <c r="Q105" s="78">
        <f t="shared" si="21"/>
        <v>10.49511719</v>
      </c>
      <c r="R105" s="83">
        <f t="shared" si="22"/>
        <v>353.5534359</v>
      </c>
      <c r="S105" s="84" t="s">
        <v>705</v>
      </c>
      <c r="T105" s="83">
        <f t="shared" si="23"/>
        <v>0.8184812489</v>
      </c>
      <c r="U105" s="83">
        <f t="shared" si="24"/>
        <v>-5.564131255</v>
      </c>
    </row>
    <row r="106" ht="26.25" customHeight="1">
      <c r="A106" s="107"/>
      <c r="B106" s="73" t="s">
        <v>1416</v>
      </c>
      <c r="C106" s="73" t="s">
        <v>1446</v>
      </c>
      <c r="D106" s="76">
        <v>407.0</v>
      </c>
      <c r="E106" s="75"/>
      <c r="F106" s="76" t="s">
        <v>1177</v>
      </c>
      <c r="G106" s="77" t="s">
        <v>658</v>
      </c>
      <c r="H106" s="77">
        <v>407.0</v>
      </c>
      <c r="I106" s="77">
        <v>1.0</v>
      </c>
      <c r="J106" s="78">
        <f t="shared" si="19"/>
        <v>10.49511719</v>
      </c>
      <c r="K106" s="79">
        <f t="shared" si="2"/>
        <v>38.77993859</v>
      </c>
      <c r="L106" s="80" t="s">
        <v>303</v>
      </c>
      <c r="M106" s="81" t="s">
        <v>303</v>
      </c>
      <c r="N106" s="82" t="s">
        <v>303</v>
      </c>
      <c r="O106" s="82" t="s">
        <v>303</v>
      </c>
      <c r="P106" s="82" t="s">
        <v>303</v>
      </c>
      <c r="Q106" s="78" t="s">
        <v>303</v>
      </c>
      <c r="R106" s="79" t="s">
        <v>303</v>
      </c>
      <c r="S106" s="84" t="s">
        <v>303</v>
      </c>
      <c r="T106" s="79" t="s">
        <v>303</v>
      </c>
      <c r="U106" s="79" t="s">
        <v>303</v>
      </c>
    </row>
    <row r="107" ht="26.25" customHeight="1">
      <c r="A107" s="105"/>
      <c r="B107" s="73" t="s">
        <v>31</v>
      </c>
      <c r="C107" s="73" t="s">
        <v>1447</v>
      </c>
      <c r="D107" s="75">
        <v>2340.0</v>
      </c>
      <c r="E107" s="75" t="s">
        <v>1448</v>
      </c>
      <c r="F107" s="75" t="s">
        <v>1449</v>
      </c>
      <c r="G107" s="91" t="s">
        <v>834</v>
      </c>
      <c r="H107" s="77">
        <v>14848.0</v>
      </c>
      <c r="I107" s="77">
        <v>1.0</v>
      </c>
      <c r="J107" s="78">
        <f t="shared" si="19"/>
        <v>1</v>
      </c>
      <c r="K107" s="79">
        <f t="shared" si="2"/>
        <v>14848</v>
      </c>
      <c r="L107" s="80" t="s">
        <v>834</v>
      </c>
      <c r="M107" s="81">
        <v>1.0</v>
      </c>
      <c r="N107" s="82">
        <v>100.0</v>
      </c>
      <c r="O107" s="82">
        <v>91.211401</v>
      </c>
      <c r="P107" s="82">
        <f t="shared" ref="P107:P208" si="25">N107-O107</f>
        <v>8.788599</v>
      </c>
      <c r="Q107" s="78">
        <f t="shared" ref="Q107:Q109" si="26">IFS(L107="S",21494/2048,L107="R",1)</f>
        <v>1</v>
      </c>
      <c r="R107" s="83">
        <f t="shared" ref="R107:R109" si="27">IFS(L107="S",P107/M107/100*249945/Q107,L107="R",P107/M107/100*170255/Q107)</f>
        <v>14963.02923</v>
      </c>
      <c r="S107" s="84" t="s">
        <v>705</v>
      </c>
      <c r="T107" s="83">
        <f t="shared" ref="T107:T208" si="28">R107/K107</f>
        <v>1.007747119</v>
      </c>
      <c r="U107" s="83">
        <f t="shared" ref="U107:U109" si="29">IFS(L107="S",(R107-K107)*M107*J107/(249945/845),L107="R",(R107-K107)*M107*J107/(170255/845))</f>
        <v>0.5709065648</v>
      </c>
    </row>
    <row r="108" ht="26.25" customHeight="1">
      <c r="A108" s="105"/>
      <c r="B108" s="73" t="s">
        <v>31</v>
      </c>
      <c r="C108" s="73" t="s">
        <v>1447</v>
      </c>
      <c r="D108" s="75">
        <v>1377.0</v>
      </c>
      <c r="E108" s="75" t="s">
        <v>1450</v>
      </c>
      <c r="F108" s="76" t="s">
        <v>1451</v>
      </c>
      <c r="G108" s="77" t="s">
        <v>834</v>
      </c>
      <c r="H108" s="77">
        <v>8740.0</v>
      </c>
      <c r="I108" s="77">
        <v>1.0</v>
      </c>
      <c r="J108" s="78">
        <f t="shared" si="19"/>
        <v>1</v>
      </c>
      <c r="K108" s="79">
        <f t="shared" si="2"/>
        <v>8740</v>
      </c>
      <c r="L108" s="80" t="s">
        <v>834</v>
      </c>
      <c r="M108" s="81">
        <v>1.0</v>
      </c>
      <c r="N108" s="82">
        <v>100.0</v>
      </c>
      <c r="O108" s="82">
        <v>94.893112</v>
      </c>
      <c r="P108" s="82">
        <f t="shared" si="25"/>
        <v>5.106888</v>
      </c>
      <c r="Q108" s="78">
        <f t="shared" si="26"/>
        <v>1</v>
      </c>
      <c r="R108" s="83">
        <f t="shared" si="27"/>
        <v>8694.732164</v>
      </c>
      <c r="S108" s="84" t="s">
        <v>705</v>
      </c>
      <c r="T108" s="83">
        <f t="shared" si="28"/>
        <v>0.9948206138</v>
      </c>
      <c r="U108" s="83">
        <f t="shared" si="29"/>
        <v>-0.2246707649</v>
      </c>
    </row>
    <row r="109" ht="26.25" customHeight="1">
      <c r="A109" s="105"/>
      <c r="B109" s="73" t="s">
        <v>31</v>
      </c>
      <c r="C109" s="73" t="s">
        <v>1447</v>
      </c>
      <c r="D109" s="75">
        <v>2820.0</v>
      </c>
      <c r="E109" s="75" t="s">
        <v>1452</v>
      </c>
      <c r="F109" s="76" t="s">
        <v>1453</v>
      </c>
      <c r="G109" s="91" t="s">
        <v>834</v>
      </c>
      <c r="H109" s="77">
        <v>25496.0</v>
      </c>
      <c r="I109" s="77">
        <v>1.0</v>
      </c>
      <c r="J109" s="78">
        <f t="shared" si="19"/>
        <v>1</v>
      </c>
      <c r="K109" s="79">
        <f t="shared" si="2"/>
        <v>25496</v>
      </c>
      <c r="L109" s="80" t="s">
        <v>834</v>
      </c>
      <c r="M109" s="81">
        <v>1.0</v>
      </c>
      <c r="N109" s="82">
        <v>100.0</v>
      </c>
      <c r="O109" s="82">
        <v>85.035629</v>
      </c>
      <c r="P109" s="82">
        <f t="shared" si="25"/>
        <v>14.964371</v>
      </c>
      <c r="Q109" s="78">
        <f t="shared" si="26"/>
        <v>1</v>
      </c>
      <c r="R109" s="83">
        <f t="shared" si="27"/>
        <v>25477.58985</v>
      </c>
      <c r="S109" s="84" t="s">
        <v>705</v>
      </c>
      <c r="T109" s="83">
        <f t="shared" si="28"/>
        <v>0.9992779199</v>
      </c>
      <c r="U109" s="83">
        <f t="shared" si="29"/>
        <v>-0.09137223628</v>
      </c>
    </row>
    <row r="110" ht="26.25" customHeight="1">
      <c r="A110" s="105"/>
      <c r="B110" s="73" t="s">
        <v>31</v>
      </c>
      <c r="C110" s="73" t="s">
        <v>1454</v>
      </c>
      <c r="D110" s="75">
        <v>1152.0</v>
      </c>
      <c r="E110" s="75" t="s">
        <v>1455</v>
      </c>
      <c r="F110" s="76" t="s">
        <v>1456</v>
      </c>
      <c r="G110" s="77" t="s">
        <v>689</v>
      </c>
      <c r="H110" s="77">
        <v>78467.0</v>
      </c>
      <c r="I110" s="77">
        <v>3.0</v>
      </c>
      <c r="J110" s="78">
        <f t="shared" ref="J110:J112" si="30">2*1.15</f>
        <v>2.3</v>
      </c>
      <c r="K110" s="79">
        <f t="shared" si="2"/>
        <v>11372.02899</v>
      </c>
      <c r="L110" s="80" t="s">
        <v>689</v>
      </c>
      <c r="M110" s="81">
        <v>3.0</v>
      </c>
      <c r="N110" s="82">
        <v>88.284024</v>
      </c>
      <c r="O110" s="82">
        <v>83.076923</v>
      </c>
      <c r="P110" s="82">
        <f t="shared" si="25"/>
        <v>5.207101</v>
      </c>
      <c r="Q110" s="78">
        <f t="shared" ref="Q110:Q112" si="31">2*1.15</f>
        <v>2.3</v>
      </c>
      <c r="R110" s="83">
        <f t="shared" ref="R110:R112" si="32">P110/M110/100*1500000/Q110</f>
        <v>11319.78478</v>
      </c>
      <c r="S110" s="84" t="s">
        <v>757</v>
      </c>
      <c r="T110" s="83">
        <f t="shared" si="28"/>
        <v>0.9954059031</v>
      </c>
      <c r="U110" s="83">
        <f t="shared" ref="U110:U112" si="33">(R110-K110)*M110*J110/(1500000/845)</f>
        <v>-0.2030732167</v>
      </c>
    </row>
    <row r="111" ht="26.25" customHeight="1">
      <c r="A111" s="105"/>
      <c r="B111" s="73" t="s">
        <v>31</v>
      </c>
      <c r="C111" s="73" t="s">
        <v>1454</v>
      </c>
      <c r="D111" s="75">
        <v>1958.0</v>
      </c>
      <c r="E111" s="75" t="s">
        <v>1457</v>
      </c>
      <c r="F111" s="76" t="s">
        <v>1458</v>
      </c>
      <c r="G111" s="77" t="s">
        <v>689</v>
      </c>
      <c r="H111" s="77">
        <v>85832.0</v>
      </c>
      <c r="I111" s="77">
        <v>2.0</v>
      </c>
      <c r="J111" s="78">
        <f t="shared" si="30"/>
        <v>2.3</v>
      </c>
      <c r="K111" s="79">
        <f t="shared" si="2"/>
        <v>18659.13043</v>
      </c>
      <c r="L111" s="80" t="s">
        <v>689</v>
      </c>
      <c r="M111" s="81">
        <v>2.0</v>
      </c>
      <c r="N111" s="82">
        <v>83.076923</v>
      </c>
      <c r="O111" s="82">
        <v>77.278107</v>
      </c>
      <c r="P111" s="82">
        <f t="shared" si="25"/>
        <v>5.798816</v>
      </c>
      <c r="Q111" s="78">
        <f t="shared" si="31"/>
        <v>2.3</v>
      </c>
      <c r="R111" s="83">
        <f t="shared" si="32"/>
        <v>18909.18261</v>
      </c>
      <c r="S111" s="84" t="s">
        <v>757</v>
      </c>
      <c r="T111" s="83">
        <f t="shared" si="28"/>
        <v>1.013401063</v>
      </c>
      <c r="U111" s="83">
        <f t="shared" si="33"/>
        <v>0.6479685333</v>
      </c>
    </row>
    <row r="112" ht="26.25" customHeight="1">
      <c r="A112" s="105"/>
      <c r="B112" s="73" t="s">
        <v>31</v>
      </c>
      <c r="C112" s="73" t="s">
        <v>1454</v>
      </c>
      <c r="D112" s="75">
        <v>1170.0</v>
      </c>
      <c r="E112" s="75" t="s">
        <v>1459</v>
      </c>
      <c r="F112" s="76"/>
      <c r="G112" s="77" t="s">
        <v>689</v>
      </c>
      <c r="H112" s="77">
        <v>58674.0</v>
      </c>
      <c r="I112" s="77">
        <v>3.0</v>
      </c>
      <c r="J112" s="78">
        <f t="shared" si="30"/>
        <v>2.3</v>
      </c>
      <c r="K112" s="79">
        <f t="shared" si="2"/>
        <v>8503.478261</v>
      </c>
      <c r="L112" s="80" t="s">
        <v>689</v>
      </c>
      <c r="M112" s="81">
        <v>3.0</v>
      </c>
      <c r="N112" s="82">
        <v>100.0</v>
      </c>
      <c r="O112" s="82">
        <v>96.094675</v>
      </c>
      <c r="P112" s="82">
        <f t="shared" si="25"/>
        <v>3.905325</v>
      </c>
      <c r="Q112" s="78">
        <f t="shared" si="31"/>
        <v>2.3</v>
      </c>
      <c r="R112" s="83">
        <f t="shared" si="32"/>
        <v>8489.836957</v>
      </c>
      <c r="S112" s="84" t="s">
        <v>757</v>
      </c>
      <c r="T112" s="83">
        <f t="shared" si="28"/>
        <v>0.9983957971</v>
      </c>
      <c r="U112" s="83">
        <f t="shared" si="33"/>
        <v>-0.05302375</v>
      </c>
    </row>
    <row r="113" ht="26.25" customHeight="1">
      <c r="A113" s="105"/>
      <c r="B113" s="73" t="s">
        <v>31</v>
      </c>
      <c r="C113" s="73" t="s">
        <v>1460</v>
      </c>
      <c r="D113" s="75">
        <v>1276.0</v>
      </c>
      <c r="E113" s="75" t="s">
        <v>1461</v>
      </c>
      <c r="F113" s="76" t="s">
        <v>1462</v>
      </c>
      <c r="G113" s="91" t="s">
        <v>834</v>
      </c>
      <c r="H113" s="77">
        <v>21738.0</v>
      </c>
      <c r="I113" s="77">
        <v>1.0</v>
      </c>
      <c r="J113" s="78">
        <f t="shared" ref="J113:J120" si="34">IFS(G113="S",21494/2048,G113="C",(21494/2048)/(87875/9999)*2*1.3,OR(G113="R",G113="T"),1)</f>
        <v>1</v>
      </c>
      <c r="K113" s="79">
        <f t="shared" si="2"/>
        <v>21738</v>
      </c>
      <c r="L113" s="80" t="s">
        <v>834</v>
      </c>
      <c r="M113" s="81">
        <v>1.0</v>
      </c>
      <c r="N113" s="82">
        <v>100.0</v>
      </c>
      <c r="O113" s="82">
        <v>87.173397</v>
      </c>
      <c r="P113" s="82">
        <f t="shared" si="25"/>
        <v>12.826603</v>
      </c>
      <c r="Q113" s="78">
        <f t="shared" ref="Q113:Q120" si="35">IFS(L113="S",21494/2048,L113="R",1)</f>
        <v>1</v>
      </c>
      <c r="R113" s="83">
        <f t="shared" ref="R113:R128" si="36">IFS(L113="S",P113/M113/100*249945/Q113,L113="R",P113/M113/100*170255/Q113)</f>
        <v>21837.93294</v>
      </c>
      <c r="S113" s="84" t="s">
        <v>891</v>
      </c>
      <c r="T113" s="83">
        <f t="shared" si="28"/>
        <v>1.004597154</v>
      </c>
      <c r="U113" s="83">
        <f t="shared" ref="U113:U128" si="37">IFS(L113="S",(R113-K113)*M113*J113/(249945/845),L113="R",(R113-K113)*M113*J113/(170255/845))</f>
        <v>0.4959815119</v>
      </c>
    </row>
    <row r="114" ht="26.25" customHeight="1">
      <c r="A114" s="105"/>
      <c r="B114" s="73" t="s">
        <v>31</v>
      </c>
      <c r="C114" s="73" t="s">
        <v>1460</v>
      </c>
      <c r="D114" s="75">
        <v>1205.0</v>
      </c>
      <c r="E114" s="75" t="s">
        <v>1463</v>
      </c>
      <c r="F114" s="76" t="s">
        <v>1464</v>
      </c>
      <c r="G114" s="77" t="s">
        <v>834</v>
      </c>
      <c r="H114" s="77">
        <v>21662.0</v>
      </c>
      <c r="I114" s="77">
        <v>1.0</v>
      </c>
      <c r="J114" s="78">
        <f t="shared" si="34"/>
        <v>1</v>
      </c>
      <c r="K114" s="79">
        <f t="shared" si="2"/>
        <v>21662</v>
      </c>
      <c r="L114" s="80" t="s">
        <v>834</v>
      </c>
      <c r="M114" s="81">
        <v>1.0</v>
      </c>
      <c r="N114" s="82">
        <v>100.0</v>
      </c>
      <c r="O114" s="82">
        <v>87.173397</v>
      </c>
      <c r="P114" s="82">
        <f t="shared" si="25"/>
        <v>12.826603</v>
      </c>
      <c r="Q114" s="78">
        <f t="shared" si="35"/>
        <v>1</v>
      </c>
      <c r="R114" s="83">
        <f t="shared" si="36"/>
        <v>21837.93294</v>
      </c>
      <c r="S114" s="84" t="s">
        <v>891</v>
      </c>
      <c r="T114" s="83">
        <f t="shared" si="28"/>
        <v>1.008121731</v>
      </c>
      <c r="U114" s="83">
        <f t="shared" si="37"/>
        <v>0.8731804195</v>
      </c>
    </row>
    <row r="115" ht="26.25" customHeight="1">
      <c r="A115" s="105"/>
      <c r="B115" s="85" t="s">
        <v>31</v>
      </c>
      <c r="C115" s="85" t="s">
        <v>1460</v>
      </c>
      <c r="D115" s="75">
        <v>1276.0</v>
      </c>
      <c r="E115" s="75" t="s">
        <v>1461</v>
      </c>
      <c r="F115" s="75" t="s">
        <v>1465</v>
      </c>
      <c r="G115" s="91" t="s">
        <v>834</v>
      </c>
      <c r="H115" s="77">
        <v>19856.0</v>
      </c>
      <c r="I115" s="77">
        <v>1.0</v>
      </c>
      <c r="J115" s="78">
        <f t="shared" si="34"/>
        <v>1</v>
      </c>
      <c r="K115" s="79">
        <f t="shared" si="2"/>
        <v>19856</v>
      </c>
      <c r="L115" s="80" t="s">
        <v>834</v>
      </c>
      <c r="M115" s="81">
        <v>1.0</v>
      </c>
      <c r="N115" s="82">
        <v>100.0</v>
      </c>
      <c r="O115" s="82">
        <v>88.361045</v>
      </c>
      <c r="P115" s="82">
        <f t="shared" si="25"/>
        <v>11.638955</v>
      </c>
      <c r="Q115" s="78">
        <f t="shared" si="35"/>
        <v>1</v>
      </c>
      <c r="R115" s="83">
        <f t="shared" si="36"/>
        <v>19815.90284</v>
      </c>
      <c r="S115" s="84" t="s">
        <v>891</v>
      </c>
      <c r="T115" s="83">
        <f t="shared" si="28"/>
        <v>0.9979806021</v>
      </c>
      <c r="U115" s="83">
        <f t="shared" si="37"/>
        <v>-0.1990079834</v>
      </c>
    </row>
    <row r="116" ht="26.25" customHeight="1">
      <c r="A116" s="105"/>
      <c r="B116" s="73" t="s">
        <v>31</v>
      </c>
      <c r="C116" s="73" t="s">
        <v>1466</v>
      </c>
      <c r="D116" s="75">
        <v>311.0</v>
      </c>
      <c r="E116" s="75" t="s">
        <v>1467</v>
      </c>
      <c r="F116" s="75" t="s">
        <v>1468</v>
      </c>
      <c r="G116" s="77" t="s">
        <v>834</v>
      </c>
      <c r="H116" s="77">
        <v>9878.0</v>
      </c>
      <c r="I116" s="77">
        <v>1.0</v>
      </c>
      <c r="J116" s="78">
        <f t="shared" si="34"/>
        <v>1</v>
      </c>
      <c r="K116" s="79">
        <f t="shared" si="2"/>
        <v>9878</v>
      </c>
      <c r="L116" s="80" t="s">
        <v>834</v>
      </c>
      <c r="M116" s="81">
        <v>1.0</v>
      </c>
      <c r="N116" s="82">
        <v>100.0</v>
      </c>
      <c r="O116" s="82">
        <v>94.180523</v>
      </c>
      <c r="P116" s="82">
        <f t="shared" si="25"/>
        <v>5.819477</v>
      </c>
      <c r="Q116" s="78">
        <f t="shared" si="35"/>
        <v>1</v>
      </c>
      <c r="R116" s="83">
        <f t="shared" si="36"/>
        <v>9907.950566</v>
      </c>
      <c r="S116" s="84" t="s">
        <v>891</v>
      </c>
      <c r="T116" s="83">
        <f t="shared" si="28"/>
        <v>1.003032048</v>
      </c>
      <c r="U116" s="83">
        <f t="shared" si="37"/>
        <v>0.1486489593</v>
      </c>
    </row>
    <row r="117" ht="26.25" customHeight="1">
      <c r="A117" s="105"/>
      <c r="B117" s="73" t="s">
        <v>31</v>
      </c>
      <c r="C117" s="73" t="s">
        <v>1466</v>
      </c>
      <c r="D117" s="75">
        <v>806.0</v>
      </c>
      <c r="E117" s="75" t="s">
        <v>1469</v>
      </c>
      <c r="F117" s="75" t="s">
        <v>1470</v>
      </c>
      <c r="G117" s="77" t="s">
        <v>834</v>
      </c>
      <c r="H117" s="77">
        <v>29804.0</v>
      </c>
      <c r="I117" s="77">
        <v>1.0</v>
      </c>
      <c r="J117" s="78">
        <f t="shared" si="34"/>
        <v>1</v>
      </c>
      <c r="K117" s="79">
        <f t="shared" si="2"/>
        <v>29804</v>
      </c>
      <c r="L117" s="80" t="s">
        <v>834</v>
      </c>
      <c r="M117" s="81">
        <v>1.0</v>
      </c>
      <c r="N117" s="82">
        <v>100.0</v>
      </c>
      <c r="O117" s="82">
        <v>82.541568</v>
      </c>
      <c r="P117" s="82">
        <f t="shared" si="25"/>
        <v>17.458432</v>
      </c>
      <c r="Q117" s="78">
        <f t="shared" si="35"/>
        <v>1</v>
      </c>
      <c r="R117" s="83">
        <f t="shared" si="36"/>
        <v>29723.8534</v>
      </c>
      <c r="S117" s="84" t="s">
        <v>891</v>
      </c>
      <c r="T117" s="83">
        <f t="shared" si="28"/>
        <v>0.9973108778</v>
      </c>
      <c r="U117" s="83">
        <f t="shared" si="37"/>
        <v>-0.3977790705</v>
      </c>
    </row>
    <row r="118" ht="26.25" customHeight="1">
      <c r="A118" s="105"/>
      <c r="B118" s="73" t="s">
        <v>31</v>
      </c>
      <c r="C118" s="73" t="s">
        <v>1466</v>
      </c>
      <c r="D118" s="75">
        <v>100.0</v>
      </c>
      <c r="E118" s="75" t="s">
        <v>1471</v>
      </c>
      <c r="F118" s="75" t="s">
        <v>1472</v>
      </c>
      <c r="G118" s="77" t="s">
        <v>834</v>
      </c>
      <c r="H118" s="77">
        <v>9712.0</v>
      </c>
      <c r="I118" s="77">
        <v>1.0</v>
      </c>
      <c r="J118" s="78">
        <f t="shared" si="34"/>
        <v>1</v>
      </c>
      <c r="K118" s="79">
        <f t="shared" si="2"/>
        <v>9712</v>
      </c>
      <c r="L118" s="80" t="s">
        <v>834</v>
      </c>
      <c r="M118" s="81">
        <v>1.0</v>
      </c>
      <c r="N118" s="82">
        <v>100.0</v>
      </c>
      <c r="O118" s="82">
        <v>94.418052</v>
      </c>
      <c r="P118" s="82">
        <f t="shared" si="25"/>
        <v>5.581948</v>
      </c>
      <c r="Q118" s="78">
        <f t="shared" si="35"/>
        <v>1</v>
      </c>
      <c r="R118" s="83">
        <f t="shared" si="36"/>
        <v>9503.545567</v>
      </c>
      <c r="S118" s="84" t="s">
        <v>891</v>
      </c>
      <c r="T118" s="83">
        <f t="shared" si="28"/>
        <v>0.9785364052</v>
      </c>
      <c r="U118" s="83">
        <f t="shared" si="37"/>
        <v>-1.034589266</v>
      </c>
    </row>
    <row r="119" ht="26.25" customHeight="1">
      <c r="A119" s="105"/>
      <c r="B119" s="73" t="s">
        <v>31</v>
      </c>
      <c r="C119" s="73" t="s">
        <v>1466</v>
      </c>
      <c r="D119" s="75">
        <v>258.0</v>
      </c>
      <c r="E119" s="75" t="s">
        <v>1469</v>
      </c>
      <c r="F119" s="75" t="s">
        <v>1473</v>
      </c>
      <c r="G119" s="77" t="s">
        <v>834</v>
      </c>
      <c r="H119" s="77">
        <v>27807.0</v>
      </c>
      <c r="I119" s="77">
        <v>1.0</v>
      </c>
      <c r="J119" s="78">
        <f t="shared" si="34"/>
        <v>1</v>
      </c>
      <c r="K119" s="79">
        <f t="shared" si="2"/>
        <v>27807</v>
      </c>
      <c r="L119" s="80" t="s">
        <v>834</v>
      </c>
      <c r="M119" s="81">
        <v>1.0</v>
      </c>
      <c r="N119" s="82">
        <v>100.0</v>
      </c>
      <c r="O119" s="82">
        <v>83.729216</v>
      </c>
      <c r="P119" s="82">
        <f t="shared" si="25"/>
        <v>16.270784</v>
      </c>
      <c r="Q119" s="78">
        <f t="shared" si="35"/>
        <v>1</v>
      </c>
      <c r="R119" s="83">
        <f t="shared" si="36"/>
        <v>27701.8233</v>
      </c>
      <c r="S119" s="84" t="s">
        <v>891</v>
      </c>
      <c r="T119" s="83">
        <f t="shared" si="28"/>
        <v>0.9962176178</v>
      </c>
      <c r="U119" s="83">
        <f t="shared" si="37"/>
        <v>-0.522007061</v>
      </c>
    </row>
    <row r="120" ht="26.25" customHeight="1">
      <c r="A120" s="105"/>
      <c r="B120" s="73" t="s">
        <v>31</v>
      </c>
      <c r="C120" s="73" t="s">
        <v>1466</v>
      </c>
      <c r="D120" s="75">
        <v>3543.0</v>
      </c>
      <c r="E120" s="75" t="s">
        <v>1474</v>
      </c>
      <c r="F120" s="75" t="s">
        <v>1475</v>
      </c>
      <c r="G120" s="77" t="s">
        <v>834</v>
      </c>
      <c r="H120" s="77">
        <v>11691.0</v>
      </c>
      <c r="I120" s="77">
        <v>1.0</v>
      </c>
      <c r="J120" s="78">
        <f t="shared" si="34"/>
        <v>1</v>
      </c>
      <c r="K120" s="79">
        <f t="shared" si="2"/>
        <v>11691</v>
      </c>
      <c r="L120" s="80" t="s">
        <v>834</v>
      </c>
      <c r="M120" s="81">
        <v>1.0</v>
      </c>
      <c r="N120" s="82">
        <v>100.0</v>
      </c>
      <c r="O120" s="82">
        <v>93.111639</v>
      </c>
      <c r="P120" s="82">
        <f t="shared" si="25"/>
        <v>6.888361</v>
      </c>
      <c r="Q120" s="78">
        <f t="shared" si="35"/>
        <v>1</v>
      </c>
      <c r="R120" s="83">
        <f t="shared" si="36"/>
        <v>11727.77902</v>
      </c>
      <c r="S120" s="84" t="s">
        <v>891</v>
      </c>
      <c r="T120" s="83">
        <f t="shared" si="28"/>
        <v>1.003145926</v>
      </c>
      <c r="U120" s="83">
        <f t="shared" si="37"/>
        <v>0.1825395575</v>
      </c>
    </row>
    <row r="121" ht="26.25" customHeight="1">
      <c r="A121" s="105"/>
      <c r="B121" s="73" t="s">
        <v>31</v>
      </c>
      <c r="C121" s="73" t="s">
        <v>1476</v>
      </c>
      <c r="D121" s="75">
        <v>1009.0</v>
      </c>
      <c r="E121" s="75" t="s">
        <v>1477</v>
      </c>
      <c r="F121" s="75" t="s">
        <v>1478</v>
      </c>
      <c r="G121" s="77" t="s">
        <v>834</v>
      </c>
      <c r="H121" s="77">
        <v>18910.0</v>
      </c>
      <c r="I121" s="77">
        <v>1.0</v>
      </c>
      <c r="J121" s="78">
        <v>1.0</v>
      </c>
      <c r="K121" s="79">
        <f t="shared" si="2"/>
        <v>18910</v>
      </c>
      <c r="L121" s="80" t="s">
        <v>834</v>
      </c>
      <c r="M121" s="81">
        <v>1.0</v>
      </c>
      <c r="N121" s="82">
        <v>100.0</v>
      </c>
      <c r="O121" s="82">
        <v>88.836105</v>
      </c>
      <c r="P121" s="82">
        <f t="shared" si="25"/>
        <v>11.163895</v>
      </c>
      <c r="Q121" s="78">
        <v>1.0</v>
      </c>
      <c r="R121" s="83">
        <f t="shared" si="36"/>
        <v>19007.08943</v>
      </c>
      <c r="S121" s="84" t="s">
        <v>1294</v>
      </c>
      <c r="T121" s="83">
        <f t="shared" si="28"/>
        <v>1.00513429</v>
      </c>
      <c r="U121" s="83">
        <f t="shared" si="37"/>
        <v>0.4818687865</v>
      </c>
    </row>
    <row r="122" ht="26.25" customHeight="1">
      <c r="A122" s="105"/>
      <c r="B122" s="73" t="s">
        <v>31</v>
      </c>
      <c r="C122" s="73" t="s">
        <v>1476</v>
      </c>
      <c r="D122" s="75">
        <v>1009.0</v>
      </c>
      <c r="E122" s="75" t="s">
        <v>1477</v>
      </c>
      <c r="F122" s="76" t="s">
        <v>1479</v>
      </c>
      <c r="G122" s="77" t="s">
        <v>834</v>
      </c>
      <c r="H122" s="77">
        <v>26143.0</v>
      </c>
      <c r="I122" s="77">
        <v>1.0</v>
      </c>
      <c r="J122" s="78">
        <v>1.0</v>
      </c>
      <c r="K122" s="79">
        <f t="shared" si="2"/>
        <v>26143</v>
      </c>
      <c r="L122" s="80" t="s">
        <v>834</v>
      </c>
      <c r="M122" s="81">
        <v>1.0</v>
      </c>
      <c r="N122" s="82">
        <v>100.0</v>
      </c>
      <c r="O122" s="82">
        <v>84.441805</v>
      </c>
      <c r="P122" s="82">
        <f t="shared" si="25"/>
        <v>15.558195</v>
      </c>
      <c r="Q122" s="78">
        <v>1.0</v>
      </c>
      <c r="R122" s="83">
        <f t="shared" si="36"/>
        <v>26488.6049</v>
      </c>
      <c r="S122" s="84" t="s">
        <v>1294</v>
      </c>
      <c r="T122" s="83">
        <f t="shared" si="28"/>
        <v>1.013219787</v>
      </c>
      <c r="U122" s="83">
        <f t="shared" si="37"/>
        <v>1.715286706</v>
      </c>
    </row>
    <row r="123" ht="26.25" customHeight="1">
      <c r="A123" s="105"/>
      <c r="B123" s="73" t="s">
        <v>31</v>
      </c>
      <c r="C123" s="73" t="s">
        <v>1480</v>
      </c>
      <c r="D123" s="75">
        <v>842.0</v>
      </c>
      <c r="E123" s="75" t="s">
        <v>1481</v>
      </c>
      <c r="F123" s="76" t="s">
        <v>1482</v>
      </c>
      <c r="G123" s="77" t="s">
        <v>834</v>
      </c>
      <c r="H123" s="77">
        <v>22874.0</v>
      </c>
      <c r="I123" s="77">
        <v>1.0</v>
      </c>
      <c r="J123" s="78">
        <f t="shared" ref="J123:J128" si="38">IFS(G123="S",21494/2048,G123="C",(21494/2048)/(87875/9999)*2*1.3,OR(G123="R",G123="T"),1)</f>
        <v>1</v>
      </c>
      <c r="K123" s="79">
        <f t="shared" si="2"/>
        <v>22874</v>
      </c>
      <c r="L123" s="80" t="s">
        <v>834</v>
      </c>
      <c r="M123" s="81">
        <v>1.0</v>
      </c>
      <c r="N123" s="82">
        <v>100.0</v>
      </c>
      <c r="O123" s="82">
        <v>86.579572</v>
      </c>
      <c r="P123" s="82">
        <f t="shared" si="25"/>
        <v>13.420428</v>
      </c>
      <c r="Q123" s="78">
        <f t="shared" ref="Q123:Q128" si="39">IFS(L123="S",21494/2048,L123="R",1)</f>
        <v>1</v>
      </c>
      <c r="R123" s="83">
        <f t="shared" si="36"/>
        <v>22848.94969</v>
      </c>
      <c r="S123" s="84" t="s">
        <v>757</v>
      </c>
      <c r="T123" s="83">
        <f t="shared" si="28"/>
        <v>0.9989048567</v>
      </c>
      <c r="U123" s="83">
        <f t="shared" si="37"/>
        <v>-0.1243282768</v>
      </c>
    </row>
    <row r="124" ht="26.25" customHeight="1">
      <c r="A124" s="105"/>
      <c r="B124" s="73" t="s">
        <v>31</v>
      </c>
      <c r="C124" s="73" t="s">
        <v>1480</v>
      </c>
      <c r="D124" s="75">
        <v>471.0</v>
      </c>
      <c r="E124" s="75" t="s">
        <v>1483</v>
      </c>
      <c r="F124" s="75" t="s">
        <v>1484</v>
      </c>
      <c r="G124" s="77" t="s">
        <v>834</v>
      </c>
      <c r="H124" s="77">
        <v>12526.0</v>
      </c>
      <c r="I124" s="77">
        <v>1.0</v>
      </c>
      <c r="J124" s="78">
        <f t="shared" si="38"/>
        <v>1</v>
      </c>
      <c r="K124" s="79">
        <f t="shared" si="2"/>
        <v>12526</v>
      </c>
      <c r="L124" s="80" t="s">
        <v>834</v>
      </c>
      <c r="M124" s="81">
        <v>1.0</v>
      </c>
      <c r="N124" s="82">
        <v>100.0</v>
      </c>
      <c r="O124" s="82">
        <v>92.63658</v>
      </c>
      <c r="P124" s="82">
        <f t="shared" si="25"/>
        <v>7.36342</v>
      </c>
      <c r="Q124" s="78">
        <f t="shared" si="39"/>
        <v>1</v>
      </c>
      <c r="R124" s="83">
        <f t="shared" si="36"/>
        <v>12536.59072</v>
      </c>
      <c r="S124" s="84" t="s">
        <v>757</v>
      </c>
      <c r="T124" s="83">
        <f t="shared" si="28"/>
        <v>1.000845499</v>
      </c>
      <c r="U124" s="83">
        <f t="shared" si="37"/>
        <v>0.0525632683</v>
      </c>
    </row>
    <row r="125" ht="26.25" customHeight="1">
      <c r="A125" s="105"/>
      <c r="B125" s="85" t="s">
        <v>31</v>
      </c>
      <c r="C125" s="73" t="s">
        <v>1485</v>
      </c>
      <c r="D125" s="75">
        <v>800.0</v>
      </c>
      <c r="E125" s="75" t="s">
        <v>1486</v>
      </c>
      <c r="F125" s="75" t="s">
        <v>1487</v>
      </c>
      <c r="G125" s="91" t="s">
        <v>834</v>
      </c>
      <c r="H125" s="77">
        <v>6100.0</v>
      </c>
      <c r="I125" s="77">
        <v>1.0</v>
      </c>
      <c r="J125" s="78">
        <f t="shared" si="38"/>
        <v>1</v>
      </c>
      <c r="K125" s="79">
        <f t="shared" si="2"/>
        <v>6100</v>
      </c>
      <c r="L125" s="80" t="s">
        <v>834</v>
      </c>
      <c r="M125" s="81">
        <v>1.0</v>
      </c>
      <c r="N125" s="82">
        <v>100.0</v>
      </c>
      <c r="O125" s="82">
        <v>96.555819</v>
      </c>
      <c r="P125" s="82">
        <f t="shared" si="25"/>
        <v>3.444181</v>
      </c>
      <c r="Q125" s="78">
        <f t="shared" si="39"/>
        <v>1</v>
      </c>
      <c r="R125" s="83">
        <f t="shared" si="36"/>
        <v>5863.890362</v>
      </c>
      <c r="S125" s="84" t="s">
        <v>1294</v>
      </c>
      <c r="T125" s="83">
        <f t="shared" si="28"/>
        <v>0.9612935019</v>
      </c>
      <c r="U125" s="83">
        <f t="shared" si="37"/>
        <v>-1.171846022</v>
      </c>
    </row>
    <row r="126" ht="26.25" customHeight="1">
      <c r="A126" s="105"/>
      <c r="B126" s="85" t="s">
        <v>31</v>
      </c>
      <c r="C126" s="73" t="s">
        <v>1485</v>
      </c>
      <c r="D126" s="75">
        <v>1199.0</v>
      </c>
      <c r="E126" s="75" t="s">
        <v>1488</v>
      </c>
      <c r="F126" s="75" t="s">
        <v>1489</v>
      </c>
      <c r="G126" s="91" t="s">
        <v>834</v>
      </c>
      <c r="H126" s="77">
        <v>14974.0</v>
      </c>
      <c r="I126" s="77">
        <v>1.0</v>
      </c>
      <c r="J126" s="78">
        <f t="shared" si="38"/>
        <v>1</v>
      </c>
      <c r="K126" s="79">
        <f t="shared" si="2"/>
        <v>14974</v>
      </c>
      <c r="L126" s="80" t="s">
        <v>834</v>
      </c>
      <c r="M126" s="81">
        <v>1.0</v>
      </c>
      <c r="N126" s="82">
        <v>100.0</v>
      </c>
      <c r="O126" s="82">
        <v>90.617577</v>
      </c>
      <c r="P126" s="82">
        <f t="shared" si="25"/>
        <v>9.382423</v>
      </c>
      <c r="Q126" s="78">
        <f t="shared" si="39"/>
        <v>1</v>
      </c>
      <c r="R126" s="83">
        <f t="shared" si="36"/>
        <v>15974.04428</v>
      </c>
      <c r="S126" s="84" t="s">
        <v>1294</v>
      </c>
      <c r="T126" s="83">
        <f t="shared" si="28"/>
        <v>1.06678538</v>
      </c>
      <c r="U126" s="83">
        <f t="shared" si="37"/>
        <v>4.963363281</v>
      </c>
    </row>
    <row r="127" ht="26.25" customHeight="1">
      <c r="A127" s="105"/>
      <c r="B127" s="85" t="s">
        <v>31</v>
      </c>
      <c r="C127" s="73" t="s">
        <v>1485</v>
      </c>
      <c r="D127" s="75">
        <v>800.0</v>
      </c>
      <c r="E127" s="75" t="s">
        <v>1490</v>
      </c>
      <c r="F127" s="75" t="s">
        <v>1491</v>
      </c>
      <c r="G127" s="91" t="s">
        <v>834</v>
      </c>
      <c r="H127" s="77">
        <v>4787.0</v>
      </c>
      <c r="I127" s="77">
        <v>1.0</v>
      </c>
      <c r="J127" s="78">
        <f t="shared" si="38"/>
        <v>1</v>
      </c>
      <c r="K127" s="79">
        <f t="shared" si="2"/>
        <v>4787</v>
      </c>
      <c r="L127" s="80" t="s">
        <v>834</v>
      </c>
      <c r="M127" s="81">
        <v>1.0</v>
      </c>
      <c r="N127" s="82">
        <v>100.0</v>
      </c>
      <c r="O127" s="82">
        <v>97.268409</v>
      </c>
      <c r="P127" s="82">
        <f t="shared" si="25"/>
        <v>2.731591</v>
      </c>
      <c r="Q127" s="78">
        <f t="shared" si="39"/>
        <v>1</v>
      </c>
      <c r="R127" s="83">
        <f t="shared" si="36"/>
        <v>4650.670257</v>
      </c>
      <c r="S127" s="84" t="s">
        <v>1294</v>
      </c>
      <c r="T127" s="83">
        <f t="shared" si="28"/>
        <v>0.9715208392</v>
      </c>
      <c r="U127" s="83">
        <f t="shared" si="37"/>
        <v>-0.6766240803</v>
      </c>
    </row>
    <row r="128" ht="26.25" customHeight="1">
      <c r="A128" s="105"/>
      <c r="B128" s="85" t="s">
        <v>31</v>
      </c>
      <c r="C128" s="73" t="s">
        <v>1485</v>
      </c>
      <c r="D128" s="75">
        <v>1199.0</v>
      </c>
      <c r="E128" s="75" t="s">
        <v>1492</v>
      </c>
      <c r="F128" s="75" t="s">
        <v>1493</v>
      </c>
      <c r="G128" s="91" t="s">
        <v>834</v>
      </c>
      <c r="H128" s="77">
        <f>7709-525</f>
        <v>7184</v>
      </c>
      <c r="I128" s="77">
        <v>1.0</v>
      </c>
      <c r="J128" s="78">
        <f t="shared" si="38"/>
        <v>1</v>
      </c>
      <c r="K128" s="79">
        <f t="shared" si="2"/>
        <v>7184</v>
      </c>
      <c r="L128" s="80" t="s">
        <v>834</v>
      </c>
      <c r="M128" s="81">
        <v>1.0</v>
      </c>
      <c r="N128" s="82">
        <v>100.0</v>
      </c>
      <c r="O128" s="82">
        <v>95.724466</v>
      </c>
      <c r="P128" s="82">
        <f t="shared" si="25"/>
        <v>4.275534</v>
      </c>
      <c r="Q128" s="78">
        <f t="shared" si="39"/>
        <v>1</v>
      </c>
      <c r="R128" s="83">
        <f t="shared" si="36"/>
        <v>7279.310412</v>
      </c>
      <c r="S128" s="84" t="s">
        <v>1294</v>
      </c>
      <c r="T128" s="83">
        <f t="shared" si="28"/>
        <v>1.013267039</v>
      </c>
      <c r="U128" s="83">
        <f t="shared" si="37"/>
        <v>0.4730392522</v>
      </c>
    </row>
    <row r="129" ht="26.25" customHeight="1">
      <c r="A129" s="105"/>
      <c r="B129" s="85" t="s">
        <v>31</v>
      </c>
      <c r="C129" s="73" t="s">
        <v>1485</v>
      </c>
      <c r="D129" s="75">
        <v>3309.0</v>
      </c>
      <c r="E129" s="75" t="s">
        <v>1494</v>
      </c>
      <c r="F129" s="75" t="s">
        <v>1495</v>
      </c>
      <c r="G129" s="77" t="s">
        <v>689</v>
      </c>
      <c r="H129" s="77">
        <v>73394.0</v>
      </c>
      <c r="I129" s="77">
        <v>2.0</v>
      </c>
      <c r="J129" s="78">
        <f>2*1.15</f>
        <v>2.3</v>
      </c>
      <c r="K129" s="79">
        <f t="shared" si="2"/>
        <v>15955.21739</v>
      </c>
      <c r="L129" s="80" t="s">
        <v>689</v>
      </c>
      <c r="M129" s="81">
        <v>2.0</v>
      </c>
      <c r="N129" s="82">
        <v>95.739645</v>
      </c>
      <c r="O129" s="82">
        <v>90.769231</v>
      </c>
      <c r="P129" s="82">
        <f t="shared" si="25"/>
        <v>4.970414</v>
      </c>
      <c r="Q129" s="78">
        <f>2*1.15</f>
        <v>2.3</v>
      </c>
      <c r="R129" s="83">
        <f>P129/M129/100*1500000/Q129</f>
        <v>16207.87174</v>
      </c>
      <c r="S129" s="84" t="s">
        <v>757</v>
      </c>
      <c r="T129" s="83">
        <f t="shared" si="28"/>
        <v>1.015835218</v>
      </c>
      <c r="U129" s="83">
        <f>(R129-K129)*M129*J129/(1500000/845)</f>
        <v>0.6547116333</v>
      </c>
    </row>
    <row r="130" ht="26.25" customHeight="1">
      <c r="A130" s="105"/>
      <c r="B130" s="85" t="s">
        <v>31</v>
      </c>
      <c r="C130" s="73" t="s">
        <v>1485</v>
      </c>
      <c r="D130" s="75">
        <v>2158.0</v>
      </c>
      <c r="E130" s="75" t="s">
        <v>1496</v>
      </c>
      <c r="F130" s="75" t="s">
        <v>1497</v>
      </c>
      <c r="G130" s="77" t="s">
        <v>834</v>
      </c>
      <c r="H130" s="77">
        <v>19258.0</v>
      </c>
      <c r="I130" s="77">
        <v>1.0</v>
      </c>
      <c r="J130" s="78">
        <f>IFS(G130="S",21494/2048,G130="C",(21494/2048)/(87875/9999)*2*1.3,OR(G130="R",G130="T"),1)</f>
        <v>1</v>
      </c>
      <c r="K130" s="79">
        <f t="shared" si="2"/>
        <v>19258</v>
      </c>
      <c r="L130" s="80" t="s">
        <v>834</v>
      </c>
      <c r="M130" s="81">
        <v>1.0</v>
      </c>
      <c r="N130" s="82">
        <v>100.0</v>
      </c>
      <c r="O130" s="82">
        <v>88.71734</v>
      </c>
      <c r="P130" s="82">
        <f t="shared" si="25"/>
        <v>11.28266</v>
      </c>
      <c r="Q130" s="78">
        <f>IFS(L130="S",21494/2048,L130="R",1)</f>
        <v>1</v>
      </c>
      <c r="R130" s="83">
        <f>IFS(L130="S",P130/M130/100*249945/Q130,L130="R",P130/M130/100*170255/Q130)</f>
        <v>19209.29278</v>
      </c>
      <c r="S130" s="84" t="s">
        <v>757</v>
      </c>
      <c r="T130" s="83">
        <f t="shared" si="28"/>
        <v>0.9974708061</v>
      </c>
      <c r="U130" s="83">
        <f>IFS(L130="S",(R130-K130)*M130*J130/(249945/845),L130="R",(R130-K130)*M130*J130/(170255/845))</f>
        <v>-0.2417409084</v>
      </c>
    </row>
    <row r="131" ht="26.25" customHeight="1">
      <c r="A131" s="105"/>
      <c r="B131" s="73" t="s">
        <v>31</v>
      </c>
      <c r="C131" s="73" t="s">
        <v>1498</v>
      </c>
      <c r="D131" s="75">
        <v>1033.0</v>
      </c>
      <c r="E131" s="75" t="s">
        <v>1499</v>
      </c>
      <c r="F131" s="76" t="s">
        <v>1500</v>
      </c>
      <c r="G131" s="77" t="s">
        <v>1501</v>
      </c>
      <c r="H131" s="77">
        <f>8872*1.5</f>
        <v>13308</v>
      </c>
      <c r="I131" s="77">
        <v>1.0</v>
      </c>
      <c r="J131" s="78">
        <v>1.0</v>
      </c>
      <c r="K131" s="79">
        <f t="shared" si="2"/>
        <v>13308</v>
      </c>
      <c r="L131" s="80" t="s">
        <v>1501</v>
      </c>
      <c r="M131" s="81">
        <v>1.0</v>
      </c>
      <c r="N131" s="82">
        <v>100.0</v>
      </c>
      <c r="O131" s="82">
        <v>88.16568</v>
      </c>
      <c r="P131" s="82">
        <f t="shared" si="25"/>
        <v>11.83432</v>
      </c>
      <c r="Q131" s="78">
        <v>1.0</v>
      </c>
      <c r="R131" s="83">
        <f t="shared" ref="R131:R132" si="40">P131/M131/100*112393/Q131</f>
        <v>13300.94728</v>
      </c>
      <c r="S131" s="84" t="s">
        <v>1294</v>
      </c>
      <c r="T131" s="83">
        <f t="shared" si="28"/>
        <v>0.9994700389</v>
      </c>
      <c r="U131" s="83">
        <f t="shared" ref="U131:U132" si="41">(R131-K131)*M131*J131/(112393/845)</f>
        <v>-0.0530242135</v>
      </c>
    </row>
    <row r="132" ht="26.25" customHeight="1">
      <c r="A132" s="105"/>
      <c r="B132" s="73" t="s">
        <v>31</v>
      </c>
      <c r="C132" s="73" t="s">
        <v>1498</v>
      </c>
      <c r="D132" s="75">
        <v>608.0</v>
      </c>
      <c r="E132" s="75" t="s">
        <v>1502</v>
      </c>
      <c r="F132" s="76"/>
      <c r="G132" s="77" t="s">
        <v>1501</v>
      </c>
      <c r="H132" s="77">
        <f>5416*1.5</f>
        <v>8124</v>
      </c>
      <c r="I132" s="77">
        <v>1.0</v>
      </c>
      <c r="J132" s="78">
        <v>1.0</v>
      </c>
      <c r="K132" s="79">
        <f t="shared" si="2"/>
        <v>8124</v>
      </c>
      <c r="L132" s="80" t="s">
        <v>1501</v>
      </c>
      <c r="M132" s="81">
        <v>1.0</v>
      </c>
      <c r="N132" s="82">
        <v>100.0</v>
      </c>
      <c r="O132" s="82">
        <v>92.781065</v>
      </c>
      <c r="P132" s="82">
        <f t="shared" si="25"/>
        <v>7.218935</v>
      </c>
      <c r="Q132" s="78">
        <v>1.0</v>
      </c>
      <c r="R132" s="83">
        <f t="shared" si="40"/>
        <v>8113.577615</v>
      </c>
      <c r="S132" s="84" t="s">
        <v>1294</v>
      </c>
      <c r="T132" s="83">
        <f t="shared" si="28"/>
        <v>0.998717087</v>
      </c>
      <c r="U132" s="83">
        <f t="shared" si="41"/>
        <v>-0.07835822253</v>
      </c>
    </row>
    <row r="133" ht="26.25" customHeight="1">
      <c r="A133" s="105"/>
      <c r="B133" s="73" t="s">
        <v>31</v>
      </c>
      <c r="C133" s="73" t="s">
        <v>1503</v>
      </c>
      <c r="D133" s="75">
        <v>646.0</v>
      </c>
      <c r="E133" s="75" t="s">
        <v>1504</v>
      </c>
      <c r="F133" s="75" t="s">
        <v>1487</v>
      </c>
      <c r="G133" s="77" t="s">
        <v>834</v>
      </c>
      <c r="H133" s="77">
        <v>36171.0</v>
      </c>
      <c r="I133" s="77">
        <v>1.0</v>
      </c>
      <c r="J133" s="78">
        <f t="shared" ref="J133:J138" si="42">IFS(G133="S",21494/2048,G133="C",(21494/2048)/(87875/9999)*2*1.3,OR(G133="R",G133="T"),1)</f>
        <v>1</v>
      </c>
      <c r="K133" s="79">
        <f t="shared" si="2"/>
        <v>36171</v>
      </c>
      <c r="L133" s="80" t="s">
        <v>834</v>
      </c>
      <c r="M133" s="81">
        <v>1.0</v>
      </c>
      <c r="N133" s="82">
        <v>100.0</v>
      </c>
      <c r="O133" s="82">
        <v>79.809976</v>
      </c>
      <c r="P133" s="82">
        <f t="shared" si="25"/>
        <v>20.190024</v>
      </c>
      <c r="Q133" s="78">
        <f t="shared" ref="Q133:Q138" si="43">IFS(L133="S",21494/2048,L133="R",1)</f>
        <v>1</v>
      </c>
      <c r="R133" s="83">
        <f t="shared" ref="R133:R138" si="44">IFS(L133="S",P133/M133/100*249945/Q133,L133="R",P133/M133/100*170255/Q133)</f>
        <v>34374.52536</v>
      </c>
      <c r="S133" s="84" t="s">
        <v>1294</v>
      </c>
      <c r="T133" s="83">
        <f t="shared" si="28"/>
        <v>0.950333841</v>
      </c>
      <c r="U133" s="83">
        <f t="shared" ref="U133:U138" si="45">IFS(L133="S",(R133-K133)*M133*J133/(249945/845),L133="R",(R133-K133)*M133*J133/(170255/845))</f>
        <v>-8.916161462</v>
      </c>
    </row>
    <row r="134" ht="26.25" customHeight="1">
      <c r="A134" s="105"/>
      <c r="B134" s="73" t="s">
        <v>31</v>
      </c>
      <c r="C134" s="73" t="s">
        <v>1503</v>
      </c>
      <c r="D134" s="75">
        <v>1099.0</v>
      </c>
      <c r="E134" s="75" t="s">
        <v>1505</v>
      </c>
      <c r="F134" s="75" t="s">
        <v>1506</v>
      </c>
      <c r="G134" s="77" t="s">
        <v>834</v>
      </c>
      <c r="H134" s="77">
        <v>60013.0</v>
      </c>
      <c r="I134" s="77">
        <v>1.0</v>
      </c>
      <c r="J134" s="78">
        <f t="shared" si="42"/>
        <v>1</v>
      </c>
      <c r="K134" s="79">
        <f t="shared" si="2"/>
        <v>60013</v>
      </c>
      <c r="L134" s="80" t="s">
        <v>834</v>
      </c>
      <c r="M134" s="81">
        <v>1.0</v>
      </c>
      <c r="N134" s="82">
        <v>100.0</v>
      </c>
      <c r="O134" s="82">
        <v>64.133017</v>
      </c>
      <c r="P134" s="82">
        <f t="shared" si="25"/>
        <v>35.866983</v>
      </c>
      <c r="Q134" s="78">
        <f t="shared" si="43"/>
        <v>1</v>
      </c>
      <c r="R134" s="83">
        <f t="shared" si="44"/>
        <v>61065.33191</v>
      </c>
      <c r="S134" s="84" t="s">
        <v>1294</v>
      </c>
      <c r="T134" s="83">
        <f t="shared" si="28"/>
        <v>1.017535066</v>
      </c>
      <c r="U134" s="83">
        <f t="shared" si="45"/>
        <v>5.222874283</v>
      </c>
    </row>
    <row r="135" ht="26.25" customHeight="1">
      <c r="A135" s="105"/>
      <c r="B135" s="73" t="s">
        <v>31</v>
      </c>
      <c r="C135" s="73" t="s">
        <v>1503</v>
      </c>
      <c r="D135" s="75">
        <v>646.0</v>
      </c>
      <c r="E135" s="75" t="s">
        <v>1507</v>
      </c>
      <c r="F135" s="75" t="s">
        <v>1508</v>
      </c>
      <c r="G135" s="77" t="s">
        <v>834</v>
      </c>
      <c r="H135" s="77">
        <v>38969.0</v>
      </c>
      <c r="I135" s="77">
        <v>1.0</v>
      </c>
      <c r="J135" s="78">
        <f t="shared" si="42"/>
        <v>1</v>
      </c>
      <c r="K135" s="79">
        <f t="shared" si="2"/>
        <v>38969</v>
      </c>
      <c r="L135" s="80" t="s">
        <v>834</v>
      </c>
      <c r="M135" s="81">
        <v>1.0</v>
      </c>
      <c r="N135" s="82">
        <v>100.0</v>
      </c>
      <c r="O135" s="82">
        <v>78.147268</v>
      </c>
      <c r="P135" s="82">
        <f t="shared" si="25"/>
        <v>21.852732</v>
      </c>
      <c r="Q135" s="78">
        <f t="shared" si="43"/>
        <v>1</v>
      </c>
      <c r="R135" s="83">
        <f t="shared" si="44"/>
        <v>37205.36887</v>
      </c>
      <c r="S135" s="84" t="s">
        <v>1294</v>
      </c>
      <c r="T135" s="83">
        <f t="shared" si="28"/>
        <v>0.9547427151</v>
      </c>
      <c r="U135" s="83">
        <f t="shared" si="45"/>
        <v>-8.753154431</v>
      </c>
    </row>
    <row r="136" ht="26.25" customHeight="1">
      <c r="A136" s="105"/>
      <c r="B136" s="73" t="s">
        <v>31</v>
      </c>
      <c r="C136" s="73" t="s">
        <v>1503</v>
      </c>
      <c r="D136" s="75">
        <v>969.0</v>
      </c>
      <c r="E136" s="75" t="s">
        <v>1509</v>
      </c>
      <c r="F136" s="75" t="s">
        <v>1510</v>
      </c>
      <c r="G136" s="77" t="s">
        <v>834</v>
      </c>
      <c r="H136" s="77">
        <v>52762.0</v>
      </c>
      <c r="I136" s="77">
        <v>1.0</v>
      </c>
      <c r="J136" s="78">
        <f t="shared" si="42"/>
        <v>1</v>
      </c>
      <c r="K136" s="79">
        <f t="shared" si="2"/>
        <v>52762</v>
      </c>
      <c r="L136" s="80" t="s">
        <v>834</v>
      </c>
      <c r="M136" s="81">
        <v>1.0</v>
      </c>
      <c r="N136" s="82">
        <v>100.0</v>
      </c>
      <c r="O136" s="82">
        <v>70.071259</v>
      </c>
      <c r="P136" s="82">
        <f t="shared" si="25"/>
        <v>29.928741</v>
      </c>
      <c r="Q136" s="78">
        <f t="shared" si="43"/>
        <v>1</v>
      </c>
      <c r="R136" s="83">
        <f t="shared" si="44"/>
        <v>50955.17799</v>
      </c>
      <c r="S136" s="84" t="s">
        <v>1294</v>
      </c>
      <c r="T136" s="83">
        <f t="shared" si="28"/>
        <v>0.9657552403</v>
      </c>
      <c r="U136" s="83">
        <f t="shared" si="45"/>
        <v>-8.967516953</v>
      </c>
    </row>
    <row r="137" ht="26.25" customHeight="1">
      <c r="A137" s="105"/>
      <c r="B137" s="73" t="s">
        <v>31</v>
      </c>
      <c r="C137" s="73" t="s">
        <v>1503</v>
      </c>
      <c r="D137" s="75">
        <v>969.0</v>
      </c>
      <c r="E137" s="75" t="s">
        <v>1511</v>
      </c>
      <c r="F137" s="75" t="s">
        <v>1512</v>
      </c>
      <c r="G137" s="91" t="s">
        <v>834</v>
      </c>
      <c r="H137" s="77">
        <v>26800.0</v>
      </c>
      <c r="I137" s="77">
        <v>1.0</v>
      </c>
      <c r="J137" s="78">
        <f t="shared" si="42"/>
        <v>1</v>
      </c>
      <c r="K137" s="79">
        <f t="shared" si="2"/>
        <v>26800</v>
      </c>
      <c r="L137" s="80" t="s">
        <v>834</v>
      </c>
      <c r="M137" s="81">
        <v>1.0</v>
      </c>
      <c r="N137" s="82">
        <v>100.0</v>
      </c>
      <c r="O137" s="82">
        <v>76.009501</v>
      </c>
      <c r="P137" s="82">
        <f t="shared" si="25"/>
        <v>23.990499</v>
      </c>
      <c r="Q137" s="78">
        <f t="shared" si="43"/>
        <v>1</v>
      </c>
      <c r="R137" s="83">
        <f t="shared" si="44"/>
        <v>40845.02407</v>
      </c>
      <c r="S137" s="84" t="s">
        <v>757</v>
      </c>
      <c r="T137" s="83">
        <f t="shared" si="28"/>
        <v>1.524068062</v>
      </c>
      <c r="U137" s="83">
        <f t="shared" si="45"/>
        <v>69.70747021</v>
      </c>
    </row>
    <row r="138" ht="26.25" customHeight="1">
      <c r="A138" s="105"/>
      <c r="B138" s="73" t="s">
        <v>31</v>
      </c>
      <c r="C138" s="73" t="s">
        <v>1503</v>
      </c>
      <c r="D138" s="75">
        <v>646.0</v>
      </c>
      <c r="E138" s="75" t="s">
        <v>1513</v>
      </c>
      <c r="F138" s="75" t="s">
        <v>1514</v>
      </c>
      <c r="G138" s="91" t="s">
        <v>834</v>
      </c>
      <c r="H138" s="77">
        <v>21706.0</v>
      </c>
      <c r="I138" s="77">
        <v>1.0</v>
      </c>
      <c r="J138" s="78">
        <f t="shared" si="42"/>
        <v>1</v>
      </c>
      <c r="K138" s="79">
        <f t="shared" si="2"/>
        <v>21706</v>
      </c>
      <c r="L138" s="80" t="s">
        <v>834</v>
      </c>
      <c r="M138" s="81">
        <v>1.0</v>
      </c>
      <c r="N138" s="82">
        <v>100.0</v>
      </c>
      <c r="O138" s="82">
        <v>84.441805</v>
      </c>
      <c r="P138" s="82">
        <f t="shared" si="25"/>
        <v>15.558195</v>
      </c>
      <c r="Q138" s="78">
        <f t="shared" si="43"/>
        <v>1</v>
      </c>
      <c r="R138" s="83">
        <f t="shared" si="44"/>
        <v>26488.6049</v>
      </c>
      <c r="S138" s="84" t="s">
        <v>757</v>
      </c>
      <c r="T138" s="83">
        <f t="shared" si="28"/>
        <v>1.220335617</v>
      </c>
      <c r="U138" s="83">
        <f t="shared" si="45"/>
        <v>23.7367545</v>
      </c>
    </row>
    <row r="139" ht="26.25" customHeight="1">
      <c r="A139" s="105"/>
      <c r="B139" s="73" t="s">
        <v>31</v>
      </c>
      <c r="C139" s="73" t="s">
        <v>1503</v>
      </c>
      <c r="D139" s="75">
        <v>681.0</v>
      </c>
      <c r="E139" s="75" t="s">
        <v>1515</v>
      </c>
      <c r="F139" s="75" t="s">
        <v>1516</v>
      </c>
      <c r="G139" s="77" t="s">
        <v>1501</v>
      </c>
      <c r="H139" s="77">
        <f>4530*1.5</f>
        <v>6795</v>
      </c>
      <c r="I139" s="77">
        <v>6.0</v>
      </c>
      <c r="J139" s="78">
        <v>1.0</v>
      </c>
      <c r="K139" s="79">
        <f t="shared" si="2"/>
        <v>1132.5</v>
      </c>
      <c r="L139" s="80" t="s">
        <v>1501</v>
      </c>
      <c r="M139" s="81">
        <v>6.0</v>
      </c>
      <c r="N139" s="82">
        <v>100.0</v>
      </c>
      <c r="O139" s="82">
        <v>93.964497</v>
      </c>
      <c r="P139" s="82">
        <f t="shared" si="25"/>
        <v>6.035503</v>
      </c>
      <c r="Q139" s="78">
        <v>1.0</v>
      </c>
      <c r="R139" s="83">
        <f t="shared" ref="R139:R146" si="46">P139/M139/100*112393/Q139</f>
        <v>1130.580481</v>
      </c>
      <c r="S139" s="84" t="s">
        <v>1294</v>
      </c>
      <c r="T139" s="83">
        <f t="shared" si="28"/>
        <v>0.9983050606</v>
      </c>
      <c r="U139" s="83">
        <f t="shared" ref="U139:U146" si="47">(R139-K139)*M139*J139/(112393/845)</f>
        <v>-0.08658867245</v>
      </c>
    </row>
    <row r="140" ht="26.25" customHeight="1">
      <c r="A140" s="105"/>
      <c r="B140" s="73" t="s">
        <v>31</v>
      </c>
      <c r="C140" s="73" t="s">
        <v>1503</v>
      </c>
      <c r="D140" s="75">
        <v>1804.0</v>
      </c>
      <c r="E140" s="75" t="s">
        <v>1515</v>
      </c>
      <c r="F140" s="75" t="s">
        <v>1517</v>
      </c>
      <c r="G140" s="77" t="s">
        <v>1501</v>
      </c>
      <c r="H140" s="77">
        <f>10229*1.5</f>
        <v>15343.5</v>
      </c>
      <c r="I140" s="77">
        <v>6.0</v>
      </c>
      <c r="J140" s="78">
        <v>1.0</v>
      </c>
      <c r="K140" s="79">
        <f t="shared" si="2"/>
        <v>2557.25</v>
      </c>
      <c r="L140" s="80" t="s">
        <v>1501</v>
      </c>
      <c r="M140" s="81">
        <v>6.0</v>
      </c>
      <c r="N140" s="82">
        <v>100.0</v>
      </c>
      <c r="O140" s="82">
        <v>86.390533</v>
      </c>
      <c r="P140" s="82">
        <f t="shared" si="25"/>
        <v>13.609467</v>
      </c>
      <c r="Q140" s="78">
        <v>1.0</v>
      </c>
      <c r="R140" s="83">
        <f t="shared" si="46"/>
        <v>2549.348041</v>
      </c>
      <c r="S140" s="84" t="s">
        <v>1294</v>
      </c>
      <c r="T140" s="83">
        <f t="shared" si="28"/>
        <v>0.9969099779</v>
      </c>
      <c r="U140" s="83">
        <f t="shared" si="47"/>
        <v>-0.3564539848</v>
      </c>
    </row>
    <row r="141" ht="26.25" customHeight="1">
      <c r="A141" s="105"/>
      <c r="B141" s="73" t="s">
        <v>31</v>
      </c>
      <c r="C141" s="73" t="s">
        <v>1503</v>
      </c>
      <c r="D141" s="75">
        <v>2892.0</v>
      </c>
      <c r="E141" s="75" t="s">
        <v>1515</v>
      </c>
      <c r="F141" s="75" t="s">
        <v>1518</v>
      </c>
      <c r="G141" s="77" t="s">
        <v>1501</v>
      </c>
      <c r="H141" s="77">
        <f>7788*1.5</f>
        <v>11682</v>
      </c>
      <c r="I141" s="77">
        <v>3.0</v>
      </c>
      <c r="J141" s="78">
        <v>1.0</v>
      </c>
      <c r="K141" s="79">
        <f t="shared" si="2"/>
        <v>3894</v>
      </c>
      <c r="L141" s="80" t="s">
        <v>1501</v>
      </c>
      <c r="M141" s="81">
        <v>3.0</v>
      </c>
      <c r="N141" s="82">
        <v>100.0</v>
      </c>
      <c r="O141" s="82">
        <v>89.704142</v>
      </c>
      <c r="P141" s="82">
        <f t="shared" si="25"/>
        <v>10.295858</v>
      </c>
      <c r="Q141" s="78">
        <v>1.0</v>
      </c>
      <c r="R141" s="83">
        <f t="shared" si="46"/>
        <v>3857.274561</v>
      </c>
      <c r="S141" s="84" t="s">
        <v>1294</v>
      </c>
      <c r="T141" s="83">
        <f t="shared" si="28"/>
        <v>0.990568711</v>
      </c>
      <c r="U141" s="83">
        <f t="shared" si="47"/>
        <v>-0.8283344048</v>
      </c>
    </row>
    <row r="142" ht="26.25" customHeight="1">
      <c r="A142" s="105"/>
      <c r="B142" s="73" t="s">
        <v>31</v>
      </c>
      <c r="C142" s="73" t="s">
        <v>1503</v>
      </c>
      <c r="D142" s="75">
        <v>4491.0</v>
      </c>
      <c r="E142" s="75" t="s">
        <v>1515</v>
      </c>
      <c r="F142" s="75" t="s">
        <v>1519</v>
      </c>
      <c r="G142" s="77" t="s">
        <v>1501</v>
      </c>
      <c r="H142" s="77">
        <f>7031*1.5</f>
        <v>10546.5</v>
      </c>
      <c r="I142" s="77">
        <v>2.0</v>
      </c>
      <c r="J142" s="78">
        <v>1.0</v>
      </c>
      <c r="K142" s="79">
        <f t="shared" si="2"/>
        <v>5273.25</v>
      </c>
      <c r="L142" s="80" t="s">
        <v>1501</v>
      </c>
      <c r="M142" s="81">
        <v>2.0</v>
      </c>
      <c r="N142" s="82">
        <v>100.0</v>
      </c>
      <c r="O142" s="82">
        <v>90.414201</v>
      </c>
      <c r="P142" s="82">
        <f t="shared" si="25"/>
        <v>9.585799</v>
      </c>
      <c r="Q142" s="78">
        <v>1.0</v>
      </c>
      <c r="R142" s="83">
        <f t="shared" si="46"/>
        <v>5386.883535</v>
      </c>
      <c r="S142" s="84" t="s">
        <v>1294</v>
      </c>
      <c r="T142" s="83">
        <f t="shared" si="28"/>
        <v>1.021549051</v>
      </c>
      <c r="U142" s="83">
        <f t="shared" si="47"/>
        <v>1.708653334</v>
      </c>
    </row>
    <row r="143" ht="26.25" customHeight="1">
      <c r="A143" s="105"/>
      <c r="B143" s="73" t="s">
        <v>31</v>
      </c>
      <c r="C143" s="73" t="s">
        <v>1503</v>
      </c>
      <c r="D143" s="75">
        <v>1157.0</v>
      </c>
      <c r="E143" s="75" t="s">
        <v>1515</v>
      </c>
      <c r="F143" s="75" t="s">
        <v>1520</v>
      </c>
      <c r="G143" s="77" t="s">
        <v>1501</v>
      </c>
      <c r="H143" s="77">
        <f>6598*1.5</f>
        <v>9897</v>
      </c>
      <c r="I143" s="77">
        <v>6.0</v>
      </c>
      <c r="J143" s="78">
        <v>1.0</v>
      </c>
      <c r="K143" s="79">
        <f t="shared" si="2"/>
        <v>1649.5</v>
      </c>
      <c r="L143" s="80" t="s">
        <v>1501</v>
      </c>
      <c r="M143" s="81">
        <v>6.0</v>
      </c>
      <c r="N143" s="82">
        <v>100.0</v>
      </c>
      <c r="O143" s="82">
        <v>91.242604</v>
      </c>
      <c r="P143" s="82">
        <f t="shared" si="25"/>
        <v>8.757396</v>
      </c>
      <c r="Q143" s="78">
        <v>1.0</v>
      </c>
      <c r="R143" s="83">
        <f t="shared" si="46"/>
        <v>1640.450014</v>
      </c>
      <c r="S143" s="84" t="s">
        <v>1294</v>
      </c>
      <c r="T143" s="83">
        <f t="shared" si="28"/>
        <v>0.9945134977</v>
      </c>
      <c r="U143" s="83">
        <f t="shared" si="47"/>
        <v>-0.4082409678</v>
      </c>
    </row>
    <row r="144" ht="26.25" customHeight="1">
      <c r="A144" s="105"/>
      <c r="B144" s="73" t="s">
        <v>31</v>
      </c>
      <c r="C144" s="73" t="s">
        <v>1503</v>
      </c>
      <c r="D144" s="75">
        <v>3008.0</v>
      </c>
      <c r="E144" s="75" t="s">
        <v>1515</v>
      </c>
      <c r="F144" s="75" t="s">
        <v>1521</v>
      </c>
      <c r="G144" s="77" t="s">
        <v>1501</v>
      </c>
      <c r="H144" s="77">
        <f>3008+273+361+49+359+71+17+16+23+22+3008+361+359</f>
        <v>7927</v>
      </c>
      <c r="I144" s="77">
        <v>2.0</v>
      </c>
      <c r="J144" s="78">
        <v>1.0</v>
      </c>
      <c r="K144" s="79">
        <f t="shared" si="2"/>
        <v>3963.5</v>
      </c>
      <c r="L144" s="80" t="s">
        <v>1501</v>
      </c>
      <c r="M144" s="81">
        <v>2.0</v>
      </c>
      <c r="N144" s="82">
        <v>100.0</v>
      </c>
      <c r="O144" s="82">
        <v>92.899408</v>
      </c>
      <c r="P144" s="82">
        <f t="shared" si="25"/>
        <v>7.100592</v>
      </c>
      <c r="Q144" s="78">
        <v>1.0</v>
      </c>
      <c r="R144" s="83">
        <f t="shared" si="46"/>
        <v>3990.284183</v>
      </c>
      <c r="S144" s="84" t="s">
        <v>1294</v>
      </c>
      <c r="T144" s="83">
        <f t="shared" si="28"/>
        <v>1.00675771</v>
      </c>
      <c r="U144" s="83">
        <f t="shared" si="47"/>
        <v>0.4027410047</v>
      </c>
    </row>
    <row r="145" ht="26.25" customHeight="1">
      <c r="A145" s="105"/>
      <c r="B145" s="73" t="s">
        <v>31</v>
      </c>
      <c r="C145" s="73" t="s">
        <v>1503</v>
      </c>
      <c r="D145" s="75">
        <v>681.0</v>
      </c>
      <c r="E145" s="75" t="s">
        <v>1515</v>
      </c>
      <c r="F145" s="75" t="s">
        <v>1522</v>
      </c>
      <c r="G145" s="77" t="s">
        <v>1501</v>
      </c>
      <c r="H145" s="77">
        <f>4615*1.5</f>
        <v>6922.5</v>
      </c>
      <c r="I145" s="77">
        <v>6.0</v>
      </c>
      <c r="J145" s="78">
        <v>1.0</v>
      </c>
      <c r="K145" s="79">
        <f t="shared" si="2"/>
        <v>1153.75</v>
      </c>
      <c r="L145" s="80" t="s">
        <v>1501</v>
      </c>
      <c r="M145" s="81">
        <v>6.0</v>
      </c>
      <c r="N145" s="82">
        <v>100.0</v>
      </c>
      <c r="O145" s="82">
        <v>93.846154</v>
      </c>
      <c r="P145" s="82">
        <f t="shared" si="25"/>
        <v>6.153846</v>
      </c>
      <c r="Q145" s="78">
        <v>1.0</v>
      </c>
      <c r="R145" s="83">
        <f t="shared" si="46"/>
        <v>1152.748689</v>
      </c>
      <c r="S145" s="84" t="s">
        <v>1294</v>
      </c>
      <c r="T145" s="83">
        <f t="shared" si="28"/>
        <v>0.9991321249</v>
      </c>
      <c r="U145" s="83">
        <f t="shared" si="47"/>
        <v>-0.04516870366</v>
      </c>
    </row>
    <row r="146" ht="26.25" customHeight="1">
      <c r="A146" s="105"/>
      <c r="B146" s="73" t="s">
        <v>31</v>
      </c>
      <c r="C146" s="73" t="s">
        <v>1503</v>
      </c>
      <c r="D146" s="75">
        <v>1062.0</v>
      </c>
      <c r="E146" s="75" t="s">
        <v>1515</v>
      </c>
      <c r="F146" s="75" t="s">
        <v>1523</v>
      </c>
      <c r="G146" s="77" t="s">
        <v>1501</v>
      </c>
      <c r="H146" s="77">
        <f>7385*1.5</f>
        <v>11077.5</v>
      </c>
      <c r="I146" s="77">
        <v>6.0</v>
      </c>
      <c r="J146" s="78">
        <v>1.0</v>
      </c>
      <c r="K146" s="79">
        <f t="shared" si="2"/>
        <v>1846.25</v>
      </c>
      <c r="L146" s="80" t="s">
        <v>1501</v>
      </c>
      <c r="M146" s="81">
        <v>6.0</v>
      </c>
      <c r="N146" s="82">
        <v>100.0</v>
      </c>
      <c r="O146" s="82">
        <v>89.585799</v>
      </c>
      <c r="P146" s="82">
        <f t="shared" si="25"/>
        <v>10.414201</v>
      </c>
      <c r="Q146" s="78">
        <v>1.0</v>
      </c>
      <c r="R146" s="83">
        <f t="shared" si="46"/>
        <v>1950.805488</v>
      </c>
      <c r="S146" s="84" t="s">
        <v>1294</v>
      </c>
      <c r="T146" s="83">
        <f t="shared" si="28"/>
        <v>1.056631273</v>
      </c>
      <c r="U146" s="83">
        <f t="shared" si="47"/>
        <v>4.716453211</v>
      </c>
    </row>
    <row r="147" ht="26.25" customHeight="1">
      <c r="A147" s="105"/>
      <c r="B147" s="73" t="s">
        <v>31</v>
      </c>
      <c r="C147" s="73" t="s">
        <v>1524</v>
      </c>
      <c r="D147" s="75">
        <v>886.0</v>
      </c>
      <c r="E147" s="75" t="s">
        <v>1525</v>
      </c>
      <c r="F147" s="76" t="s">
        <v>1526</v>
      </c>
      <c r="G147" s="77" t="s">
        <v>1527</v>
      </c>
      <c r="H147" s="77">
        <f>4097*1.5</f>
        <v>6145.5</v>
      </c>
      <c r="I147" s="77">
        <v>1.0</v>
      </c>
      <c r="J147" s="78">
        <v>1.0</v>
      </c>
      <c r="K147" s="79">
        <f t="shared" si="2"/>
        <v>6145.5</v>
      </c>
      <c r="L147" s="80" t="s">
        <v>1527</v>
      </c>
      <c r="M147" s="81">
        <v>1.0</v>
      </c>
      <c r="N147" s="82">
        <v>100.0</v>
      </c>
      <c r="O147" s="82">
        <v>94.08284</v>
      </c>
      <c r="P147" s="82">
        <f t="shared" si="25"/>
        <v>5.91716</v>
      </c>
      <c r="Q147" s="78">
        <v>1.0</v>
      </c>
      <c r="R147" s="83">
        <f>P147/M147/100*101053/Q147</f>
        <v>5979.467695</v>
      </c>
      <c r="S147" s="84" t="s">
        <v>757</v>
      </c>
      <c r="T147" s="83">
        <f t="shared" si="28"/>
        <v>0.9729831087</v>
      </c>
      <c r="U147" s="83">
        <f>(R147-K147)*M147*J147/(101053/845)</f>
        <v>-1.388353615</v>
      </c>
    </row>
    <row r="148" ht="26.25" customHeight="1">
      <c r="A148" s="105"/>
      <c r="B148" s="73" t="s">
        <v>31</v>
      </c>
      <c r="C148" s="73" t="s">
        <v>1528</v>
      </c>
      <c r="D148" s="75">
        <v>34601.0</v>
      </c>
      <c r="E148" s="75" t="s">
        <v>1529</v>
      </c>
      <c r="F148" s="76" t="s">
        <v>1530</v>
      </c>
      <c r="G148" s="77" t="s">
        <v>689</v>
      </c>
      <c r="H148" s="77">
        <f>34601+2050</f>
        <v>36651</v>
      </c>
      <c r="I148" s="77">
        <v>1.0</v>
      </c>
      <c r="J148" s="78">
        <f>2*1.15</f>
        <v>2.3</v>
      </c>
      <c r="K148" s="79">
        <f t="shared" si="2"/>
        <v>15935.21739</v>
      </c>
      <c r="L148" s="80" t="s">
        <v>689</v>
      </c>
      <c r="M148" s="81">
        <v>5.0</v>
      </c>
      <c r="N148" s="82">
        <v>100.0</v>
      </c>
      <c r="O148" s="82">
        <v>86.745562</v>
      </c>
      <c r="P148" s="82">
        <f t="shared" si="25"/>
        <v>13.254438</v>
      </c>
      <c r="Q148" s="78">
        <f>2*1.15</f>
        <v>2.3</v>
      </c>
      <c r="R148" s="83">
        <f>P148/M148/100*1500000/Q148</f>
        <v>17288.39739</v>
      </c>
      <c r="S148" s="84" t="s">
        <v>713</v>
      </c>
      <c r="T148" s="83">
        <f t="shared" si="28"/>
        <v>1.084917574</v>
      </c>
      <c r="U148" s="83">
        <f>(R148-K148)*M148*J148/(1500000/845)</f>
        <v>8.7663511</v>
      </c>
    </row>
    <row r="149" ht="26.25" customHeight="1">
      <c r="A149" s="105"/>
      <c r="B149" s="73" t="s">
        <v>31</v>
      </c>
      <c r="C149" s="73" t="s">
        <v>1528</v>
      </c>
      <c r="D149" s="75">
        <v>1920.0</v>
      </c>
      <c r="E149" s="75" t="s">
        <v>1531</v>
      </c>
      <c r="F149" s="76" t="s">
        <v>1532</v>
      </c>
      <c r="G149" s="77" t="s">
        <v>1527</v>
      </c>
      <c r="H149" s="77">
        <f>6140*1.5</f>
        <v>9210</v>
      </c>
      <c r="I149" s="77">
        <v>1.0</v>
      </c>
      <c r="J149" s="78">
        <v>1.0</v>
      </c>
      <c r="K149" s="79">
        <f t="shared" si="2"/>
        <v>9210</v>
      </c>
      <c r="L149" s="80" t="s">
        <v>1527</v>
      </c>
      <c r="M149" s="81">
        <v>1.0</v>
      </c>
      <c r="N149" s="82">
        <v>100.0</v>
      </c>
      <c r="O149" s="82">
        <v>91.005917</v>
      </c>
      <c r="P149" s="82">
        <f t="shared" si="25"/>
        <v>8.994083</v>
      </c>
      <c r="Q149" s="78">
        <v>1.0</v>
      </c>
      <c r="R149" s="83">
        <f t="shared" ref="R149:R155" si="48">P149/M149/100*101053/Q149</f>
        <v>9088.790694</v>
      </c>
      <c r="S149" s="84" t="s">
        <v>757</v>
      </c>
      <c r="T149" s="83">
        <f t="shared" si="28"/>
        <v>0.9868393805</v>
      </c>
      <c r="U149" s="83">
        <f t="shared" ref="U149:U157" si="49">(R149-K149)*M149*J149/(101053/845)</f>
        <v>-1.013545996</v>
      </c>
    </row>
    <row r="150" ht="26.25" customHeight="1">
      <c r="A150" s="105"/>
      <c r="B150" s="73" t="s">
        <v>31</v>
      </c>
      <c r="C150" s="73" t="s">
        <v>1528</v>
      </c>
      <c r="D150" s="75">
        <v>3264.0</v>
      </c>
      <c r="E150" s="75" t="s">
        <v>1533</v>
      </c>
      <c r="F150" s="76" t="s">
        <v>1534</v>
      </c>
      <c r="G150" s="77" t="s">
        <v>1527</v>
      </c>
      <c r="H150" s="77">
        <f>10418*1.5</f>
        <v>15627</v>
      </c>
      <c r="I150" s="77">
        <v>1.0</v>
      </c>
      <c r="J150" s="78">
        <v>1.0</v>
      </c>
      <c r="K150" s="79">
        <f t="shared" si="2"/>
        <v>15627</v>
      </c>
      <c r="L150" s="80" t="s">
        <v>1527</v>
      </c>
      <c r="M150" s="81">
        <v>1.0</v>
      </c>
      <c r="N150" s="82">
        <v>100.0</v>
      </c>
      <c r="O150" s="82">
        <v>84.852071</v>
      </c>
      <c r="P150" s="82">
        <f t="shared" si="25"/>
        <v>15.147929</v>
      </c>
      <c r="Q150" s="78">
        <v>1.0</v>
      </c>
      <c r="R150" s="83">
        <f t="shared" si="48"/>
        <v>15307.43669</v>
      </c>
      <c r="S150" s="84" t="s">
        <v>757</v>
      </c>
      <c r="T150" s="83">
        <f t="shared" si="28"/>
        <v>0.9795505658</v>
      </c>
      <c r="U150" s="83">
        <f t="shared" si="49"/>
        <v>-2.672171979</v>
      </c>
    </row>
    <row r="151" ht="26.25" customHeight="1">
      <c r="A151" s="105"/>
      <c r="B151" s="73" t="s">
        <v>31</v>
      </c>
      <c r="C151" s="73" t="s">
        <v>1535</v>
      </c>
      <c r="D151" s="75">
        <v>739.0</v>
      </c>
      <c r="E151" s="75" t="s">
        <v>1536</v>
      </c>
      <c r="F151" s="76" t="s">
        <v>1537</v>
      </c>
      <c r="G151" s="77" t="s">
        <v>1527</v>
      </c>
      <c r="H151" s="77">
        <f>14784*1.5</f>
        <v>22176</v>
      </c>
      <c r="I151" s="77">
        <v>1.0</v>
      </c>
      <c r="J151" s="78">
        <v>1.0</v>
      </c>
      <c r="K151" s="79">
        <f t="shared" si="2"/>
        <v>22176</v>
      </c>
      <c r="L151" s="80" t="s">
        <v>1527</v>
      </c>
      <c r="M151" s="81">
        <v>1.0</v>
      </c>
      <c r="N151" s="82">
        <v>100.0</v>
      </c>
      <c r="O151" s="82">
        <v>78.9349111</v>
      </c>
      <c r="P151" s="82">
        <f t="shared" si="25"/>
        <v>21.0650889</v>
      </c>
      <c r="Q151" s="78">
        <v>1.0</v>
      </c>
      <c r="R151" s="83">
        <f t="shared" si="48"/>
        <v>21286.90429</v>
      </c>
      <c r="S151" s="84" t="s">
        <v>1294</v>
      </c>
      <c r="T151" s="83">
        <f t="shared" si="28"/>
        <v>0.9599073001</v>
      </c>
      <c r="U151" s="83">
        <f t="shared" si="49"/>
        <v>-7.434572731</v>
      </c>
    </row>
    <row r="152" ht="26.25" customHeight="1">
      <c r="A152" s="105"/>
      <c r="B152" s="73" t="s">
        <v>31</v>
      </c>
      <c r="C152" s="73" t="s">
        <v>1535</v>
      </c>
      <c r="D152" s="75">
        <v>435.0</v>
      </c>
      <c r="E152" s="75" t="s">
        <v>1536</v>
      </c>
      <c r="F152" s="75" t="s">
        <v>1538</v>
      </c>
      <c r="G152" s="77" t="s">
        <v>1527</v>
      </c>
      <c r="H152" s="77">
        <f>7292*1.5</f>
        <v>10938</v>
      </c>
      <c r="I152" s="77">
        <v>1.0</v>
      </c>
      <c r="J152" s="78">
        <v>1.0</v>
      </c>
      <c r="K152" s="79">
        <f t="shared" si="2"/>
        <v>10938</v>
      </c>
      <c r="L152" s="80" t="s">
        <v>1527</v>
      </c>
      <c r="M152" s="81">
        <v>1.0</v>
      </c>
      <c r="N152" s="82">
        <v>100.0</v>
      </c>
      <c r="O152" s="82">
        <v>88.994083</v>
      </c>
      <c r="P152" s="82">
        <f t="shared" si="25"/>
        <v>11.005917</v>
      </c>
      <c r="Q152" s="78">
        <v>1.0</v>
      </c>
      <c r="R152" s="83">
        <f t="shared" si="48"/>
        <v>11121.80931</v>
      </c>
      <c r="S152" s="84" t="s">
        <v>1294</v>
      </c>
      <c r="T152" s="83">
        <f t="shared" si="28"/>
        <v>1.016804654</v>
      </c>
      <c r="U152" s="83">
        <f t="shared" si="49"/>
        <v>1.537003984</v>
      </c>
    </row>
    <row r="153" ht="26.25" customHeight="1">
      <c r="A153" s="105"/>
      <c r="B153" s="73" t="s">
        <v>31</v>
      </c>
      <c r="C153" s="73" t="s">
        <v>1535</v>
      </c>
      <c r="D153" s="75">
        <v>751.0</v>
      </c>
      <c r="E153" s="75" t="s">
        <v>1536</v>
      </c>
      <c r="F153" s="76" t="s">
        <v>1539</v>
      </c>
      <c r="G153" s="77" t="s">
        <v>1527</v>
      </c>
      <c r="H153" s="77">
        <f>9281*1.5</f>
        <v>13921.5</v>
      </c>
      <c r="I153" s="77">
        <v>1.0</v>
      </c>
      <c r="J153" s="78">
        <v>1.0</v>
      </c>
      <c r="K153" s="79">
        <f t="shared" si="2"/>
        <v>13921.5</v>
      </c>
      <c r="L153" s="80" t="s">
        <v>1527</v>
      </c>
      <c r="M153" s="81">
        <v>1.0</v>
      </c>
      <c r="N153" s="82">
        <v>100.0</v>
      </c>
      <c r="O153" s="82">
        <v>86.508876</v>
      </c>
      <c r="P153" s="82">
        <f t="shared" si="25"/>
        <v>13.491124</v>
      </c>
      <c r="Q153" s="78">
        <v>1.0</v>
      </c>
      <c r="R153" s="83">
        <f t="shared" si="48"/>
        <v>13633.18554</v>
      </c>
      <c r="S153" s="84" t="s">
        <v>1294</v>
      </c>
      <c r="T153" s="83">
        <f t="shared" si="28"/>
        <v>0.9792899857</v>
      </c>
      <c r="U153" s="83">
        <f t="shared" si="49"/>
        <v>-2.410870754</v>
      </c>
    </row>
    <row r="154" ht="26.25" customHeight="1">
      <c r="A154" s="105"/>
      <c r="B154" s="73" t="s">
        <v>31</v>
      </c>
      <c r="C154" s="73" t="s">
        <v>1535</v>
      </c>
      <c r="D154" s="75">
        <v>751.0</v>
      </c>
      <c r="E154" s="75" t="s">
        <v>1540</v>
      </c>
      <c r="F154" s="76" t="s">
        <v>1541</v>
      </c>
      <c r="G154" s="77" t="s">
        <v>1527</v>
      </c>
      <c r="H154" s="77">
        <f>12877*1.5</f>
        <v>19315.5</v>
      </c>
      <c r="I154" s="77">
        <v>1.0</v>
      </c>
      <c r="J154" s="78">
        <v>1.0</v>
      </c>
      <c r="K154" s="79">
        <f t="shared" si="2"/>
        <v>19315.5</v>
      </c>
      <c r="L154" s="80" t="s">
        <v>1527</v>
      </c>
      <c r="M154" s="81">
        <v>1.0</v>
      </c>
      <c r="N154" s="82">
        <v>100.0</v>
      </c>
      <c r="O154" s="82">
        <v>81.775148</v>
      </c>
      <c r="P154" s="82">
        <f t="shared" si="25"/>
        <v>18.224852</v>
      </c>
      <c r="Q154" s="78">
        <v>1.0</v>
      </c>
      <c r="R154" s="83">
        <f t="shared" si="48"/>
        <v>18416.75969</v>
      </c>
      <c r="S154" s="84" t="s">
        <v>1294</v>
      </c>
      <c r="T154" s="83">
        <f t="shared" si="28"/>
        <v>0.9534705129</v>
      </c>
      <c r="U154" s="83">
        <f t="shared" si="49"/>
        <v>-7.515220336</v>
      </c>
    </row>
    <row r="155" ht="26.25" customHeight="1">
      <c r="A155" s="105"/>
      <c r="B155" s="73" t="s">
        <v>31</v>
      </c>
      <c r="C155" s="73" t="s">
        <v>1535</v>
      </c>
      <c r="D155" s="75">
        <v>1127.0</v>
      </c>
      <c r="E155" s="75" t="s">
        <v>1542</v>
      </c>
      <c r="F155" s="76" t="s">
        <v>1543</v>
      </c>
      <c r="G155" s="77" t="s">
        <v>1527</v>
      </c>
      <c r="H155" s="77">
        <f>17733*1.5</f>
        <v>26599.5</v>
      </c>
      <c r="I155" s="77">
        <v>1.0</v>
      </c>
      <c r="J155" s="78">
        <v>1.0</v>
      </c>
      <c r="K155" s="79">
        <f t="shared" si="2"/>
        <v>26599.5</v>
      </c>
      <c r="L155" s="80" t="s">
        <v>1527</v>
      </c>
      <c r="M155" s="81">
        <v>1.0</v>
      </c>
      <c r="N155" s="82">
        <v>100.0</v>
      </c>
      <c r="O155" s="82">
        <v>74.792899</v>
      </c>
      <c r="P155" s="82">
        <f t="shared" si="25"/>
        <v>25.207101</v>
      </c>
      <c r="Q155" s="78">
        <v>1.0</v>
      </c>
      <c r="R155" s="83">
        <f t="shared" si="48"/>
        <v>25472.53177</v>
      </c>
      <c r="S155" s="84" t="s">
        <v>1294</v>
      </c>
      <c r="T155" s="83">
        <f t="shared" si="28"/>
        <v>0.957631977</v>
      </c>
      <c r="U155" s="83">
        <f t="shared" si="49"/>
        <v>-9.423650474</v>
      </c>
    </row>
    <row r="156" ht="26.25" customHeight="1">
      <c r="A156" s="105"/>
      <c r="B156" s="73" t="s">
        <v>31</v>
      </c>
      <c r="C156" s="73" t="s">
        <v>1535</v>
      </c>
      <c r="D156" s="75">
        <v>435.0</v>
      </c>
      <c r="E156" s="75" t="s">
        <v>1544</v>
      </c>
      <c r="F156" s="75"/>
      <c r="G156" s="91" t="s">
        <v>834</v>
      </c>
      <c r="H156" s="77">
        <v>10387.0</v>
      </c>
      <c r="I156" s="77">
        <v>1.0</v>
      </c>
      <c r="J156" s="78">
        <f>IFS(G156="S",21494/2048,G156="C",(21494/2048)/(87875/9999)*2*1.3,OR(G156="R",G156="T"),1)</f>
        <v>1</v>
      </c>
      <c r="K156" s="79">
        <f t="shared" si="2"/>
        <v>10387</v>
      </c>
      <c r="L156" s="80" t="s">
        <v>834</v>
      </c>
      <c r="M156" s="81">
        <v>1.0</v>
      </c>
      <c r="N156" s="82">
        <v>100.0</v>
      </c>
      <c r="O156" s="82">
        <v>93.942993</v>
      </c>
      <c r="P156" s="82">
        <f t="shared" si="25"/>
        <v>6.057007</v>
      </c>
      <c r="Q156" s="78">
        <f>IFS(L156="S",21494/2048,L156="R",1)</f>
        <v>1</v>
      </c>
      <c r="R156" s="83">
        <f>IFS(L156="S",P156/M156/100*249945/Q156,L156="R",P156/M156/100*170255/Q156)</f>
        <v>10312.35727</v>
      </c>
      <c r="S156" s="84" t="s">
        <v>1294</v>
      </c>
      <c r="T156" s="83">
        <f t="shared" si="28"/>
        <v>0.9928138315</v>
      </c>
      <c r="U156" s="83">
        <f t="shared" si="49"/>
        <v>-0.6241586956</v>
      </c>
    </row>
    <row r="157" ht="26.25" customHeight="1">
      <c r="A157" s="105"/>
      <c r="B157" s="73" t="s">
        <v>31</v>
      </c>
      <c r="C157" s="85" t="s">
        <v>1545</v>
      </c>
      <c r="D157" s="75">
        <v>951.0</v>
      </c>
      <c r="E157" s="75" t="s">
        <v>1546</v>
      </c>
      <c r="F157" s="75" t="s">
        <v>1500</v>
      </c>
      <c r="G157" s="77" t="s">
        <v>1527</v>
      </c>
      <c r="H157" s="77">
        <f>8937*1.5</f>
        <v>13405.5</v>
      </c>
      <c r="I157" s="77">
        <v>1.0</v>
      </c>
      <c r="J157" s="78">
        <v>1.0</v>
      </c>
      <c r="K157" s="79">
        <f t="shared" si="2"/>
        <v>13405.5</v>
      </c>
      <c r="L157" s="80" t="s">
        <v>1527</v>
      </c>
      <c r="M157" s="81">
        <v>1.0</v>
      </c>
      <c r="N157" s="82">
        <v>100.0</v>
      </c>
      <c r="O157" s="82">
        <v>87.218935</v>
      </c>
      <c r="P157" s="82">
        <f t="shared" si="25"/>
        <v>12.781065</v>
      </c>
      <c r="Q157" s="78">
        <v>1.0</v>
      </c>
      <c r="R157" s="83">
        <f>P157/M157/100*101053/Q157</f>
        <v>12915.64961</v>
      </c>
      <c r="S157" s="84" t="s">
        <v>1294</v>
      </c>
      <c r="T157" s="83">
        <f t="shared" si="28"/>
        <v>0.9634589993</v>
      </c>
      <c r="U157" s="83">
        <f t="shared" si="49"/>
        <v>-4.096103785</v>
      </c>
    </row>
    <row r="158" ht="26.25" customHeight="1">
      <c r="A158" s="105"/>
      <c r="B158" s="73" t="s">
        <v>31</v>
      </c>
      <c r="C158" s="85" t="s">
        <v>1545</v>
      </c>
      <c r="D158" s="75">
        <v>1620.0</v>
      </c>
      <c r="E158" s="75" t="s">
        <v>1547</v>
      </c>
      <c r="F158" s="75" t="s">
        <v>1548</v>
      </c>
      <c r="G158" s="77" t="s">
        <v>689</v>
      </c>
      <c r="H158" s="77">
        <v>66754.0</v>
      </c>
      <c r="I158" s="77">
        <v>2.0</v>
      </c>
      <c r="J158" s="78">
        <f t="shared" ref="J158:J159" si="50">2*1.15</f>
        <v>2.3</v>
      </c>
      <c r="K158" s="79">
        <f t="shared" si="2"/>
        <v>14511.73913</v>
      </c>
      <c r="L158" s="80" t="s">
        <v>689</v>
      </c>
      <c r="M158" s="81">
        <v>2.0</v>
      </c>
      <c r="N158" s="82">
        <v>100.0</v>
      </c>
      <c r="O158" s="82">
        <v>95.502959</v>
      </c>
      <c r="P158" s="82">
        <f t="shared" si="25"/>
        <v>4.497041</v>
      </c>
      <c r="Q158" s="78">
        <f t="shared" ref="Q158:Q159" si="51">2*1.15</f>
        <v>2.3</v>
      </c>
      <c r="R158" s="83">
        <f t="shared" ref="R158:R159" si="52">P158/M158/100*1500000/Q158</f>
        <v>14664.26413</v>
      </c>
      <c r="S158" s="84" t="s">
        <v>757</v>
      </c>
      <c r="T158" s="83">
        <f t="shared" si="28"/>
        <v>1.010510456</v>
      </c>
      <c r="U158" s="83">
        <f t="shared" ref="U158:U159" si="53">(R158-K158)*M158*J158/(1500000/845)</f>
        <v>0.3952431167</v>
      </c>
    </row>
    <row r="159" ht="26.25" customHeight="1">
      <c r="A159" s="105"/>
      <c r="B159" s="73" t="s">
        <v>31</v>
      </c>
      <c r="C159" s="85" t="s">
        <v>1545</v>
      </c>
      <c r="D159" s="75">
        <v>1620.0</v>
      </c>
      <c r="E159" s="75" t="s">
        <v>1549</v>
      </c>
      <c r="F159" s="75" t="s">
        <v>1550</v>
      </c>
      <c r="G159" s="77" t="s">
        <v>689</v>
      </c>
      <c r="H159" s="77">
        <v>72190.0</v>
      </c>
      <c r="I159" s="77">
        <v>2.0</v>
      </c>
      <c r="J159" s="78">
        <f t="shared" si="50"/>
        <v>2.3</v>
      </c>
      <c r="K159" s="79">
        <f t="shared" si="2"/>
        <v>15693.47826</v>
      </c>
      <c r="L159" s="80" t="s">
        <v>689</v>
      </c>
      <c r="M159" s="81">
        <v>2.0</v>
      </c>
      <c r="N159" s="82">
        <v>100.0</v>
      </c>
      <c r="O159" s="82">
        <v>95.147929</v>
      </c>
      <c r="P159" s="82">
        <f t="shared" si="25"/>
        <v>4.852071</v>
      </c>
      <c r="Q159" s="78">
        <f t="shared" si="51"/>
        <v>2.3</v>
      </c>
      <c r="R159" s="83">
        <f t="shared" si="52"/>
        <v>15821.97065</v>
      </c>
      <c r="S159" s="84" t="s">
        <v>757</v>
      </c>
      <c r="T159" s="83">
        <f t="shared" si="28"/>
        <v>1.00818763</v>
      </c>
      <c r="U159" s="83">
        <f t="shared" si="53"/>
        <v>0.3329666167</v>
      </c>
    </row>
    <row r="160" ht="26.25" customHeight="1">
      <c r="A160" s="105"/>
      <c r="B160" s="73" t="s">
        <v>31</v>
      </c>
      <c r="C160" s="85" t="s">
        <v>1545</v>
      </c>
      <c r="D160" s="75">
        <v>2219.0</v>
      </c>
      <c r="E160" s="75" t="s">
        <v>1551</v>
      </c>
      <c r="F160" s="76" t="s">
        <v>1552</v>
      </c>
      <c r="G160" s="91" t="s">
        <v>658</v>
      </c>
      <c r="H160" s="77">
        <f>(2219+1667)*9</f>
        <v>34974</v>
      </c>
      <c r="I160" s="77">
        <v>1.0</v>
      </c>
      <c r="J160" s="78">
        <f>37425/11881</f>
        <v>3.149987375</v>
      </c>
      <c r="K160" s="79">
        <f t="shared" si="2"/>
        <v>11102.90164</v>
      </c>
      <c r="L160" s="80" t="s">
        <v>658</v>
      </c>
      <c r="M160" s="81">
        <v>1.0</v>
      </c>
      <c r="N160" s="82">
        <v>90.023753</v>
      </c>
      <c r="O160" s="82">
        <v>76.009501</v>
      </c>
      <c r="P160" s="82">
        <f t="shared" si="25"/>
        <v>14.014252</v>
      </c>
      <c r="Q160" s="78">
        <f>37425/11881</f>
        <v>3.149987375</v>
      </c>
      <c r="R160" s="83">
        <f>IFS(L160="S",P160/M160/100*249945/Q160,L160="R",P160/M160/100*170255/Q160)</f>
        <v>11120.01986</v>
      </c>
      <c r="S160" s="84" t="s">
        <v>705</v>
      </c>
      <c r="T160" s="83">
        <f t="shared" si="28"/>
        <v>1.001541779</v>
      </c>
      <c r="U160" s="83">
        <f>IFS(L160="S",(R160-K160)*M160*J160/(249945/845),L160="R",(R160-K160)*M160*J160/(170255/845))</f>
        <v>0.1822970109</v>
      </c>
    </row>
    <row r="161" ht="26.25" customHeight="1">
      <c r="A161" s="105"/>
      <c r="B161" s="73" t="s">
        <v>31</v>
      </c>
      <c r="C161" s="85" t="s">
        <v>1545</v>
      </c>
      <c r="D161" s="75">
        <v>705.0</v>
      </c>
      <c r="E161" s="75" t="s">
        <v>1553</v>
      </c>
      <c r="F161" s="75"/>
      <c r="G161" s="77" t="s">
        <v>1527</v>
      </c>
      <c r="H161" s="77">
        <f>6624*1.5</f>
        <v>9936</v>
      </c>
      <c r="I161" s="77">
        <v>1.0</v>
      </c>
      <c r="J161" s="78">
        <v>1.0</v>
      </c>
      <c r="K161" s="79">
        <f t="shared" si="2"/>
        <v>9936</v>
      </c>
      <c r="L161" s="80" t="s">
        <v>1527</v>
      </c>
      <c r="M161" s="81">
        <v>1.0</v>
      </c>
      <c r="N161" s="82">
        <v>100.0</v>
      </c>
      <c r="O161" s="82">
        <v>90.532544</v>
      </c>
      <c r="P161" s="82">
        <f t="shared" si="25"/>
        <v>9.467456</v>
      </c>
      <c r="Q161" s="78">
        <v>1.0</v>
      </c>
      <c r="R161" s="83">
        <f>P161/M161/100*101053/Q161</f>
        <v>9567.148312</v>
      </c>
      <c r="S161" s="84" t="s">
        <v>1294</v>
      </c>
      <c r="T161" s="83">
        <f t="shared" si="28"/>
        <v>0.9628772455</v>
      </c>
      <c r="U161" s="83">
        <f>(R161-K161)*M161*J161/(101053/845)</f>
        <v>-3.084318888</v>
      </c>
    </row>
    <row r="162" ht="26.25" customHeight="1">
      <c r="A162" s="105"/>
      <c r="B162" s="73" t="s">
        <v>31</v>
      </c>
      <c r="C162" s="73" t="s">
        <v>1554</v>
      </c>
      <c r="D162" s="75">
        <v>19902.0</v>
      </c>
      <c r="E162" s="75" t="s">
        <v>1555</v>
      </c>
      <c r="F162" s="76" t="s">
        <v>1500</v>
      </c>
      <c r="G162" s="91" t="s">
        <v>658</v>
      </c>
      <c r="H162" s="77">
        <f>19902+14*7+3981*6</f>
        <v>43886</v>
      </c>
      <c r="I162" s="77">
        <v>1.0</v>
      </c>
      <c r="J162" s="78">
        <f t="shared" ref="J162:J164" si="54">37425/11881</f>
        <v>3.149987375</v>
      </c>
      <c r="K162" s="79">
        <f t="shared" si="2"/>
        <v>13932.11933</v>
      </c>
      <c r="L162" s="80" t="s">
        <v>658</v>
      </c>
      <c r="M162" s="81">
        <v>1.0</v>
      </c>
      <c r="N162" s="82">
        <v>83.135392</v>
      </c>
      <c r="O162" s="82">
        <v>65.558195</v>
      </c>
      <c r="P162" s="82">
        <f t="shared" si="25"/>
        <v>17.577197</v>
      </c>
      <c r="Q162" s="78">
        <f t="shared" ref="Q162:Q164" si="55">37425/11881</f>
        <v>3.149987375</v>
      </c>
      <c r="R162" s="83">
        <f t="shared" ref="R162:R164" si="56">IFS(L162="S",P162/M162/100*249945/Q162,L162="R",P162/M162/100*170255/Q162)</f>
        <v>13947.14321</v>
      </c>
      <c r="S162" s="84" t="s">
        <v>705</v>
      </c>
      <c r="T162" s="83">
        <f t="shared" si="28"/>
        <v>1.001078363</v>
      </c>
      <c r="U162" s="83">
        <f t="shared" ref="U162:U164" si="57">IFS(L162="S",(R162-K162)*M162*J162/(249945/845),L162="R",(R162-K162)*M162*J162/(170255/845))</f>
        <v>0.1599938394</v>
      </c>
    </row>
    <row r="163" ht="26.25" customHeight="1">
      <c r="A163" s="105"/>
      <c r="B163" s="73" t="s">
        <v>31</v>
      </c>
      <c r="C163" s="85" t="s">
        <v>1554</v>
      </c>
      <c r="D163" s="75">
        <v>13268.0</v>
      </c>
      <c r="E163" s="75" t="s">
        <v>1556</v>
      </c>
      <c r="F163" s="75"/>
      <c r="G163" s="91" t="s">
        <v>658</v>
      </c>
      <c r="H163" s="77">
        <f>13268+9*7+2654*6</f>
        <v>29255</v>
      </c>
      <c r="I163" s="77">
        <v>1.0</v>
      </c>
      <c r="J163" s="78">
        <f t="shared" si="54"/>
        <v>3.149987375</v>
      </c>
      <c r="K163" s="79">
        <f t="shared" si="2"/>
        <v>9287.338811</v>
      </c>
      <c r="L163" s="80" t="s">
        <v>658</v>
      </c>
      <c r="M163" s="81">
        <v>1.0</v>
      </c>
      <c r="N163" s="82">
        <v>90.023753</v>
      </c>
      <c r="O163" s="82">
        <v>78.266033</v>
      </c>
      <c r="P163" s="82">
        <f t="shared" si="25"/>
        <v>11.75772</v>
      </c>
      <c r="Q163" s="78">
        <f t="shared" si="55"/>
        <v>3.149987375</v>
      </c>
      <c r="R163" s="83">
        <f t="shared" si="56"/>
        <v>9329.508267</v>
      </c>
      <c r="S163" s="84" t="s">
        <v>705</v>
      </c>
      <c r="T163" s="83">
        <f t="shared" si="28"/>
        <v>1.004540532</v>
      </c>
      <c r="U163" s="83">
        <f t="shared" si="57"/>
        <v>0.4490751951</v>
      </c>
    </row>
    <row r="164" ht="26.25" customHeight="1">
      <c r="A164" s="105"/>
      <c r="B164" s="73" t="s">
        <v>31</v>
      </c>
      <c r="C164" s="73" t="s">
        <v>1557</v>
      </c>
      <c r="D164" s="75">
        <v>12384.0</v>
      </c>
      <c r="E164" s="75" t="s">
        <v>1558</v>
      </c>
      <c r="F164" s="76"/>
      <c r="G164" s="77" t="s">
        <v>658</v>
      </c>
      <c r="H164" s="77">
        <f>12384+9+213*78</f>
        <v>29007</v>
      </c>
      <c r="I164" s="77">
        <v>1.0</v>
      </c>
      <c r="J164" s="78">
        <f t="shared" si="54"/>
        <v>3.149987375</v>
      </c>
      <c r="K164" s="79">
        <f t="shared" si="2"/>
        <v>9208.608337</v>
      </c>
      <c r="L164" s="80" t="s">
        <v>658</v>
      </c>
      <c r="M164" s="81">
        <v>1.0</v>
      </c>
      <c r="N164" s="82">
        <v>90.023753</v>
      </c>
      <c r="O164" s="82">
        <v>78.384798</v>
      </c>
      <c r="P164" s="82">
        <f t="shared" si="25"/>
        <v>11.638955</v>
      </c>
      <c r="Q164" s="78">
        <f t="shared" si="55"/>
        <v>3.149987375</v>
      </c>
      <c r="R164" s="83">
        <f t="shared" si="56"/>
        <v>9235.270689</v>
      </c>
      <c r="S164" s="84" t="s">
        <v>705</v>
      </c>
      <c r="T164" s="83">
        <f t="shared" si="28"/>
        <v>1.002895373</v>
      </c>
      <c r="U164" s="83">
        <f t="shared" si="57"/>
        <v>0.2839353984</v>
      </c>
    </row>
    <row r="165" ht="26.25" customHeight="1">
      <c r="A165" s="105"/>
      <c r="B165" s="73" t="s">
        <v>31</v>
      </c>
      <c r="C165" s="73" t="s">
        <v>1559</v>
      </c>
      <c r="D165" s="75">
        <v>964.0</v>
      </c>
      <c r="E165" s="75" t="s">
        <v>1560</v>
      </c>
      <c r="F165" s="76"/>
      <c r="G165" s="77" t="s">
        <v>1527</v>
      </c>
      <c r="H165" s="77">
        <f>10669*1.5</f>
        <v>16003.5</v>
      </c>
      <c r="I165" s="77">
        <v>1.0</v>
      </c>
      <c r="J165" s="78">
        <v>1.0</v>
      </c>
      <c r="K165" s="79">
        <f t="shared" si="2"/>
        <v>16003.5</v>
      </c>
      <c r="L165" s="80" t="s">
        <v>1527</v>
      </c>
      <c r="M165" s="81">
        <v>1.0</v>
      </c>
      <c r="N165" s="82">
        <v>100.0</v>
      </c>
      <c r="O165" s="82">
        <v>84.733728</v>
      </c>
      <c r="P165" s="82">
        <f t="shared" si="25"/>
        <v>15.266272</v>
      </c>
      <c r="Q165" s="78">
        <v>1.0</v>
      </c>
      <c r="R165" s="83">
        <f t="shared" ref="R165:R167" si="58">P165/M165/100*101053/Q165</f>
        <v>15427.02584</v>
      </c>
      <c r="S165" s="84" t="s">
        <v>757</v>
      </c>
      <c r="T165" s="83">
        <f t="shared" si="28"/>
        <v>0.963978245</v>
      </c>
      <c r="U165" s="83">
        <f t="shared" ref="U165:U167" si="59">(R165-K165)*M165*J165/(101053/845)</f>
        <v>-4.820447307</v>
      </c>
    </row>
    <row r="166" ht="26.25" customHeight="1">
      <c r="A166" s="105"/>
      <c r="B166" s="73" t="s">
        <v>31</v>
      </c>
      <c r="C166" s="73" t="s">
        <v>1561</v>
      </c>
      <c r="D166" s="75">
        <v>638.0</v>
      </c>
      <c r="E166" s="75"/>
      <c r="F166" s="75" t="s">
        <v>1562</v>
      </c>
      <c r="G166" s="77" t="s">
        <v>1527</v>
      </c>
      <c r="H166" s="77">
        <f>7242*1.5</f>
        <v>10863</v>
      </c>
      <c r="I166" s="77">
        <v>1.0</v>
      </c>
      <c r="J166" s="78">
        <v>1.0</v>
      </c>
      <c r="K166" s="79">
        <f t="shared" si="2"/>
        <v>10863</v>
      </c>
      <c r="L166" s="80" t="s">
        <v>1527</v>
      </c>
      <c r="M166" s="81">
        <v>1.0</v>
      </c>
      <c r="N166" s="82">
        <v>100.0</v>
      </c>
      <c r="O166" s="82">
        <v>89.704142</v>
      </c>
      <c r="P166" s="82">
        <f t="shared" si="25"/>
        <v>10.295858</v>
      </c>
      <c r="Q166" s="78">
        <v>1.0</v>
      </c>
      <c r="R166" s="83">
        <f t="shared" si="58"/>
        <v>10404.27338</v>
      </c>
      <c r="S166" s="84" t="s">
        <v>1294</v>
      </c>
      <c r="T166" s="83">
        <f t="shared" si="28"/>
        <v>0.9577716455</v>
      </c>
      <c r="U166" s="83">
        <f t="shared" si="59"/>
        <v>-3.835848415</v>
      </c>
    </row>
    <row r="167" ht="26.25" customHeight="1">
      <c r="A167" s="105"/>
      <c r="B167" s="73" t="s">
        <v>31</v>
      </c>
      <c r="C167" s="73" t="s">
        <v>1561</v>
      </c>
      <c r="D167" s="75">
        <v>957.0</v>
      </c>
      <c r="E167" s="75" t="s">
        <v>1563</v>
      </c>
      <c r="F167" s="76" t="s">
        <v>1564</v>
      </c>
      <c r="G167" s="77" t="s">
        <v>1527</v>
      </c>
      <c r="H167" s="77">
        <f>11102*1.5</f>
        <v>16653</v>
      </c>
      <c r="I167" s="77">
        <v>1.0</v>
      </c>
      <c r="J167" s="78">
        <v>1.0</v>
      </c>
      <c r="K167" s="79">
        <f t="shared" si="2"/>
        <v>16653</v>
      </c>
      <c r="L167" s="80" t="s">
        <v>1527</v>
      </c>
      <c r="M167" s="81">
        <v>1.0</v>
      </c>
      <c r="N167" s="82">
        <v>100.0</v>
      </c>
      <c r="O167" s="82">
        <v>84.142012</v>
      </c>
      <c r="P167" s="82">
        <f t="shared" si="25"/>
        <v>15.857988</v>
      </c>
      <c r="Q167" s="78">
        <v>1.0</v>
      </c>
      <c r="R167" s="83">
        <f t="shared" si="58"/>
        <v>16024.97261</v>
      </c>
      <c r="S167" s="84" t="s">
        <v>1294</v>
      </c>
      <c r="T167" s="83">
        <f t="shared" si="28"/>
        <v>0.9622874325</v>
      </c>
      <c r="U167" s="83">
        <f t="shared" si="59"/>
        <v>-5.251532775</v>
      </c>
    </row>
    <row r="168" ht="26.25" customHeight="1">
      <c r="A168" s="105"/>
      <c r="B168" s="73" t="s">
        <v>31</v>
      </c>
      <c r="C168" s="73" t="s">
        <v>1561</v>
      </c>
      <c r="D168" s="75">
        <v>1214.0</v>
      </c>
      <c r="E168" s="75" t="s">
        <v>1565</v>
      </c>
      <c r="F168" s="75" t="s">
        <v>1491</v>
      </c>
      <c r="G168" s="91" t="s">
        <v>834</v>
      </c>
      <c r="H168" s="77">
        <v>10148.0</v>
      </c>
      <c r="I168" s="77">
        <v>1.0</v>
      </c>
      <c r="J168" s="78">
        <f t="shared" ref="J168:J169" si="60">IFS(G168="S",21494/2048,G168="C",(21494/2048)/(87875/9999)*2*1.3,OR(G168="R",G168="T"),1)</f>
        <v>1</v>
      </c>
      <c r="K168" s="79">
        <f t="shared" si="2"/>
        <v>10148</v>
      </c>
      <c r="L168" s="80" t="s">
        <v>834</v>
      </c>
      <c r="M168" s="81">
        <v>1.0</v>
      </c>
      <c r="N168" s="82">
        <v>100.0</v>
      </c>
      <c r="O168" s="82">
        <v>93.942993</v>
      </c>
      <c r="P168" s="82">
        <f t="shared" si="25"/>
        <v>6.057007</v>
      </c>
      <c r="Q168" s="78">
        <f t="shared" ref="Q168:Q169" si="61">IFS(L168="S",21494/2048,L168="R",1)</f>
        <v>1</v>
      </c>
      <c r="R168" s="83">
        <f t="shared" ref="R168:R169" si="62">IFS(L168="S",P168/M168/100*249945/Q168,L168="R",P168/M168/100*170255/Q168)</f>
        <v>10312.35727</v>
      </c>
      <c r="S168" s="84" t="s">
        <v>1294</v>
      </c>
      <c r="T168" s="83">
        <f t="shared" si="28"/>
        <v>1.016196026</v>
      </c>
      <c r="U168" s="83">
        <f t="shared" ref="U168:U169" si="63">IFS(L168="S",(R168-K168)*M168*J168/(249945/845),L168="R",(R168-K168)*M168*J168/(170255/845))</f>
        <v>0.8157287089</v>
      </c>
    </row>
    <row r="169" ht="26.25" customHeight="1">
      <c r="A169" s="105"/>
      <c r="B169" s="73" t="s">
        <v>31</v>
      </c>
      <c r="C169" s="73" t="s">
        <v>1561</v>
      </c>
      <c r="D169" s="75">
        <v>1820.0</v>
      </c>
      <c r="E169" s="75" t="s">
        <v>1566</v>
      </c>
      <c r="F169" s="76" t="s">
        <v>1567</v>
      </c>
      <c r="G169" s="91" t="s">
        <v>834</v>
      </c>
      <c r="H169" s="77">
        <v>15596.0</v>
      </c>
      <c r="I169" s="77">
        <v>1.0</v>
      </c>
      <c r="J169" s="78">
        <f t="shared" si="60"/>
        <v>1</v>
      </c>
      <c r="K169" s="79">
        <f t="shared" si="2"/>
        <v>15596</v>
      </c>
      <c r="L169" s="80" t="s">
        <v>834</v>
      </c>
      <c r="M169" s="81">
        <v>1.0</v>
      </c>
      <c r="N169" s="82">
        <v>100.0</v>
      </c>
      <c r="O169" s="82">
        <v>90.855107</v>
      </c>
      <c r="P169" s="82">
        <f t="shared" si="25"/>
        <v>9.144893</v>
      </c>
      <c r="Q169" s="78">
        <f t="shared" si="61"/>
        <v>1</v>
      </c>
      <c r="R169" s="83">
        <f t="shared" si="62"/>
        <v>15569.63758</v>
      </c>
      <c r="S169" s="84" t="s">
        <v>1294</v>
      </c>
      <c r="T169" s="83">
        <f t="shared" si="28"/>
        <v>0.9983096677</v>
      </c>
      <c r="U169" s="83">
        <f t="shared" si="63"/>
        <v>-0.1308404881</v>
      </c>
    </row>
    <row r="170" ht="26.25" customHeight="1">
      <c r="A170" s="105"/>
      <c r="B170" s="73" t="s">
        <v>31</v>
      </c>
      <c r="C170" s="73" t="s">
        <v>1561</v>
      </c>
      <c r="D170" s="75">
        <v>27908.0</v>
      </c>
      <c r="E170" s="75" t="s">
        <v>1568</v>
      </c>
      <c r="F170" s="75" t="s">
        <v>1569</v>
      </c>
      <c r="G170" s="77" t="s">
        <v>689</v>
      </c>
      <c r="H170" s="77">
        <v>55816.0</v>
      </c>
      <c r="I170" s="77">
        <v>2.0</v>
      </c>
      <c r="J170" s="78">
        <f>2*1.15</f>
        <v>2.3</v>
      </c>
      <c r="K170" s="79">
        <f t="shared" si="2"/>
        <v>12133.91304</v>
      </c>
      <c r="L170" s="80" t="s">
        <v>689</v>
      </c>
      <c r="M170" s="81">
        <v>2.0</v>
      </c>
      <c r="N170" s="82">
        <v>100.0</v>
      </c>
      <c r="O170" s="82">
        <v>96.213018</v>
      </c>
      <c r="P170" s="82">
        <f t="shared" si="25"/>
        <v>3.786982</v>
      </c>
      <c r="Q170" s="78">
        <f>2*1.15</f>
        <v>2.3</v>
      </c>
      <c r="R170" s="83">
        <f>P170/M170/100*1500000/Q170</f>
        <v>12348.85435</v>
      </c>
      <c r="S170" s="84" t="s">
        <v>757</v>
      </c>
      <c r="T170" s="83">
        <f t="shared" si="28"/>
        <v>1.017714096</v>
      </c>
      <c r="U170" s="83">
        <f>(R170-K170)*M170*J170/(1500000/845)</f>
        <v>0.5569845667</v>
      </c>
    </row>
    <row r="171" ht="26.25" customHeight="1">
      <c r="A171" s="105"/>
      <c r="B171" s="73" t="s">
        <v>31</v>
      </c>
      <c r="C171" s="73" t="s">
        <v>1570</v>
      </c>
      <c r="D171" s="75">
        <v>1521.0</v>
      </c>
      <c r="E171" s="75" t="s">
        <v>1571</v>
      </c>
      <c r="F171" s="76" t="s">
        <v>1572</v>
      </c>
      <c r="G171" s="77" t="s">
        <v>1527</v>
      </c>
      <c r="H171" s="77">
        <f>16716*1.5-3414-39-4029-53</f>
        <v>17539</v>
      </c>
      <c r="I171" s="77">
        <v>1.0</v>
      </c>
      <c r="J171" s="78">
        <v>1.0</v>
      </c>
      <c r="K171" s="79">
        <f t="shared" si="2"/>
        <v>17539</v>
      </c>
      <c r="L171" s="80" t="s">
        <v>1527</v>
      </c>
      <c r="M171" s="81">
        <v>1.0</v>
      </c>
      <c r="N171" s="82">
        <v>100.0</v>
      </c>
      <c r="O171" s="82">
        <f>72.899408+(95.502959-84.852071)</f>
        <v>83.550296</v>
      </c>
      <c r="P171" s="82">
        <f t="shared" si="25"/>
        <v>16.449704</v>
      </c>
      <c r="Q171" s="78">
        <v>1.0</v>
      </c>
      <c r="R171" s="83">
        <f t="shared" ref="R171:R180" si="64">P171/M171/100*101053/Q171</f>
        <v>16622.91938</v>
      </c>
      <c r="S171" s="84" t="s">
        <v>757</v>
      </c>
      <c r="T171" s="83">
        <f t="shared" si="28"/>
        <v>0.9477689368</v>
      </c>
      <c r="U171" s="83">
        <f t="shared" ref="U171:U180" si="65">(R171-K171)*M171*J171/(101053/845)</f>
        <v>-7.660219105</v>
      </c>
    </row>
    <row r="172" ht="26.25" customHeight="1">
      <c r="A172" s="105"/>
      <c r="B172" s="73" t="s">
        <v>31</v>
      </c>
      <c r="C172" s="73" t="s">
        <v>1570</v>
      </c>
      <c r="D172" s="75">
        <v>895.0</v>
      </c>
      <c r="E172" s="75" t="s">
        <v>1573</v>
      </c>
      <c r="F172" s="75" t="s">
        <v>1574</v>
      </c>
      <c r="G172" s="77" t="s">
        <v>1527</v>
      </c>
      <c r="H172" s="77">
        <f>12028*1.5-3444-4102-39-54</f>
        <v>10403</v>
      </c>
      <c r="I172" s="77">
        <v>1.0</v>
      </c>
      <c r="J172" s="78">
        <v>1.0</v>
      </c>
      <c r="K172" s="79">
        <f t="shared" si="2"/>
        <v>10403</v>
      </c>
      <c r="L172" s="80" t="s">
        <v>1527</v>
      </c>
      <c r="M172" s="81">
        <v>1.0</v>
      </c>
      <c r="N172" s="82">
        <v>100.0</v>
      </c>
      <c r="O172" s="82">
        <f>79.408284+(97.278107-86.508876)</f>
        <v>90.177515</v>
      </c>
      <c r="P172" s="82">
        <f t="shared" si="25"/>
        <v>9.822485</v>
      </c>
      <c r="Q172" s="78">
        <v>1.0</v>
      </c>
      <c r="R172" s="83">
        <f t="shared" si="64"/>
        <v>9925.915767</v>
      </c>
      <c r="S172" s="84" t="s">
        <v>757</v>
      </c>
      <c r="T172" s="83">
        <f t="shared" si="28"/>
        <v>0.954139745</v>
      </c>
      <c r="U172" s="83">
        <f t="shared" si="65"/>
        <v>-3.989353872</v>
      </c>
    </row>
    <row r="173" ht="26.25" customHeight="1">
      <c r="A173" s="105"/>
      <c r="B173" s="73" t="s">
        <v>31</v>
      </c>
      <c r="C173" s="73" t="s">
        <v>1570</v>
      </c>
      <c r="D173" s="75">
        <v>895.0</v>
      </c>
      <c r="E173" s="75" t="s">
        <v>1573</v>
      </c>
      <c r="F173" s="76" t="s">
        <v>1575</v>
      </c>
      <c r="G173" s="77" t="s">
        <v>1527</v>
      </c>
      <c r="H173" s="77">
        <f>25586*1.5-3394-38-4021-53-7422-53-5581-53</f>
        <v>17764</v>
      </c>
      <c r="I173" s="77">
        <v>1.0</v>
      </c>
      <c r="J173" s="78">
        <v>1.0</v>
      </c>
      <c r="K173" s="79">
        <f t="shared" si="2"/>
        <v>17764</v>
      </c>
      <c r="L173" s="80" t="s">
        <v>1527</v>
      </c>
      <c r="M173" s="81">
        <v>1.0</v>
      </c>
      <c r="N173" s="82">
        <v>100.0</v>
      </c>
      <c r="O173" s="82">
        <f>60.118343+(97.278107-86.745562)+(79.763314-67.218935)</f>
        <v>83.195267</v>
      </c>
      <c r="P173" s="82">
        <f t="shared" si="25"/>
        <v>16.804733</v>
      </c>
      <c r="Q173" s="78">
        <v>1.0</v>
      </c>
      <c r="R173" s="83">
        <f t="shared" si="64"/>
        <v>16981.68684</v>
      </c>
      <c r="S173" s="84" t="s">
        <v>757</v>
      </c>
      <c r="T173" s="83">
        <f t="shared" si="28"/>
        <v>0.9559607542</v>
      </c>
      <c r="U173" s="83">
        <f t="shared" si="65"/>
        <v>-6.541662509</v>
      </c>
    </row>
    <row r="174" ht="26.25" customHeight="1">
      <c r="A174" s="105"/>
      <c r="B174" s="73" t="s">
        <v>31</v>
      </c>
      <c r="C174" s="73" t="s">
        <v>1570</v>
      </c>
      <c r="D174" s="75">
        <v>1521.0</v>
      </c>
      <c r="E174" s="75" t="s">
        <v>1576</v>
      </c>
      <c r="F174" s="76" t="s">
        <v>1577</v>
      </c>
      <c r="G174" s="77" t="s">
        <v>1527</v>
      </c>
      <c r="H174" s="77">
        <f>7011*1.5</f>
        <v>10516.5</v>
      </c>
      <c r="I174" s="77">
        <v>1.0</v>
      </c>
      <c r="J174" s="78">
        <v>1.0</v>
      </c>
      <c r="K174" s="79">
        <f t="shared" si="2"/>
        <v>10516.5</v>
      </c>
      <c r="L174" s="80" t="s">
        <v>1527</v>
      </c>
      <c r="M174" s="81">
        <v>1.0</v>
      </c>
      <c r="N174" s="82">
        <v>100.0</v>
      </c>
      <c r="O174" s="82">
        <v>89.822485</v>
      </c>
      <c r="P174" s="82">
        <f t="shared" si="25"/>
        <v>10.177515</v>
      </c>
      <c r="Q174" s="78">
        <v>1.0</v>
      </c>
      <c r="R174" s="83">
        <f t="shared" si="64"/>
        <v>10284.68423</v>
      </c>
      <c r="S174" s="84" t="s">
        <v>757</v>
      </c>
      <c r="T174" s="83">
        <f t="shared" si="28"/>
        <v>0.977956947</v>
      </c>
      <c r="U174" s="83">
        <f t="shared" si="65"/>
        <v>-1.938431547</v>
      </c>
    </row>
    <row r="175" ht="26.25" customHeight="1">
      <c r="A175" s="105"/>
      <c r="B175" s="73" t="s">
        <v>31</v>
      </c>
      <c r="C175" s="73" t="s">
        <v>1570</v>
      </c>
      <c r="D175" s="75">
        <v>895.0</v>
      </c>
      <c r="E175" s="75" t="s">
        <v>1578</v>
      </c>
      <c r="F175" s="75" t="s">
        <v>1579</v>
      </c>
      <c r="G175" s="77" t="s">
        <v>1527</v>
      </c>
      <c r="H175" s="77">
        <f>4104*1.5</f>
        <v>6156</v>
      </c>
      <c r="I175" s="77">
        <v>1.0</v>
      </c>
      <c r="J175" s="78">
        <v>1.0</v>
      </c>
      <c r="K175" s="79">
        <f t="shared" si="2"/>
        <v>6156</v>
      </c>
      <c r="L175" s="80" t="s">
        <v>1527</v>
      </c>
      <c r="M175" s="81">
        <v>1.0</v>
      </c>
      <c r="N175" s="82">
        <v>100.0</v>
      </c>
      <c r="O175" s="82">
        <v>91.005917</v>
      </c>
      <c r="P175" s="82">
        <f t="shared" si="25"/>
        <v>8.994083</v>
      </c>
      <c r="Q175" s="78">
        <v>1.0</v>
      </c>
      <c r="R175" s="83">
        <f t="shared" si="64"/>
        <v>9088.790694</v>
      </c>
      <c r="S175" s="84" t="s">
        <v>757</v>
      </c>
      <c r="T175" s="83">
        <f t="shared" si="28"/>
        <v>1.476411744</v>
      </c>
      <c r="U175" s="83">
        <f t="shared" si="65"/>
        <v>24.52384527</v>
      </c>
    </row>
    <row r="176" ht="26.25" customHeight="1">
      <c r="A176" s="105"/>
      <c r="B176" s="73" t="s">
        <v>31</v>
      </c>
      <c r="C176" s="73" t="s">
        <v>1570</v>
      </c>
      <c r="D176" s="75">
        <v>895.0</v>
      </c>
      <c r="E176" s="75" t="s">
        <v>1580</v>
      </c>
      <c r="F176" s="76" t="s">
        <v>1581</v>
      </c>
      <c r="G176" s="77" t="s">
        <v>1527</v>
      </c>
      <c r="H176" s="77">
        <f>6526*1.5</f>
        <v>9789</v>
      </c>
      <c r="I176" s="77">
        <v>1.0</v>
      </c>
      <c r="J176" s="78">
        <v>1.0</v>
      </c>
      <c r="K176" s="79">
        <f t="shared" si="2"/>
        <v>9789</v>
      </c>
      <c r="L176" s="80" t="s">
        <v>1527</v>
      </c>
      <c r="M176" s="81">
        <v>1.0</v>
      </c>
      <c r="N176" s="82">
        <v>100.0</v>
      </c>
      <c r="O176" s="82">
        <v>89.349112</v>
      </c>
      <c r="P176" s="82">
        <f t="shared" si="25"/>
        <v>10.650888</v>
      </c>
      <c r="Q176" s="78">
        <v>1.0</v>
      </c>
      <c r="R176" s="83">
        <f t="shared" si="64"/>
        <v>10763.04185</v>
      </c>
      <c r="S176" s="84" t="s">
        <v>757</v>
      </c>
      <c r="T176" s="83">
        <f t="shared" si="28"/>
        <v>1.099503713</v>
      </c>
      <c r="U176" s="83">
        <f t="shared" si="65"/>
        <v>8.144887968</v>
      </c>
    </row>
    <row r="177" ht="26.25" customHeight="1">
      <c r="A177" s="105"/>
      <c r="B177" s="73" t="s">
        <v>31</v>
      </c>
      <c r="C177" s="73" t="s">
        <v>1582</v>
      </c>
      <c r="D177" s="75">
        <v>587.0</v>
      </c>
      <c r="E177" s="75" t="s">
        <v>1583</v>
      </c>
      <c r="F177" s="75" t="s">
        <v>1584</v>
      </c>
      <c r="G177" s="77" t="s">
        <v>1527</v>
      </c>
      <c r="H177" s="77">
        <f>5992*1.5</f>
        <v>8988</v>
      </c>
      <c r="I177" s="77">
        <v>1.0</v>
      </c>
      <c r="J177" s="78">
        <v>1.0</v>
      </c>
      <c r="K177" s="79">
        <f t="shared" si="2"/>
        <v>8988</v>
      </c>
      <c r="L177" s="80" t="s">
        <v>1527</v>
      </c>
      <c r="M177" s="81">
        <v>1.0</v>
      </c>
      <c r="N177" s="82">
        <v>100.0</v>
      </c>
      <c r="O177" s="82">
        <v>91.47929</v>
      </c>
      <c r="P177" s="82">
        <f t="shared" si="25"/>
        <v>8.52071</v>
      </c>
      <c r="Q177" s="78">
        <v>1.0</v>
      </c>
      <c r="R177" s="83">
        <f t="shared" si="64"/>
        <v>8610.433076</v>
      </c>
      <c r="S177" s="84" t="s">
        <v>757</v>
      </c>
      <c r="T177" s="83">
        <f t="shared" si="28"/>
        <v>0.9579921091</v>
      </c>
      <c r="U177" s="83">
        <f t="shared" si="65"/>
        <v>-3.157195239</v>
      </c>
    </row>
    <row r="178" ht="26.25" customHeight="1">
      <c r="A178" s="105"/>
      <c r="B178" s="73" t="s">
        <v>31</v>
      </c>
      <c r="C178" s="73" t="s">
        <v>1582</v>
      </c>
      <c r="D178" s="75">
        <v>997.0</v>
      </c>
      <c r="E178" s="75" t="s">
        <v>1585</v>
      </c>
      <c r="F178" s="76" t="s">
        <v>1586</v>
      </c>
      <c r="G178" s="77" t="s">
        <v>1527</v>
      </c>
      <c r="H178" s="77">
        <f>8442*1.5</f>
        <v>12663</v>
      </c>
      <c r="I178" s="77">
        <v>1.0</v>
      </c>
      <c r="J178" s="78">
        <v>1.0</v>
      </c>
      <c r="K178" s="79">
        <f t="shared" si="2"/>
        <v>12663</v>
      </c>
      <c r="L178" s="80" t="s">
        <v>1527</v>
      </c>
      <c r="M178" s="81">
        <v>1.0</v>
      </c>
      <c r="N178" s="82">
        <v>100.0</v>
      </c>
      <c r="O178" s="82">
        <v>87.928994</v>
      </c>
      <c r="P178" s="82">
        <f t="shared" si="25"/>
        <v>12.071006</v>
      </c>
      <c r="Q178" s="78">
        <v>1.0</v>
      </c>
      <c r="R178" s="83">
        <f t="shared" si="64"/>
        <v>12198.11369</v>
      </c>
      <c r="S178" s="84" t="s">
        <v>757</v>
      </c>
      <c r="T178" s="83">
        <f t="shared" si="28"/>
        <v>0.9632878223</v>
      </c>
      <c r="U178" s="83">
        <f t="shared" si="65"/>
        <v>-3.88735544</v>
      </c>
    </row>
    <row r="179" ht="26.25" customHeight="1">
      <c r="A179" s="105"/>
      <c r="B179" s="73" t="s">
        <v>31</v>
      </c>
      <c r="C179" s="73" t="s">
        <v>1582</v>
      </c>
      <c r="D179" s="75">
        <v>587.0</v>
      </c>
      <c r="E179" s="75" t="s">
        <v>1583</v>
      </c>
      <c r="F179" s="76" t="s">
        <v>1587</v>
      </c>
      <c r="G179" s="77" t="s">
        <v>1527</v>
      </c>
      <c r="H179" s="77">
        <f>7257*1.5</f>
        <v>10885.5</v>
      </c>
      <c r="I179" s="77">
        <v>1.0</v>
      </c>
      <c r="J179" s="78">
        <v>1.0</v>
      </c>
      <c r="K179" s="79">
        <f t="shared" si="2"/>
        <v>10885.5</v>
      </c>
      <c r="L179" s="80" t="s">
        <v>1527</v>
      </c>
      <c r="M179" s="81">
        <v>1.0</v>
      </c>
      <c r="N179" s="82">
        <v>100.0</v>
      </c>
      <c r="O179" s="82">
        <v>89.704142</v>
      </c>
      <c r="P179" s="82">
        <f t="shared" si="25"/>
        <v>10.295858</v>
      </c>
      <c r="Q179" s="78">
        <v>1.0</v>
      </c>
      <c r="R179" s="83">
        <f t="shared" si="64"/>
        <v>10404.27338</v>
      </c>
      <c r="S179" s="84" t="s">
        <v>757</v>
      </c>
      <c r="T179" s="83">
        <f t="shared" si="28"/>
        <v>0.9557919604</v>
      </c>
      <c r="U179" s="83">
        <f t="shared" si="65"/>
        <v>-4.02399226</v>
      </c>
    </row>
    <row r="180" ht="26.25" customHeight="1">
      <c r="A180" s="105"/>
      <c r="B180" s="73" t="s">
        <v>31</v>
      </c>
      <c r="C180" s="73" t="s">
        <v>1582</v>
      </c>
      <c r="D180" s="75">
        <v>997.0</v>
      </c>
      <c r="E180" s="75" t="s">
        <v>1585</v>
      </c>
      <c r="F180" s="76" t="s">
        <v>1588</v>
      </c>
      <c r="G180" s="77" t="s">
        <v>1527</v>
      </c>
      <c r="H180" s="77">
        <f>9710*1.5</f>
        <v>14565</v>
      </c>
      <c r="I180" s="77">
        <v>1.0</v>
      </c>
      <c r="J180" s="78">
        <v>1.0</v>
      </c>
      <c r="K180" s="79">
        <f t="shared" si="2"/>
        <v>14565</v>
      </c>
      <c r="L180" s="80" t="s">
        <v>1527</v>
      </c>
      <c r="M180" s="81">
        <v>1.0</v>
      </c>
      <c r="N180" s="82">
        <v>100.0</v>
      </c>
      <c r="O180" s="82">
        <v>86.153846</v>
      </c>
      <c r="P180" s="82">
        <f t="shared" si="25"/>
        <v>13.846154</v>
      </c>
      <c r="Q180" s="78">
        <v>1.0</v>
      </c>
      <c r="R180" s="83">
        <f t="shared" si="64"/>
        <v>13991.954</v>
      </c>
      <c r="S180" s="84" t="s">
        <v>757</v>
      </c>
      <c r="T180" s="83">
        <f t="shared" si="28"/>
        <v>0.9606559562</v>
      </c>
      <c r="U180" s="83">
        <f t="shared" si="65"/>
        <v>-4.79178123</v>
      </c>
    </row>
    <row r="181" ht="26.25" customHeight="1">
      <c r="A181" s="105"/>
      <c r="B181" s="73" t="s">
        <v>31</v>
      </c>
      <c r="C181" s="73" t="s">
        <v>1589</v>
      </c>
      <c r="D181" s="75">
        <v>2581.0</v>
      </c>
      <c r="E181" s="75"/>
      <c r="F181" s="75" t="s">
        <v>1491</v>
      </c>
      <c r="G181" s="77" t="s">
        <v>658</v>
      </c>
      <c r="H181" s="77">
        <f>2581*15</f>
        <v>38715</v>
      </c>
      <c r="I181" s="77">
        <v>1.0</v>
      </c>
      <c r="J181" s="78">
        <f t="shared" ref="J181:J182" si="66">37425/11881</f>
        <v>3.149987375</v>
      </c>
      <c r="K181" s="79">
        <f t="shared" si="2"/>
        <v>12290.52545</v>
      </c>
      <c r="L181" s="80" t="s">
        <v>658</v>
      </c>
      <c r="M181" s="81">
        <v>1.0</v>
      </c>
      <c r="N181" s="82">
        <v>90.023753</v>
      </c>
      <c r="O181" s="82">
        <v>74.465558</v>
      </c>
      <c r="P181" s="82">
        <f t="shared" si="25"/>
        <v>15.558195</v>
      </c>
      <c r="Q181" s="78">
        <f>37425/11881</f>
        <v>3.149987375</v>
      </c>
      <c r="R181" s="83">
        <f t="shared" ref="R181:R182" si="67">IFS(L181="S",P181/M181/100*249945/Q181,L181="R",P181/M181/100*170255/Q181)</f>
        <v>12345.10678</v>
      </c>
      <c r="S181" s="84" t="s">
        <v>705</v>
      </c>
      <c r="T181" s="83">
        <f t="shared" si="28"/>
        <v>1.004440927</v>
      </c>
      <c r="U181" s="83">
        <f t="shared" ref="U181:U182" si="68">IFS(L181="S",(R181-K181)*M181*J181/(249945/845),L181="R",(R181-K181)*M181*J181/(170255/845))</f>
        <v>0.5812529411</v>
      </c>
    </row>
    <row r="182" ht="26.25" customHeight="1">
      <c r="A182" s="105"/>
      <c r="B182" s="73" t="s">
        <v>31</v>
      </c>
      <c r="C182" s="73" t="s">
        <v>1589</v>
      </c>
      <c r="D182" s="75">
        <v>4387.0</v>
      </c>
      <c r="E182" s="75"/>
      <c r="F182" s="76" t="s">
        <v>1590</v>
      </c>
      <c r="G182" s="77" t="s">
        <v>658</v>
      </c>
      <c r="H182" s="77">
        <f>4387*15</f>
        <v>65805</v>
      </c>
      <c r="I182" s="77">
        <v>1.0</v>
      </c>
      <c r="J182" s="78">
        <f t="shared" si="66"/>
        <v>3.149987375</v>
      </c>
      <c r="K182" s="79">
        <f t="shared" si="2"/>
        <v>20890.55992</v>
      </c>
      <c r="L182" s="80" t="s">
        <v>658</v>
      </c>
      <c r="M182" s="81">
        <v>1.0</v>
      </c>
      <c r="N182" s="82">
        <v>88.123515</v>
      </c>
      <c r="O182" s="82">
        <v>61.75772</v>
      </c>
      <c r="P182" s="82">
        <f t="shared" si="25"/>
        <v>26.365795</v>
      </c>
      <c r="Q182" s="78">
        <v>3.15</v>
      </c>
      <c r="R182" s="83">
        <f t="shared" si="67"/>
        <v>20920.63058</v>
      </c>
      <c r="S182" s="84" t="s">
        <v>705</v>
      </c>
      <c r="T182" s="83">
        <f t="shared" si="28"/>
        <v>1.001439438</v>
      </c>
      <c r="U182" s="83">
        <f t="shared" si="68"/>
        <v>0.3202314383</v>
      </c>
    </row>
    <row r="183" ht="26.25" customHeight="1">
      <c r="A183" s="105"/>
      <c r="B183" s="73" t="s">
        <v>31</v>
      </c>
      <c r="C183" s="73" t="s">
        <v>1591</v>
      </c>
      <c r="D183" s="75">
        <v>676.0</v>
      </c>
      <c r="E183" s="75" t="s">
        <v>1592</v>
      </c>
      <c r="F183" s="76" t="s">
        <v>1593</v>
      </c>
      <c r="G183" s="77" t="s">
        <v>1501</v>
      </c>
      <c r="H183" s="77">
        <f>11118*1.5</f>
        <v>16677</v>
      </c>
      <c r="I183" s="77">
        <v>1.0</v>
      </c>
      <c r="J183" s="78">
        <v>1.0</v>
      </c>
      <c r="K183" s="79">
        <f t="shared" si="2"/>
        <v>16677</v>
      </c>
      <c r="L183" s="80" t="s">
        <v>1501</v>
      </c>
      <c r="M183" s="81">
        <v>1.0</v>
      </c>
      <c r="N183" s="82">
        <v>100.0</v>
      </c>
      <c r="O183" s="82">
        <v>85.325444</v>
      </c>
      <c r="P183" s="82">
        <f t="shared" si="25"/>
        <v>14.674556</v>
      </c>
      <c r="Q183" s="78">
        <v>1.0</v>
      </c>
      <c r="R183" s="83">
        <f>P183/M183/100*112393/Q183</f>
        <v>16493.17373</v>
      </c>
      <c r="S183" s="84" t="s">
        <v>1294</v>
      </c>
      <c r="T183" s="83">
        <f t="shared" si="28"/>
        <v>0.9889772576</v>
      </c>
      <c r="U183" s="83">
        <f>(R183-K183)*M183*J183/(112393/845)</f>
        <v>-1.382054063</v>
      </c>
    </row>
    <row r="184" ht="26.25" customHeight="1">
      <c r="A184" s="105"/>
      <c r="B184" s="73" t="s">
        <v>31</v>
      </c>
      <c r="C184" s="73" t="s">
        <v>1591</v>
      </c>
      <c r="D184" s="75">
        <v>676.0</v>
      </c>
      <c r="E184" s="75" t="s">
        <v>1592</v>
      </c>
      <c r="F184" s="75" t="s">
        <v>1594</v>
      </c>
      <c r="G184" s="77" t="s">
        <v>1527</v>
      </c>
      <c r="H184" s="77">
        <f>14018*1.5</f>
        <v>21027</v>
      </c>
      <c r="I184" s="77">
        <v>1.0</v>
      </c>
      <c r="J184" s="78">
        <v>1.0</v>
      </c>
      <c r="K184" s="79">
        <f t="shared" si="2"/>
        <v>21027</v>
      </c>
      <c r="L184" s="80" t="s">
        <v>1527</v>
      </c>
      <c r="M184" s="81">
        <v>1.0</v>
      </c>
      <c r="N184" s="82">
        <v>100.0</v>
      </c>
      <c r="O184" s="82">
        <v>79.408284</v>
      </c>
      <c r="P184" s="82">
        <f t="shared" si="25"/>
        <v>20.591716</v>
      </c>
      <c r="Q184" s="78">
        <v>1.0</v>
      </c>
      <c r="R184" s="83">
        <f t="shared" ref="R184:R185" si="69">P184/M184/100*101053/Q184</f>
        <v>20808.54677</v>
      </c>
      <c r="S184" s="84" t="s">
        <v>1294</v>
      </c>
      <c r="T184" s="83">
        <f t="shared" si="28"/>
        <v>0.9896108227</v>
      </c>
      <c r="U184" s="83">
        <f t="shared" ref="U184:U185" si="70">(R184-K184)*M184*J184/(101053/845)</f>
        <v>-1.826694703</v>
      </c>
    </row>
    <row r="185" ht="26.25" customHeight="1">
      <c r="A185" s="105"/>
      <c r="B185" s="73" t="s">
        <v>31</v>
      </c>
      <c r="C185" s="73" t="s">
        <v>1591</v>
      </c>
      <c r="D185" s="75">
        <v>209.0</v>
      </c>
      <c r="E185" s="75" t="s">
        <v>1595</v>
      </c>
      <c r="F185" s="75" t="s">
        <v>1596</v>
      </c>
      <c r="G185" s="77" t="s">
        <v>1527</v>
      </c>
      <c r="H185" s="77">
        <f>18152*1.5</f>
        <v>27228</v>
      </c>
      <c r="I185" s="77">
        <v>1.0</v>
      </c>
      <c r="J185" s="78">
        <v>1.0</v>
      </c>
      <c r="K185" s="79">
        <f t="shared" si="2"/>
        <v>27228</v>
      </c>
      <c r="L185" s="80" t="s">
        <v>1527</v>
      </c>
      <c r="M185" s="81">
        <v>1.0</v>
      </c>
      <c r="N185" s="82">
        <v>100.0</v>
      </c>
      <c r="O185" s="82">
        <v>73.609467</v>
      </c>
      <c r="P185" s="82">
        <f t="shared" si="25"/>
        <v>26.390533</v>
      </c>
      <c r="Q185" s="78">
        <v>1.0</v>
      </c>
      <c r="R185" s="83">
        <f t="shared" si="69"/>
        <v>26668.42531</v>
      </c>
      <c r="S185" s="84" t="s">
        <v>1294</v>
      </c>
      <c r="T185" s="83">
        <f t="shared" si="28"/>
        <v>0.9794485571</v>
      </c>
      <c r="U185" s="83">
        <f t="shared" si="70"/>
        <v>-4.67913482</v>
      </c>
    </row>
    <row r="186" ht="26.25" customHeight="1">
      <c r="A186" s="105"/>
      <c r="B186" s="73" t="s">
        <v>31</v>
      </c>
      <c r="C186" s="73" t="s">
        <v>1591</v>
      </c>
      <c r="D186" s="75">
        <v>647.0</v>
      </c>
      <c r="E186" s="75" t="s">
        <v>1597</v>
      </c>
      <c r="F186" s="75" t="s">
        <v>1598</v>
      </c>
      <c r="G186" s="77" t="s">
        <v>1501</v>
      </c>
      <c r="H186" s="77">
        <f>10799*1.5</f>
        <v>16198.5</v>
      </c>
      <c r="I186" s="77">
        <v>1.0</v>
      </c>
      <c r="J186" s="78">
        <v>1.0</v>
      </c>
      <c r="K186" s="79">
        <f t="shared" si="2"/>
        <v>16198.5</v>
      </c>
      <c r="L186" s="80" t="s">
        <v>1501</v>
      </c>
      <c r="M186" s="81">
        <v>1.0</v>
      </c>
      <c r="N186" s="82">
        <v>100.0</v>
      </c>
      <c r="O186" s="82">
        <v>85.680473</v>
      </c>
      <c r="P186" s="82">
        <f t="shared" si="25"/>
        <v>14.319527</v>
      </c>
      <c r="Q186" s="78">
        <v>1.0</v>
      </c>
      <c r="R186" s="83">
        <f t="shared" ref="R186:R187" si="71">P186/M186/100*112393/Q186</f>
        <v>16094.14598</v>
      </c>
      <c r="S186" s="84" t="s">
        <v>1294</v>
      </c>
      <c r="T186" s="83">
        <f t="shared" si="28"/>
        <v>0.9935577974</v>
      </c>
      <c r="U186" s="83">
        <f t="shared" ref="U186:U187" si="72">(R186-K186)*M186*J186/(112393/845)</f>
        <v>-0.7845608353</v>
      </c>
    </row>
    <row r="187" ht="26.25" customHeight="1">
      <c r="A187" s="105"/>
      <c r="B187" s="73" t="s">
        <v>31</v>
      </c>
      <c r="C187" s="73" t="s">
        <v>1591</v>
      </c>
      <c r="D187" s="75">
        <v>647.0</v>
      </c>
      <c r="E187" s="75" t="s">
        <v>1599</v>
      </c>
      <c r="F187" s="75" t="s">
        <v>1600</v>
      </c>
      <c r="G187" s="77" t="s">
        <v>1501</v>
      </c>
      <c r="H187" s="77">
        <f>9387*1.5</f>
        <v>14080.5</v>
      </c>
      <c r="I187" s="77">
        <v>1.0</v>
      </c>
      <c r="J187" s="78">
        <v>1.0</v>
      </c>
      <c r="K187" s="79">
        <f t="shared" si="2"/>
        <v>14080.5</v>
      </c>
      <c r="L187" s="80" t="s">
        <v>1501</v>
      </c>
      <c r="M187" s="81">
        <v>1.0</v>
      </c>
      <c r="N187" s="82">
        <v>100.0</v>
      </c>
      <c r="O187" s="82">
        <v>87.573964</v>
      </c>
      <c r="P187" s="82">
        <f t="shared" si="25"/>
        <v>12.426036</v>
      </c>
      <c r="Q187" s="78">
        <v>1.0</v>
      </c>
      <c r="R187" s="83">
        <f t="shared" si="71"/>
        <v>13965.99464</v>
      </c>
      <c r="S187" s="84" t="s">
        <v>1294</v>
      </c>
      <c r="T187" s="83">
        <f t="shared" si="28"/>
        <v>0.9918678059</v>
      </c>
      <c r="U187" s="83">
        <f t="shared" si="72"/>
        <v>-0.8608812644</v>
      </c>
    </row>
    <row r="188" ht="26.25" customHeight="1">
      <c r="A188" s="105"/>
      <c r="B188" s="73" t="s">
        <v>31</v>
      </c>
      <c r="C188" s="73" t="s">
        <v>1591</v>
      </c>
      <c r="D188" s="75">
        <v>1099.0</v>
      </c>
      <c r="E188" s="75" t="s">
        <v>1601</v>
      </c>
      <c r="F188" s="76" t="s">
        <v>1602</v>
      </c>
      <c r="G188" s="77" t="s">
        <v>1527</v>
      </c>
      <c r="H188" s="77">
        <f>14602*1.5</f>
        <v>21903</v>
      </c>
      <c r="I188" s="77">
        <v>1.0</v>
      </c>
      <c r="J188" s="78">
        <v>1.0</v>
      </c>
      <c r="K188" s="79">
        <f t="shared" si="2"/>
        <v>21903</v>
      </c>
      <c r="L188" s="80" t="s">
        <v>1527</v>
      </c>
      <c r="M188" s="81">
        <v>1.0</v>
      </c>
      <c r="N188" s="82">
        <v>100.0</v>
      </c>
      <c r="O188" s="82">
        <v>78.579882</v>
      </c>
      <c r="P188" s="82">
        <f t="shared" si="25"/>
        <v>21.420118</v>
      </c>
      <c r="Q188" s="78">
        <v>1.0</v>
      </c>
      <c r="R188" s="83">
        <f t="shared" ref="R188:R189" si="73">P188/M188/100*101053/Q188</f>
        <v>21645.67184</v>
      </c>
      <c r="S188" s="84" t="s">
        <v>1294</v>
      </c>
      <c r="T188" s="83">
        <f t="shared" si="28"/>
        <v>0.9882514652</v>
      </c>
      <c r="U188" s="83">
        <f t="shared" ref="U188:U189" si="74">(R188-K188)*M188*J188/(101053/845)</f>
        <v>-2.151764847</v>
      </c>
    </row>
    <row r="189" ht="26.25" customHeight="1">
      <c r="A189" s="105"/>
      <c r="B189" s="73" t="s">
        <v>31</v>
      </c>
      <c r="C189" s="73" t="s">
        <v>1591</v>
      </c>
      <c r="D189" s="75">
        <v>1209.0</v>
      </c>
      <c r="E189" s="75" t="s">
        <v>1603</v>
      </c>
      <c r="F189" s="76" t="s">
        <v>1604</v>
      </c>
      <c r="G189" s="77" t="s">
        <v>1527</v>
      </c>
      <c r="H189" s="77">
        <f>18356*1.5</f>
        <v>27534</v>
      </c>
      <c r="I189" s="77">
        <v>1.0</v>
      </c>
      <c r="J189" s="78">
        <v>1.0</v>
      </c>
      <c r="K189" s="79">
        <f t="shared" si="2"/>
        <v>27534</v>
      </c>
      <c r="L189" s="80" t="s">
        <v>1527</v>
      </c>
      <c r="M189" s="81">
        <v>1.0</v>
      </c>
      <c r="N189" s="82">
        <v>100.0</v>
      </c>
      <c r="O189" s="82">
        <v>73.136095</v>
      </c>
      <c r="P189" s="82">
        <f t="shared" si="25"/>
        <v>26.863905</v>
      </c>
      <c r="Q189" s="78">
        <v>1.0</v>
      </c>
      <c r="R189" s="83">
        <f t="shared" si="73"/>
        <v>27146.78192</v>
      </c>
      <c r="S189" s="84" t="s">
        <v>1294</v>
      </c>
      <c r="T189" s="83">
        <f t="shared" si="28"/>
        <v>0.9859367298</v>
      </c>
      <c r="U189" s="83">
        <f t="shared" si="74"/>
        <v>-3.237897716</v>
      </c>
    </row>
    <row r="190" ht="26.25" customHeight="1">
      <c r="A190" s="105"/>
      <c r="B190" s="73" t="s">
        <v>31</v>
      </c>
      <c r="C190" s="85" t="s">
        <v>1605</v>
      </c>
      <c r="D190" s="75">
        <v>435.0</v>
      </c>
      <c r="E190" s="75"/>
      <c r="F190" s="75" t="s">
        <v>1491</v>
      </c>
      <c r="G190" s="77" t="s">
        <v>834</v>
      </c>
      <c r="H190" s="77">
        <v>13050.0</v>
      </c>
      <c r="I190" s="77">
        <v>1.0</v>
      </c>
      <c r="J190" s="78">
        <f t="shared" ref="J190:J191" si="75">IFS(G190="S",21494/2048,G190="C",(21494/2048)/(87875/9999)*2*1.3,OR(G190="R",G190="T"),1)</f>
        <v>1</v>
      </c>
      <c r="K190" s="79">
        <f t="shared" si="2"/>
        <v>13050</v>
      </c>
      <c r="L190" s="80" t="s">
        <v>834</v>
      </c>
      <c r="M190" s="81">
        <v>1.0</v>
      </c>
      <c r="N190" s="82">
        <v>100.0</v>
      </c>
      <c r="O190" s="82">
        <v>92.280285</v>
      </c>
      <c r="P190" s="82">
        <f t="shared" si="25"/>
        <v>7.719715</v>
      </c>
      <c r="Q190" s="78">
        <f t="shared" ref="Q190:Q191" si="76">IFS(L190="S",21494/2048,L190="R",1)</f>
        <v>1</v>
      </c>
      <c r="R190" s="83">
        <f t="shared" ref="R190:R193" si="77">IFS(L190="S",P190/M190/100*249945/Q190,L190="R",P190/M190/100*170255/Q190)</f>
        <v>13143.20077</v>
      </c>
      <c r="S190" s="84" t="s">
        <v>705</v>
      </c>
      <c r="T190" s="83">
        <f t="shared" si="28"/>
        <v>1.007141822</v>
      </c>
      <c r="U190" s="83">
        <f t="shared" ref="U190:U193" si="78">IFS(L190="S",(R190-K190)*M190*J190/(249945/845),L190="R",(R190-K190)*M190*J190/(170255/845))</f>
        <v>0.4625688138</v>
      </c>
    </row>
    <row r="191" ht="26.25" customHeight="1">
      <c r="A191" s="105"/>
      <c r="B191" s="73" t="s">
        <v>31</v>
      </c>
      <c r="C191" s="85" t="s">
        <v>1605</v>
      </c>
      <c r="D191" s="75">
        <v>739.0</v>
      </c>
      <c r="E191" s="75"/>
      <c r="F191" s="75" t="s">
        <v>1590</v>
      </c>
      <c r="G191" s="77" t="s">
        <v>834</v>
      </c>
      <c r="H191" s="77">
        <v>21431.0</v>
      </c>
      <c r="I191" s="77">
        <v>1.0</v>
      </c>
      <c r="J191" s="78">
        <f t="shared" si="75"/>
        <v>1</v>
      </c>
      <c r="K191" s="79">
        <f t="shared" si="2"/>
        <v>21431</v>
      </c>
      <c r="L191" s="80" t="s">
        <v>834</v>
      </c>
      <c r="M191" s="81">
        <v>1.0</v>
      </c>
      <c r="N191" s="82">
        <v>100.0</v>
      </c>
      <c r="O191" s="82">
        <v>87.410926</v>
      </c>
      <c r="P191" s="82">
        <f t="shared" si="25"/>
        <v>12.589074</v>
      </c>
      <c r="Q191" s="78">
        <f t="shared" si="76"/>
        <v>1</v>
      </c>
      <c r="R191" s="83">
        <f t="shared" si="77"/>
        <v>21433.52794</v>
      </c>
      <c r="S191" s="84" t="s">
        <v>705</v>
      </c>
      <c r="T191" s="83">
        <f t="shared" si="28"/>
        <v>1.000117957</v>
      </c>
      <c r="U191" s="83">
        <f t="shared" si="78"/>
        <v>0.01254652258</v>
      </c>
    </row>
    <row r="192" ht="26.25" customHeight="1">
      <c r="A192" s="105"/>
      <c r="B192" s="73" t="s">
        <v>31</v>
      </c>
      <c r="C192" s="73" t="s">
        <v>1606</v>
      </c>
      <c r="D192" s="75">
        <v>4537.0</v>
      </c>
      <c r="E192" s="75" t="s">
        <v>1607</v>
      </c>
      <c r="F192" s="76" t="s">
        <v>1049</v>
      </c>
      <c r="G192" s="77" t="s">
        <v>658</v>
      </c>
      <c r="H192" s="77">
        <f>4537*6+537*3+284*3</f>
        <v>29685</v>
      </c>
      <c r="I192" s="77">
        <v>1.0</v>
      </c>
      <c r="J192" s="78">
        <f t="shared" ref="J192:J193" si="79">37425/11881</f>
        <v>3.149987375</v>
      </c>
      <c r="K192" s="79">
        <f t="shared" si="2"/>
        <v>9423.847295</v>
      </c>
      <c r="L192" s="80" t="s">
        <v>658</v>
      </c>
      <c r="M192" s="81">
        <v>1.0</v>
      </c>
      <c r="N192" s="82">
        <v>90.023753</v>
      </c>
      <c r="O192" s="82">
        <v>78.028504</v>
      </c>
      <c r="P192" s="82">
        <f t="shared" si="25"/>
        <v>11.995249</v>
      </c>
      <c r="Q192" s="78">
        <v>3.15</v>
      </c>
      <c r="R192" s="83">
        <f t="shared" si="77"/>
        <v>9517.94448</v>
      </c>
      <c r="S192" s="84" t="s">
        <v>705</v>
      </c>
      <c r="T192" s="83">
        <f t="shared" si="28"/>
        <v>1.009985007</v>
      </c>
      <c r="U192" s="83">
        <f t="shared" si="78"/>
        <v>1.002069176</v>
      </c>
    </row>
    <row r="193" ht="26.25" customHeight="1">
      <c r="A193" s="105"/>
      <c r="B193" s="73" t="s">
        <v>31</v>
      </c>
      <c r="C193" s="73" t="s">
        <v>1606</v>
      </c>
      <c r="D193" s="75">
        <v>7712.0</v>
      </c>
      <c r="E193" s="75" t="s">
        <v>1608</v>
      </c>
      <c r="F193" s="76" t="s">
        <v>1609</v>
      </c>
      <c r="G193" s="77" t="s">
        <v>658</v>
      </c>
      <c r="H193" s="77">
        <f>7712*6+913*3+482*3</f>
        <v>50457</v>
      </c>
      <c r="I193" s="77">
        <v>1.0</v>
      </c>
      <c r="J193" s="78">
        <f t="shared" si="79"/>
        <v>3.149987375</v>
      </c>
      <c r="K193" s="79">
        <f t="shared" si="2"/>
        <v>16018.15944</v>
      </c>
      <c r="L193" s="80" t="s">
        <v>658</v>
      </c>
      <c r="M193" s="81">
        <v>1.0</v>
      </c>
      <c r="N193" s="82">
        <v>88.361045</v>
      </c>
      <c r="O193" s="82">
        <v>68.171021</v>
      </c>
      <c r="P193" s="82">
        <f t="shared" si="25"/>
        <v>20.190024</v>
      </c>
      <c r="Q193" s="78">
        <v>3.15</v>
      </c>
      <c r="R193" s="83">
        <f t="shared" si="77"/>
        <v>16020.30333</v>
      </c>
      <c r="S193" s="84" t="s">
        <v>705</v>
      </c>
      <c r="T193" s="83">
        <f t="shared" si="28"/>
        <v>1.000133841</v>
      </c>
      <c r="U193" s="83">
        <f t="shared" si="78"/>
        <v>0.02283093097</v>
      </c>
    </row>
    <row r="194" ht="26.25" customHeight="1">
      <c r="A194" s="105"/>
      <c r="B194" s="73" t="s">
        <v>31</v>
      </c>
      <c r="C194" s="73" t="s">
        <v>1610</v>
      </c>
      <c r="D194" s="75">
        <v>455.0</v>
      </c>
      <c r="E194" s="75" t="s">
        <v>1611</v>
      </c>
      <c r="F194" s="75" t="s">
        <v>1612</v>
      </c>
      <c r="G194" s="77" t="s">
        <v>1527</v>
      </c>
      <c r="H194" s="77">
        <f>19190*1.5</f>
        <v>28785</v>
      </c>
      <c r="I194" s="77">
        <v>1.0</v>
      </c>
      <c r="J194" s="78">
        <v>1.0</v>
      </c>
      <c r="K194" s="79">
        <f t="shared" si="2"/>
        <v>28785</v>
      </c>
      <c r="L194" s="80" t="s">
        <v>1527</v>
      </c>
      <c r="M194" s="81">
        <v>1.0</v>
      </c>
      <c r="N194" s="82">
        <v>100.0</v>
      </c>
      <c r="O194" s="82">
        <v>72.189349</v>
      </c>
      <c r="P194" s="82">
        <f t="shared" si="25"/>
        <v>27.810651</v>
      </c>
      <c r="Q194" s="78">
        <v>1.0</v>
      </c>
      <c r="R194" s="83">
        <f t="shared" ref="R194:R196" si="80">P194/M194/100*101053/Q194</f>
        <v>28103.49716</v>
      </c>
      <c r="S194" s="84" t="s">
        <v>757</v>
      </c>
      <c r="T194" s="83">
        <f t="shared" si="28"/>
        <v>0.9763243757</v>
      </c>
      <c r="U194" s="83">
        <f t="shared" ref="U194:U196" si="81">(R194-K194)*M194*J194/(101053/845)</f>
        <v>-5.698691815</v>
      </c>
    </row>
    <row r="195" ht="26.25" customHeight="1">
      <c r="A195" s="105"/>
      <c r="B195" s="73" t="s">
        <v>31</v>
      </c>
      <c r="C195" s="73" t="s">
        <v>1610</v>
      </c>
      <c r="D195" s="75">
        <v>673.0</v>
      </c>
      <c r="E195" s="75" t="s">
        <v>1613</v>
      </c>
      <c r="F195" s="76" t="s">
        <v>1500</v>
      </c>
      <c r="G195" s="77" t="s">
        <v>1527</v>
      </c>
      <c r="H195" s="77">
        <f>13815*1.5</f>
        <v>20722.5</v>
      </c>
      <c r="I195" s="77">
        <v>1.0</v>
      </c>
      <c r="J195" s="78">
        <v>1.0</v>
      </c>
      <c r="K195" s="79">
        <f t="shared" si="2"/>
        <v>20722.5</v>
      </c>
      <c r="L195" s="80" t="s">
        <v>1527</v>
      </c>
      <c r="M195" s="81">
        <v>1.0</v>
      </c>
      <c r="N195" s="82">
        <v>100.0</v>
      </c>
      <c r="O195" s="82">
        <v>80.236686</v>
      </c>
      <c r="P195" s="82">
        <f t="shared" si="25"/>
        <v>19.763314</v>
      </c>
      <c r="Q195" s="78">
        <v>1.0</v>
      </c>
      <c r="R195" s="83">
        <f t="shared" si="80"/>
        <v>19971.4217</v>
      </c>
      <c r="S195" s="84" t="s">
        <v>757</v>
      </c>
      <c r="T195" s="83">
        <f t="shared" si="28"/>
        <v>0.9637554203</v>
      </c>
      <c r="U195" s="83">
        <f t="shared" si="81"/>
        <v>-6.280478229</v>
      </c>
    </row>
    <row r="196" ht="26.25" customHeight="1">
      <c r="A196" s="105"/>
      <c r="B196" s="73" t="s">
        <v>31</v>
      </c>
      <c r="C196" s="73" t="s">
        <v>1610</v>
      </c>
      <c r="D196" s="75">
        <v>396.0</v>
      </c>
      <c r="E196" s="75" t="s">
        <v>1614</v>
      </c>
      <c r="F196" s="76"/>
      <c r="G196" s="77" t="s">
        <v>1527</v>
      </c>
      <c r="H196" s="77">
        <f>8493*1.5</f>
        <v>12739.5</v>
      </c>
      <c r="I196" s="77">
        <v>1.0</v>
      </c>
      <c r="J196" s="78">
        <v>1.0</v>
      </c>
      <c r="K196" s="79">
        <f t="shared" si="2"/>
        <v>12739.5</v>
      </c>
      <c r="L196" s="80" t="s">
        <v>1527</v>
      </c>
      <c r="M196" s="81">
        <v>1.0</v>
      </c>
      <c r="N196" s="82">
        <v>100.0</v>
      </c>
      <c r="O196" s="82">
        <v>87.455621</v>
      </c>
      <c r="P196" s="82">
        <f t="shared" si="25"/>
        <v>12.544379</v>
      </c>
      <c r="Q196" s="78">
        <v>1.0</v>
      </c>
      <c r="R196" s="83">
        <f t="shared" si="80"/>
        <v>12676.47131</v>
      </c>
      <c r="S196" s="84" t="s">
        <v>757</v>
      </c>
      <c r="T196" s="83">
        <f t="shared" si="28"/>
        <v>0.995052499</v>
      </c>
      <c r="U196" s="83">
        <f t="shared" si="81"/>
        <v>-0.5270426639</v>
      </c>
    </row>
    <row r="197" ht="26.25" customHeight="1">
      <c r="A197" s="105"/>
      <c r="B197" s="73" t="s">
        <v>31</v>
      </c>
      <c r="C197" s="73" t="s">
        <v>1615</v>
      </c>
      <c r="D197" s="75">
        <v>40327.0</v>
      </c>
      <c r="E197" s="75" t="s">
        <v>1616</v>
      </c>
      <c r="F197" s="76" t="s">
        <v>305</v>
      </c>
      <c r="G197" s="77" t="s">
        <v>658</v>
      </c>
      <c r="H197" s="77">
        <f>40327+880*9+528*4</f>
        <v>50359</v>
      </c>
      <c r="I197" s="77">
        <v>1.0</v>
      </c>
      <c r="J197" s="78">
        <f t="shared" ref="J197:J199" si="82">37425/11881</f>
        <v>3.149987375</v>
      </c>
      <c r="K197" s="79">
        <f t="shared" si="2"/>
        <v>15987.0482</v>
      </c>
      <c r="L197" s="80" t="s">
        <v>658</v>
      </c>
      <c r="M197" s="81">
        <v>1.0</v>
      </c>
      <c r="N197" s="82">
        <v>90.023753</v>
      </c>
      <c r="O197" s="82">
        <v>73.990499</v>
      </c>
      <c r="P197" s="82">
        <f t="shared" si="25"/>
        <v>16.033254</v>
      </c>
      <c r="Q197" s="78">
        <f t="shared" ref="Q197:Q199" si="83">37425/11881</f>
        <v>3.149987375</v>
      </c>
      <c r="R197" s="83">
        <f t="shared" ref="R197:R204" si="84">IFS(L197="S",P197/M197/100*249945/Q197,L197="R",P197/M197/100*170255/Q197)</f>
        <v>12722.05629</v>
      </c>
      <c r="S197" s="84" t="s">
        <v>705</v>
      </c>
      <c r="T197" s="83">
        <f t="shared" si="28"/>
        <v>0.7957726863</v>
      </c>
      <c r="U197" s="83">
        <f t="shared" ref="U197:U204" si="85">IFS(L197="S",(R197-K197)*M197*J197/(249945/845),L197="R",(R197-K197)*M197*J197/(170255/845))</f>
        <v>-34.76987889</v>
      </c>
    </row>
    <row r="198" ht="26.25" customHeight="1">
      <c r="A198" s="105"/>
      <c r="B198" s="73" t="s">
        <v>31</v>
      </c>
      <c r="C198" s="73" t="s">
        <v>1615</v>
      </c>
      <c r="D198" s="75">
        <v>39026.0</v>
      </c>
      <c r="E198" s="75" t="s">
        <v>1617</v>
      </c>
      <c r="F198" s="76" t="s">
        <v>1500</v>
      </c>
      <c r="G198" s="77" t="s">
        <v>658</v>
      </c>
      <c r="H198" s="77">
        <f>39026+851*9+511*4</f>
        <v>48729</v>
      </c>
      <c r="I198" s="77">
        <v>1.0</v>
      </c>
      <c r="J198" s="78">
        <f t="shared" si="82"/>
        <v>3.149987375</v>
      </c>
      <c r="K198" s="79">
        <f t="shared" si="2"/>
        <v>15469.58581</v>
      </c>
      <c r="L198" s="80" t="s">
        <v>658</v>
      </c>
      <c r="M198" s="81">
        <v>1.0</v>
      </c>
      <c r="N198" s="82">
        <v>90.023753</v>
      </c>
      <c r="O198" s="82">
        <v>74.228029</v>
      </c>
      <c r="P198" s="82">
        <f t="shared" si="25"/>
        <v>15.795724</v>
      </c>
      <c r="Q198" s="78">
        <f t="shared" si="83"/>
        <v>3.149987375</v>
      </c>
      <c r="R198" s="83">
        <f t="shared" si="84"/>
        <v>12533.58114</v>
      </c>
      <c r="S198" s="84" t="s">
        <v>705</v>
      </c>
      <c r="T198" s="83">
        <f t="shared" si="28"/>
        <v>0.8102079327</v>
      </c>
      <c r="U198" s="83">
        <f t="shared" si="85"/>
        <v>-31.26639506</v>
      </c>
    </row>
    <row r="199" ht="26.25" customHeight="1">
      <c r="A199" s="105"/>
      <c r="B199" s="73" t="s">
        <v>31</v>
      </c>
      <c r="C199" s="73" t="s">
        <v>1615</v>
      </c>
      <c r="D199" s="75">
        <v>26017.0</v>
      </c>
      <c r="E199" s="75" t="s">
        <v>1618</v>
      </c>
      <c r="F199" s="76"/>
      <c r="G199" s="77" t="s">
        <v>658</v>
      </c>
      <c r="H199" s="77">
        <f>26017+568*9+341*4</f>
        <v>32493</v>
      </c>
      <c r="I199" s="77">
        <v>1.0</v>
      </c>
      <c r="J199" s="78">
        <f t="shared" si="82"/>
        <v>3.149987375</v>
      </c>
      <c r="K199" s="79">
        <f t="shared" si="2"/>
        <v>10315.27944</v>
      </c>
      <c r="L199" s="80" t="s">
        <v>658</v>
      </c>
      <c r="M199" s="81">
        <v>1.0</v>
      </c>
      <c r="N199" s="82">
        <v>90.023753</v>
      </c>
      <c r="O199" s="82">
        <v>79.691211</v>
      </c>
      <c r="P199" s="82">
        <f t="shared" si="25"/>
        <v>10.332542</v>
      </c>
      <c r="Q199" s="78">
        <f t="shared" si="83"/>
        <v>3.149987375</v>
      </c>
      <c r="R199" s="83">
        <f t="shared" si="84"/>
        <v>8198.658924</v>
      </c>
      <c r="S199" s="84" t="s">
        <v>705</v>
      </c>
      <c r="T199" s="83">
        <f t="shared" si="28"/>
        <v>0.7948072539</v>
      </c>
      <c r="U199" s="83">
        <f t="shared" si="85"/>
        <v>-22.54052721</v>
      </c>
    </row>
    <row r="200" ht="26.25" customHeight="1">
      <c r="A200" s="105"/>
      <c r="B200" s="73" t="s">
        <v>31</v>
      </c>
      <c r="C200" s="73" t="s">
        <v>1619</v>
      </c>
      <c r="D200" s="75">
        <v>15500.0</v>
      </c>
      <c r="E200" s="75" t="s">
        <v>1620</v>
      </c>
      <c r="F200" s="75" t="s">
        <v>1621</v>
      </c>
      <c r="G200" s="77" t="s">
        <v>658</v>
      </c>
      <c r="H200" s="77">
        <f>15500+9618</f>
        <v>25118</v>
      </c>
      <c r="I200" s="77">
        <v>1.0</v>
      </c>
      <c r="J200" s="78">
        <f t="shared" ref="J200:J201" si="86">IFS(G200="S",21494/2048,G200="C",(21494/2048)/(87875/9999)*2*1.3,OR(G200="R",G200="T"),1)</f>
        <v>10.49511719</v>
      </c>
      <c r="K200" s="79">
        <f t="shared" si="2"/>
        <v>2393.303434</v>
      </c>
      <c r="L200" s="80" t="s">
        <v>658</v>
      </c>
      <c r="M200" s="81">
        <v>2.0</v>
      </c>
      <c r="N200" s="82">
        <v>83.016627</v>
      </c>
      <c r="O200" s="82">
        <v>66.864608</v>
      </c>
      <c r="P200" s="82">
        <f t="shared" si="25"/>
        <v>16.152019</v>
      </c>
      <c r="Q200" s="78">
        <f t="shared" ref="Q200:Q201" si="87">IFS(L200="S",21494/2048,L200="R",1)</f>
        <v>10.49511719</v>
      </c>
      <c r="R200" s="83">
        <f t="shared" si="84"/>
        <v>1923.330782</v>
      </c>
      <c r="S200" s="84" t="s">
        <v>705</v>
      </c>
      <c r="T200" s="83">
        <f t="shared" si="28"/>
        <v>0.8036301435</v>
      </c>
      <c r="U200" s="83">
        <f t="shared" si="85"/>
        <v>-33.35048316</v>
      </c>
    </row>
    <row r="201" ht="26.25" customHeight="1">
      <c r="A201" s="105"/>
      <c r="B201" s="73" t="s">
        <v>31</v>
      </c>
      <c r="C201" s="73" t="s">
        <v>1619</v>
      </c>
      <c r="D201" s="75">
        <v>6733.0</v>
      </c>
      <c r="E201" s="75"/>
      <c r="F201" s="76" t="s">
        <v>1622</v>
      </c>
      <c r="G201" s="77" t="s">
        <v>658</v>
      </c>
      <c r="H201" s="77">
        <v>6733.0</v>
      </c>
      <c r="I201" s="77">
        <v>1.0</v>
      </c>
      <c r="J201" s="78">
        <f t="shared" si="86"/>
        <v>10.49511719</v>
      </c>
      <c r="K201" s="79">
        <f t="shared" si="2"/>
        <v>641.5364288</v>
      </c>
      <c r="L201" s="80" t="s">
        <v>658</v>
      </c>
      <c r="M201" s="81">
        <v>8.0</v>
      </c>
      <c r="N201" s="82">
        <v>88.123515</v>
      </c>
      <c r="O201" s="82">
        <v>70.902613</v>
      </c>
      <c r="P201" s="82">
        <f t="shared" si="25"/>
        <v>17.220902</v>
      </c>
      <c r="Q201" s="78">
        <f t="shared" si="87"/>
        <v>10.49511719</v>
      </c>
      <c r="R201" s="83">
        <f t="shared" si="84"/>
        <v>512.652488</v>
      </c>
      <c r="S201" s="84" t="s">
        <v>705</v>
      </c>
      <c r="T201" s="83">
        <f t="shared" si="28"/>
        <v>0.7991011344</v>
      </c>
      <c r="U201" s="83">
        <f t="shared" si="85"/>
        <v>-36.58376018</v>
      </c>
    </row>
    <row r="202" ht="26.25" customHeight="1">
      <c r="A202" s="105"/>
      <c r="B202" s="73" t="s">
        <v>31</v>
      </c>
      <c r="C202" s="73" t="s">
        <v>1619</v>
      </c>
      <c r="D202" s="75">
        <v>5316.0</v>
      </c>
      <c r="E202" s="75" t="s">
        <v>1623</v>
      </c>
      <c r="F202" s="76" t="s">
        <v>1624</v>
      </c>
      <c r="G202" s="77" t="s">
        <v>658</v>
      </c>
      <c r="H202" s="77">
        <f>5316+22+7442+6113*2+25*2+8559*2</f>
        <v>42174</v>
      </c>
      <c r="I202" s="77">
        <v>1.0</v>
      </c>
      <c r="J202" s="78">
        <f t="shared" ref="J202:J204" si="88">37425/11881</f>
        <v>3.149987375</v>
      </c>
      <c r="K202" s="79">
        <f t="shared" si="2"/>
        <v>13388.62509</v>
      </c>
      <c r="L202" s="80" t="s">
        <v>658</v>
      </c>
      <c r="M202" s="81">
        <v>1.0</v>
      </c>
      <c r="N202" s="82">
        <v>90.023753</v>
      </c>
      <c r="O202" s="82">
        <v>76.484561</v>
      </c>
      <c r="P202" s="82">
        <f t="shared" si="25"/>
        <v>13.539192</v>
      </c>
      <c r="Q202" s="78">
        <f t="shared" ref="Q202:Q204" si="89">37425/11881</f>
        <v>3.149987375</v>
      </c>
      <c r="R202" s="83">
        <f t="shared" si="84"/>
        <v>10743.06955</v>
      </c>
      <c r="S202" s="84" t="s">
        <v>705</v>
      </c>
      <c r="T202" s="83">
        <f t="shared" si="28"/>
        <v>0.8024027468</v>
      </c>
      <c r="U202" s="83">
        <f t="shared" si="85"/>
        <v>-28.17331509</v>
      </c>
    </row>
    <row r="203" ht="26.25" customHeight="1">
      <c r="A203" s="105"/>
      <c r="B203" s="73" t="s">
        <v>31</v>
      </c>
      <c r="C203" s="73" t="s">
        <v>1619</v>
      </c>
      <c r="D203" s="75">
        <v>4253.0</v>
      </c>
      <c r="E203" s="75" t="s">
        <v>1625</v>
      </c>
      <c r="F203" s="75" t="s">
        <v>1422</v>
      </c>
      <c r="G203" s="77" t="s">
        <v>658</v>
      </c>
      <c r="H203" s="77">
        <f>4253+18+5954+4891*2+20*2+6847*2</f>
        <v>33741</v>
      </c>
      <c r="I203" s="77">
        <v>1.0</v>
      </c>
      <c r="J203" s="78">
        <f t="shared" si="88"/>
        <v>3.149987375</v>
      </c>
      <c r="K203" s="79">
        <f t="shared" si="2"/>
        <v>10711.4715</v>
      </c>
      <c r="L203" s="80" t="s">
        <v>658</v>
      </c>
      <c r="M203" s="81">
        <v>1.0</v>
      </c>
      <c r="N203" s="82">
        <v>90.023753</v>
      </c>
      <c r="O203" s="82">
        <v>79.216152</v>
      </c>
      <c r="P203" s="82">
        <f t="shared" si="25"/>
        <v>10.807601</v>
      </c>
      <c r="Q203" s="78">
        <f t="shared" si="89"/>
        <v>3.149987375</v>
      </c>
      <c r="R203" s="83">
        <f t="shared" si="84"/>
        <v>8575.608441</v>
      </c>
      <c r="S203" s="84" t="s">
        <v>705</v>
      </c>
      <c r="T203" s="83">
        <f t="shared" si="28"/>
        <v>0.8006004066</v>
      </c>
      <c r="U203" s="83">
        <f t="shared" si="85"/>
        <v>-22.74544688</v>
      </c>
    </row>
    <row r="204" ht="26.25" customHeight="1">
      <c r="A204" s="105"/>
      <c r="B204" s="73" t="s">
        <v>31</v>
      </c>
      <c r="C204" s="73" t="s">
        <v>1619</v>
      </c>
      <c r="D204" s="75">
        <v>5529.0</v>
      </c>
      <c r="E204" s="75" t="s">
        <v>1626</v>
      </c>
      <c r="F204" s="75" t="s">
        <v>1627</v>
      </c>
      <c r="G204" s="77" t="s">
        <v>658</v>
      </c>
      <c r="H204" s="77">
        <f>5529*3+7740*3+23*3</f>
        <v>39876</v>
      </c>
      <c r="I204" s="77">
        <v>1.0</v>
      </c>
      <c r="J204" s="78">
        <f t="shared" si="88"/>
        <v>3.149987375</v>
      </c>
      <c r="K204" s="79">
        <f t="shared" si="2"/>
        <v>12659.09836</v>
      </c>
      <c r="L204" s="80" t="s">
        <v>658</v>
      </c>
      <c r="M204" s="81">
        <v>1.0</v>
      </c>
      <c r="N204" s="82">
        <v>88.71734</v>
      </c>
      <c r="O204" s="82">
        <v>76.009501</v>
      </c>
      <c r="P204" s="82">
        <f t="shared" si="25"/>
        <v>12.707839</v>
      </c>
      <c r="Q204" s="78">
        <f t="shared" si="89"/>
        <v>3.149987375</v>
      </c>
      <c r="R204" s="83">
        <f t="shared" si="84"/>
        <v>10083.40809</v>
      </c>
      <c r="S204" s="84" t="s">
        <v>705</v>
      </c>
      <c r="T204" s="83">
        <f t="shared" si="28"/>
        <v>0.7965344615</v>
      </c>
      <c r="U204" s="83">
        <f t="shared" si="85"/>
        <v>-27.42929877</v>
      </c>
    </row>
    <row r="205" ht="26.25" customHeight="1">
      <c r="A205" s="105"/>
      <c r="B205" s="73" t="s">
        <v>31</v>
      </c>
      <c r="C205" s="73" t="s">
        <v>1628</v>
      </c>
      <c r="D205" s="75">
        <v>1263.0</v>
      </c>
      <c r="E205" s="75" t="s">
        <v>1629</v>
      </c>
      <c r="F205" s="76" t="s">
        <v>1630</v>
      </c>
      <c r="G205" s="77" t="s">
        <v>1527</v>
      </c>
      <c r="H205" s="77">
        <f>19713*1.5</f>
        <v>29569.5</v>
      </c>
      <c r="I205" s="77">
        <v>1.0</v>
      </c>
      <c r="J205" s="78">
        <v>1.0</v>
      </c>
      <c r="K205" s="79">
        <f t="shared" si="2"/>
        <v>29569.5</v>
      </c>
      <c r="L205" s="80" t="s">
        <v>1527</v>
      </c>
      <c r="M205" s="81">
        <v>1.0</v>
      </c>
      <c r="N205" s="82">
        <v>100.0</v>
      </c>
      <c r="O205" s="82">
        <v>71.715976</v>
      </c>
      <c r="P205" s="82">
        <f t="shared" si="25"/>
        <v>28.284024</v>
      </c>
      <c r="Q205" s="78">
        <v>1.0</v>
      </c>
      <c r="R205" s="83">
        <f t="shared" ref="R205:R206" si="90">P205/M205/100*101053/Q205</f>
        <v>28581.85477</v>
      </c>
      <c r="S205" s="84" t="s">
        <v>757</v>
      </c>
      <c r="T205" s="83">
        <f t="shared" si="28"/>
        <v>0.9665991908</v>
      </c>
      <c r="U205" s="83">
        <f t="shared" ref="U205:U206" si="91">(R205-K205)*M205*J205/(101053/845)</f>
        <v>-8.258638705</v>
      </c>
    </row>
    <row r="206" ht="26.25" customHeight="1">
      <c r="A206" s="105"/>
      <c r="B206" s="73" t="s">
        <v>31</v>
      </c>
      <c r="C206" s="73" t="s">
        <v>1628</v>
      </c>
      <c r="D206" s="75">
        <v>901.0</v>
      </c>
      <c r="E206" s="75" t="s">
        <v>1631</v>
      </c>
      <c r="F206" s="76" t="s">
        <v>1632</v>
      </c>
      <c r="G206" s="77" t="s">
        <v>1527</v>
      </c>
      <c r="H206" s="77">
        <f>15496*1.5</f>
        <v>23244</v>
      </c>
      <c r="I206" s="77">
        <v>1.0</v>
      </c>
      <c r="J206" s="78">
        <v>1.0</v>
      </c>
      <c r="K206" s="79">
        <f t="shared" si="2"/>
        <v>23244</v>
      </c>
      <c r="L206" s="80" t="s">
        <v>1527</v>
      </c>
      <c r="M206" s="81">
        <v>1.0</v>
      </c>
      <c r="N206" s="82">
        <v>100.0</v>
      </c>
      <c r="O206" s="82">
        <v>77.869822</v>
      </c>
      <c r="P206" s="82">
        <f t="shared" si="25"/>
        <v>22.130178</v>
      </c>
      <c r="Q206" s="78">
        <v>1.0</v>
      </c>
      <c r="R206" s="83">
        <f t="shared" si="90"/>
        <v>22363.20877</v>
      </c>
      <c r="S206" s="84" t="s">
        <v>757</v>
      </c>
      <c r="T206" s="83">
        <f t="shared" si="28"/>
        <v>0.9621067275</v>
      </c>
      <c r="U206" s="83">
        <f t="shared" si="91"/>
        <v>-7.365131027</v>
      </c>
    </row>
    <row r="207" ht="26.25" customHeight="1">
      <c r="A207" s="105"/>
      <c r="B207" s="73" t="s">
        <v>31</v>
      </c>
      <c r="C207" s="73" t="s">
        <v>1628</v>
      </c>
      <c r="D207" s="75">
        <v>9000.0</v>
      </c>
      <c r="E207" s="75" t="s">
        <v>1633</v>
      </c>
      <c r="F207" s="76" t="s">
        <v>1634</v>
      </c>
      <c r="G207" s="77" t="s">
        <v>689</v>
      </c>
      <c r="H207" s="77">
        <v>74490.0</v>
      </c>
      <c r="I207" s="77">
        <v>1.0</v>
      </c>
      <c r="J207" s="78">
        <f t="shared" ref="J207:J208" si="92">2*1.15</f>
        <v>2.3</v>
      </c>
      <c r="K207" s="79">
        <f t="shared" si="2"/>
        <v>32386.95652</v>
      </c>
      <c r="L207" s="80" t="s">
        <v>689</v>
      </c>
      <c r="M207" s="81">
        <v>1.0</v>
      </c>
      <c r="N207" s="82">
        <v>24.852071</v>
      </c>
      <c r="O207" s="82">
        <v>19.881657</v>
      </c>
      <c r="P207" s="82">
        <f t="shared" si="25"/>
        <v>4.970414</v>
      </c>
      <c r="Q207" s="78">
        <f t="shared" ref="Q207:Q208" si="93">2*1.15</f>
        <v>2.3</v>
      </c>
      <c r="R207" s="83">
        <f t="shared" ref="R207:R208" si="94">P207/M207/100*1500000/Q207</f>
        <v>32415.74348</v>
      </c>
      <c r="S207" s="84" t="s">
        <v>757</v>
      </c>
      <c r="T207" s="83">
        <f t="shared" si="28"/>
        <v>1.000888844</v>
      </c>
      <c r="U207" s="83">
        <f t="shared" ref="U207:U208" si="95">(R207-K207)*M207*J207/(1500000/845)</f>
        <v>0.0372983</v>
      </c>
    </row>
    <row r="208" ht="26.25" customHeight="1">
      <c r="A208" s="105"/>
      <c r="B208" s="73" t="s">
        <v>31</v>
      </c>
      <c r="C208" s="73" t="s">
        <v>1628</v>
      </c>
      <c r="D208" s="75">
        <v>5295.0</v>
      </c>
      <c r="E208" s="75" t="s">
        <v>1635</v>
      </c>
      <c r="F208" s="76" t="s">
        <v>1636</v>
      </c>
      <c r="G208" s="77" t="s">
        <v>689</v>
      </c>
      <c r="H208" s="77">
        <v>61056.0</v>
      </c>
      <c r="I208" s="77">
        <v>1.0</v>
      </c>
      <c r="J208" s="78">
        <f t="shared" si="92"/>
        <v>2.3</v>
      </c>
      <c r="K208" s="79">
        <f t="shared" si="2"/>
        <v>26546.08696</v>
      </c>
      <c r="L208" s="80" t="s">
        <v>689</v>
      </c>
      <c r="M208" s="81">
        <v>1.0</v>
      </c>
      <c r="N208" s="82">
        <v>20.118343</v>
      </c>
      <c r="O208" s="82">
        <v>15.976331</v>
      </c>
      <c r="P208" s="82">
        <f t="shared" si="25"/>
        <v>4.142012</v>
      </c>
      <c r="Q208" s="78">
        <f t="shared" si="93"/>
        <v>2.3</v>
      </c>
      <c r="R208" s="83">
        <f t="shared" si="94"/>
        <v>27013.12174</v>
      </c>
      <c r="S208" s="84" t="s">
        <v>757</v>
      </c>
      <c r="T208" s="83">
        <f t="shared" si="28"/>
        <v>1.017593357</v>
      </c>
      <c r="U208" s="83">
        <f t="shared" si="95"/>
        <v>0.6051214</v>
      </c>
    </row>
    <row r="209" ht="26.25" customHeight="1">
      <c r="A209" s="99" t="s">
        <v>1637</v>
      </c>
      <c r="B209" s="100"/>
      <c r="C209" s="100"/>
      <c r="D209" s="100"/>
      <c r="E209" s="100"/>
      <c r="F209" s="100"/>
      <c r="G209" s="100"/>
      <c r="H209" s="100"/>
      <c r="I209" s="100"/>
      <c r="J209" s="100"/>
      <c r="K209" s="100"/>
      <c r="L209" s="104"/>
      <c r="M209" s="100"/>
      <c r="N209" s="100"/>
      <c r="O209" s="100"/>
      <c r="P209" s="100"/>
      <c r="Q209" s="100"/>
      <c r="R209" s="100"/>
      <c r="S209" s="104"/>
      <c r="T209" s="104"/>
      <c r="U209" s="100"/>
    </row>
  </sheetData>
  <autoFilter ref="$A$2:$U$209">
    <sortState ref="A2:U209">
      <sortCondition ref="B2:B209"/>
      <sortCondition ref="C2:C209"/>
      <sortCondition ref="F2:F209"/>
      <sortCondition ref="G2:G209"/>
    </sortState>
  </autoFilter>
  <mergeCells count="4">
    <mergeCell ref="A1:F1"/>
    <mergeCell ref="G1:K1"/>
    <mergeCell ref="L1:R1"/>
    <mergeCell ref="S1:U1"/>
  </mergeCells>
  <conditionalFormatting sqref="A3:A209 B3:F208 H5:H105 M5:M105 N5:N200 O5:O196 J24:J25 G89:G105 I89:J105 S89:S111 J123 S128:S129 S170 N202 N205:O208 S206:S208">
    <cfRule type="containsText" dxfId="4" priority="1" operator="containsText" text="!">
      <formula>NOT(ISERROR(SEARCH(("!"),(A3))))</formula>
    </cfRule>
  </conditionalFormatting>
  <conditionalFormatting sqref="A1:U209">
    <cfRule type="containsText" dxfId="4" priority="2" operator="containsText" text="~?">
      <formula>NOT(ISERROR(SEARCH(("~?"),(A1))))</formula>
    </cfRule>
  </conditionalFormatting>
  <conditionalFormatting sqref="T3:T209">
    <cfRule type="colorScale" priority="3">
      <colorScale>
        <cfvo type="min"/>
        <cfvo type="formula" val="1"/>
        <cfvo type="max"/>
        <color rgb="FFE67C73"/>
        <color rgb="FF57BB8A"/>
        <color rgb="FFE67C73"/>
      </colorScale>
    </cfRule>
  </conditionalFormatting>
  <conditionalFormatting sqref="U3:U209">
    <cfRule type="colorScale" priority="4">
      <colorScale>
        <cfvo type="formula" val="-2"/>
        <cfvo type="formula" val="0"/>
        <cfvo type="formula" val="2"/>
        <color rgb="FFE67C73"/>
        <color rgb="FF57BB8A"/>
        <color rgb="FFE67C73"/>
      </colorScale>
    </cfRule>
  </conditionalFormatting>
  <conditionalFormatting sqref="P3:P208">
    <cfRule type="colorScale" priority="5">
      <colorScale>
        <cfvo type="min"/>
        <cfvo type="percentile" val="50"/>
        <cfvo type="max"/>
        <color rgb="FFE67C73"/>
        <color rgb="FFFFD666"/>
        <color rgb="FF57BB8A"/>
      </colorScale>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22.13"/>
    <col customWidth="1" min="3" max="3" width="22.0"/>
    <col customWidth="1" min="4" max="4" width="51.38"/>
    <col customWidth="1" min="5" max="5" width="4.38"/>
    <col customWidth="1" min="6" max="14" width="6.38"/>
  </cols>
  <sheetData>
    <row r="1" ht="30.0" customHeight="1">
      <c r="A1" s="108" t="s">
        <v>1638</v>
      </c>
      <c r="B1" s="108" t="s">
        <v>636</v>
      </c>
      <c r="C1" s="108" t="s">
        <v>637</v>
      </c>
      <c r="D1" s="108" t="s">
        <v>640</v>
      </c>
      <c r="E1" s="108" t="s">
        <v>292</v>
      </c>
      <c r="F1" s="108" t="s">
        <v>1639</v>
      </c>
      <c r="G1" s="109">
        <v>0.01</v>
      </c>
      <c r="H1" s="110" t="s">
        <v>1640</v>
      </c>
      <c r="I1" s="110" t="s">
        <v>1641</v>
      </c>
      <c r="J1" s="109">
        <v>0.05</v>
      </c>
      <c r="K1" s="110" t="s">
        <v>1642</v>
      </c>
      <c r="L1" s="110" t="s">
        <v>1643</v>
      </c>
      <c r="M1" s="110" t="s">
        <v>1644</v>
      </c>
      <c r="N1" s="110" t="s">
        <v>653</v>
      </c>
    </row>
    <row r="2" ht="30.0" customHeight="1">
      <c r="A2" s="49"/>
      <c r="B2" s="49" t="s">
        <v>1256</v>
      </c>
      <c r="C2" s="49" t="s">
        <v>1329</v>
      </c>
      <c r="D2" s="50" t="s">
        <v>1331</v>
      </c>
      <c r="E2" s="111">
        <v>1.0</v>
      </c>
      <c r="F2" s="112">
        <v>115544.0</v>
      </c>
      <c r="G2" s="113">
        <f>(99.64497-98.461538)/E2</f>
        <v>1.183432</v>
      </c>
      <c r="H2" s="114">
        <f t="shared" ref="H2:H8" si="1">G2/100*9781797</f>
        <v>115760.9159</v>
      </c>
      <c r="I2" s="115">
        <f>111100/E2/5</f>
        <v>22220</v>
      </c>
      <c r="J2" s="113">
        <f>(99.64497-98.461538)/E2/5</f>
        <v>0.2366864</v>
      </c>
      <c r="K2" s="114">
        <f t="shared" ref="K2:K8" si="2">J2/100*9781797</f>
        <v>23152.18317</v>
      </c>
      <c r="L2" s="115">
        <f t="shared" ref="L2:L58" si="3">IF(ABS(H2-F2)&gt;11576/E2,H2,F2)</f>
        <v>115544</v>
      </c>
      <c r="M2" s="115">
        <f t="shared" ref="M2:M58" si="4">IF(ABS(K2-I2)&gt;11576/E2/5,K2,I2)</f>
        <v>22220</v>
      </c>
      <c r="N2" s="116">
        <f t="shared" ref="N2:N58" si="5">IFERROR(ROUND(M2/L2,2),"")</f>
        <v>0.19</v>
      </c>
    </row>
    <row r="3" ht="30.0" customHeight="1">
      <c r="A3" s="49"/>
      <c r="B3" s="49" t="s">
        <v>1416</v>
      </c>
      <c r="C3" s="111" t="s">
        <v>1645</v>
      </c>
      <c r="D3" s="117" t="s">
        <v>1646</v>
      </c>
      <c r="E3" s="111">
        <v>1.0</v>
      </c>
      <c r="F3" s="112">
        <v>156317.0</v>
      </c>
      <c r="G3" s="118">
        <f>99.64497-97.988166</f>
        <v>1.656804</v>
      </c>
      <c r="H3" s="114">
        <f t="shared" si="1"/>
        <v>162065.204</v>
      </c>
      <c r="I3" s="115">
        <f>185998/5</f>
        <v>37199.6</v>
      </c>
      <c r="J3" s="113">
        <f>(99.64497-97.869822)/5</f>
        <v>0.3550296</v>
      </c>
      <c r="K3" s="114">
        <f t="shared" si="2"/>
        <v>34728.27476</v>
      </c>
      <c r="L3" s="115">
        <f t="shared" si="3"/>
        <v>156317</v>
      </c>
      <c r="M3" s="115">
        <f t="shared" si="4"/>
        <v>34728.27476</v>
      </c>
      <c r="N3" s="116">
        <f t="shared" si="5"/>
        <v>0.22</v>
      </c>
    </row>
    <row r="4" ht="30.0" customHeight="1">
      <c r="A4" s="49"/>
      <c r="B4" s="49" t="s">
        <v>1256</v>
      </c>
      <c r="C4" s="49" t="s">
        <v>1332</v>
      </c>
      <c r="D4" s="50" t="s">
        <v>1331</v>
      </c>
      <c r="E4" s="111">
        <v>1.0</v>
      </c>
      <c r="F4" s="112">
        <v>158141.0</v>
      </c>
      <c r="G4" s="113">
        <f>(99.64497-97.988166)/E4</f>
        <v>1.656804</v>
      </c>
      <c r="H4" s="114">
        <f t="shared" si="1"/>
        <v>162065.204</v>
      </c>
      <c r="I4" s="115">
        <f>182502/E4/5</f>
        <v>36500.4</v>
      </c>
      <c r="J4" s="113">
        <f>(99.64497-97.751479)/E4/5</f>
        <v>0.3786982</v>
      </c>
      <c r="K4" s="114">
        <f t="shared" si="2"/>
        <v>37043.48917</v>
      </c>
      <c r="L4" s="115">
        <f t="shared" si="3"/>
        <v>158141</v>
      </c>
      <c r="M4" s="115">
        <f t="shared" si="4"/>
        <v>36500.4</v>
      </c>
      <c r="N4" s="116">
        <f t="shared" si="5"/>
        <v>0.23</v>
      </c>
    </row>
    <row r="5" ht="30.0" customHeight="1">
      <c r="A5" s="49"/>
      <c r="B5" s="49" t="s">
        <v>1256</v>
      </c>
      <c r="C5" s="49" t="s">
        <v>1282</v>
      </c>
      <c r="D5" s="50" t="s">
        <v>1647</v>
      </c>
      <c r="E5" s="49">
        <v>2.0</v>
      </c>
      <c r="F5" s="112">
        <f>272464/E5</f>
        <v>136232</v>
      </c>
      <c r="G5" s="113">
        <f>(99.64497-96.804734)/E5</f>
        <v>1.420118</v>
      </c>
      <c r="H5" s="114">
        <f t="shared" si="1"/>
        <v>138913.0599</v>
      </c>
      <c r="I5" s="115">
        <f>320102/E5/5</f>
        <v>32010.2</v>
      </c>
      <c r="J5" s="118">
        <f>(99.64497-96.213018)/E5/5</f>
        <v>0.3431952</v>
      </c>
      <c r="K5" s="114">
        <f t="shared" si="2"/>
        <v>33570.65778</v>
      </c>
      <c r="L5" s="115">
        <f t="shared" si="3"/>
        <v>136232</v>
      </c>
      <c r="M5" s="115">
        <f t="shared" si="4"/>
        <v>33570.65778</v>
      </c>
      <c r="N5" s="116">
        <f t="shared" si="5"/>
        <v>0.25</v>
      </c>
    </row>
    <row r="6" ht="30.0" customHeight="1">
      <c r="A6" s="44"/>
      <c r="B6" s="49" t="s">
        <v>1648</v>
      </c>
      <c r="C6" s="49" t="s">
        <v>808</v>
      </c>
      <c r="D6" s="49" t="s">
        <v>808</v>
      </c>
      <c r="E6" s="111">
        <v>7.0</v>
      </c>
      <c r="F6" s="112">
        <f>362054/1.25/E6</f>
        <v>41377.6</v>
      </c>
      <c r="G6" s="113">
        <f>(99.64497-95.976331)/1.25/E6</f>
        <v>0.4192730286</v>
      </c>
      <c r="H6" s="114">
        <f t="shared" si="1"/>
        <v>41012.43653</v>
      </c>
      <c r="I6" s="115">
        <f>155166/1.25/E6/5</f>
        <v>3546.651429</v>
      </c>
      <c r="J6" s="113">
        <f>(99.64497-94.911243)/1.25/E6/5</f>
        <v>0.1081994743</v>
      </c>
      <c r="K6" s="114">
        <f t="shared" si="2"/>
        <v>10583.85293</v>
      </c>
      <c r="L6" s="115">
        <f t="shared" si="3"/>
        <v>41377.6</v>
      </c>
      <c r="M6" s="115">
        <f t="shared" si="4"/>
        <v>10583.85293</v>
      </c>
      <c r="N6" s="116">
        <f t="shared" si="5"/>
        <v>0.26</v>
      </c>
    </row>
    <row r="7" ht="30.0" customHeight="1">
      <c r="A7" s="49"/>
      <c r="B7" s="49" t="s">
        <v>1338</v>
      </c>
      <c r="C7" s="49" t="s">
        <v>1347</v>
      </c>
      <c r="D7" s="50" t="s">
        <v>1349</v>
      </c>
      <c r="E7" s="111">
        <v>1.0</v>
      </c>
      <c r="F7" s="112">
        <v>68301.0</v>
      </c>
      <c r="G7" s="113">
        <f>(99.64497-98.934911)/E7</f>
        <v>0.710059</v>
      </c>
      <c r="H7" s="114">
        <f t="shared" si="1"/>
        <v>69456.52996</v>
      </c>
      <c r="I7" s="115">
        <f>96919/E7/5</f>
        <v>19383.8</v>
      </c>
      <c r="J7" s="113">
        <f>(99.64497-98.698225)/E7/5</f>
        <v>0.189349</v>
      </c>
      <c r="K7" s="114">
        <f t="shared" si="2"/>
        <v>18521.7348</v>
      </c>
      <c r="L7" s="115">
        <f t="shared" si="3"/>
        <v>68301</v>
      </c>
      <c r="M7" s="115">
        <f t="shared" si="4"/>
        <v>19383.8</v>
      </c>
      <c r="N7" s="116">
        <f t="shared" si="5"/>
        <v>0.28</v>
      </c>
    </row>
    <row r="8" ht="30.0" customHeight="1">
      <c r="A8" s="49"/>
      <c r="B8" s="49" t="s">
        <v>1649</v>
      </c>
      <c r="C8" s="49" t="s">
        <v>806</v>
      </c>
      <c r="D8" s="50"/>
      <c r="E8" s="111">
        <v>1.0</v>
      </c>
      <c r="F8" s="112">
        <f>68337/1.25</f>
        <v>54669.6</v>
      </c>
      <c r="G8" s="113">
        <f>(99.64497-98.934911)/1.25/E8</f>
        <v>0.5680472</v>
      </c>
      <c r="H8" s="114">
        <f t="shared" si="1"/>
        <v>55565.22397</v>
      </c>
      <c r="I8" s="115">
        <f>97676/1.25/E8/5</f>
        <v>15628.16</v>
      </c>
      <c r="J8" s="113">
        <f>(99.64497-98.579882)/1.25/E8/5</f>
        <v>0.17041408</v>
      </c>
      <c r="K8" s="114">
        <f t="shared" si="2"/>
        <v>16669.55937</v>
      </c>
      <c r="L8" s="115">
        <f t="shared" si="3"/>
        <v>54669.6</v>
      </c>
      <c r="M8" s="115">
        <f t="shared" si="4"/>
        <v>15628.16</v>
      </c>
      <c r="N8" s="116">
        <f t="shared" si="5"/>
        <v>0.29</v>
      </c>
    </row>
    <row r="9" ht="30.0" customHeight="1">
      <c r="A9" s="49"/>
      <c r="B9" s="49" t="s">
        <v>1338</v>
      </c>
      <c r="C9" s="49" t="s">
        <v>1354</v>
      </c>
      <c r="D9" s="117" t="s">
        <v>1584</v>
      </c>
      <c r="E9" s="111">
        <v>3.0</v>
      </c>
      <c r="F9" s="119">
        <f>274737/E9</f>
        <v>91579</v>
      </c>
      <c r="G9" s="118">
        <f>(100-96.674584)/E9</f>
        <v>1.108472</v>
      </c>
      <c r="H9" s="114">
        <f>G9/100*8440119</f>
        <v>93556.35588</v>
      </c>
      <c r="I9" s="115">
        <f>461027/E9/5</f>
        <v>30735.13333</v>
      </c>
      <c r="J9" s="113">
        <f>(99.64497-94.536817)/5/E9</f>
        <v>0.3405435333</v>
      </c>
      <c r="K9" s="114">
        <f>J9/100*8440119</f>
        <v>28742.27946</v>
      </c>
      <c r="L9" s="115">
        <f t="shared" si="3"/>
        <v>91579</v>
      </c>
      <c r="M9" s="115">
        <f t="shared" si="4"/>
        <v>28742.27946</v>
      </c>
      <c r="N9" s="116">
        <f t="shared" si="5"/>
        <v>0.31</v>
      </c>
    </row>
    <row r="10" ht="30.0" customHeight="1">
      <c r="A10" s="49"/>
      <c r="B10" s="49" t="s">
        <v>1256</v>
      </c>
      <c r="C10" s="49" t="s">
        <v>1333</v>
      </c>
      <c r="D10" s="50" t="s">
        <v>1331</v>
      </c>
      <c r="E10" s="111">
        <v>1.0</v>
      </c>
      <c r="F10" s="112">
        <v>78370.0</v>
      </c>
      <c r="G10" s="113">
        <f>(99.64497-98.816568)/E10</f>
        <v>0.828402</v>
      </c>
      <c r="H10" s="114">
        <f t="shared" ref="H10:H14" si="6">G10/100*9781797</f>
        <v>81032.60198</v>
      </c>
      <c r="I10" s="115">
        <f>115085/E10/5</f>
        <v>23017</v>
      </c>
      <c r="J10" s="113">
        <f>(99.64497-98.343195)/E10/5</f>
        <v>0.260355</v>
      </c>
      <c r="K10" s="114">
        <f t="shared" ref="K10:K14" si="7">J10/100*9781797</f>
        <v>25467.39758</v>
      </c>
      <c r="L10" s="115">
        <f t="shared" si="3"/>
        <v>78370</v>
      </c>
      <c r="M10" s="115">
        <f t="shared" si="4"/>
        <v>25467.39758</v>
      </c>
      <c r="N10" s="116">
        <f t="shared" si="5"/>
        <v>0.32</v>
      </c>
    </row>
    <row r="11" ht="30.0" customHeight="1">
      <c r="A11" s="49"/>
      <c r="B11" s="49" t="s">
        <v>31</v>
      </c>
      <c r="C11" s="49" t="s">
        <v>1582</v>
      </c>
      <c r="D11" s="50" t="s">
        <v>1587</v>
      </c>
      <c r="E11" s="49">
        <v>1.0</v>
      </c>
      <c r="F11" s="112">
        <v>419361.0</v>
      </c>
      <c r="G11" s="118">
        <f>99.408284-95.029586</f>
        <v>4.378698</v>
      </c>
      <c r="H11" s="114">
        <f t="shared" si="6"/>
        <v>428315.3496</v>
      </c>
      <c r="I11" s="115">
        <f>670154/5</f>
        <v>134030.8</v>
      </c>
      <c r="J11" s="113">
        <f>(99.64497-92.662722)/5</f>
        <v>1.3964496</v>
      </c>
      <c r="K11" s="114">
        <f t="shared" si="7"/>
        <v>136597.8651</v>
      </c>
      <c r="L11" s="115">
        <f t="shared" si="3"/>
        <v>419361</v>
      </c>
      <c r="M11" s="115">
        <f t="shared" si="4"/>
        <v>136597.8651</v>
      </c>
      <c r="N11" s="116">
        <f t="shared" si="5"/>
        <v>0.33</v>
      </c>
    </row>
    <row r="12" ht="30.0" customHeight="1">
      <c r="A12" s="49"/>
      <c r="B12" s="49" t="s">
        <v>1256</v>
      </c>
      <c r="C12" s="49" t="s">
        <v>1305</v>
      </c>
      <c r="D12" s="50" t="s">
        <v>1311</v>
      </c>
      <c r="E12" s="111">
        <v>4.0</v>
      </c>
      <c r="F12" s="112">
        <f>176928/E12</f>
        <v>44232</v>
      </c>
      <c r="G12" s="113">
        <f>(99.64497-97.751479)/E12</f>
        <v>0.47337275</v>
      </c>
      <c r="H12" s="114">
        <f t="shared" si="6"/>
        <v>46304.36146</v>
      </c>
      <c r="I12" s="115">
        <f>303998/E12/5</f>
        <v>15199.9</v>
      </c>
      <c r="J12" s="118">
        <f>(99.64497-96.568047)/E12/5</f>
        <v>0.15384615</v>
      </c>
      <c r="K12" s="114">
        <f t="shared" si="7"/>
        <v>15048.91809</v>
      </c>
      <c r="L12" s="115">
        <f t="shared" si="3"/>
        <v>44232</v>
      </c>
      <c r="M12" s="115">
        <f t="shared" si="4"/>
        <v>15199.9</v>
      </c>
      <c r="N12" s="116">
        <f t="shared" si="5"/>
        <v>0.34</v>
      </c>
    </row>
    <row r="13" ht="30.0" customHeight="1">
      <c r="A13" s="44"/>
      <c r="B13" s="49" t="s">
        <v>1649</v>
      </c>
      <c r="C13" s="49" t="s">
        <v>527</v>
      </c>
      <c r="D13" s="50" t="s">
        <v>1650</v>
      </c>
      <c r="E13" s="111">
        <v>1.0</v>
      </c>
      <c r="F13" s="112">
        <f>124357/1.25/E13</f>
        <v>99485.6</v>
      </c>
      <c r="G13" s="113">
        <f>(99.64497-98.343195)/1.25/E13</f>
        <v>1.04142</v>
      </c>
      <c r="H13" s="114">
        <f t="shared" si="6"/>
        <v>101869.5903</v>
      </c>
      <c r="I13" s="115">
        <f>230936/1.25/E13/5</f>
        <v>36949.76</v>
      </c>
      <c r="J13" s="113">
        <f>(99.64497-96.923077)/1.25/E13/5</f>
        <v>0.43550288</v>
      </c>
      <c r="K13" s="114">
        <f t="shared" si="7"/>
        <v>42600.00765</v>
      </c>
      <c r="L13" s="115">
        <f t="shared" si="3"/>
        <v>99485.6</v>
      </c>
      <c r="M13" s="115">
        <f t="shared" si="4"/>
        <v>42600.00765</v>
      </c>
      <c r="N13" s="116">
        <f t="shared" si="5"/>
        <v>0.43</v>
      </c>
    </row>
    <row r="14" ht="30.0" customHeight="1">
      <c r="A14" s="44"/>
      <c r="B14" s="49" t="s">
        <v>1649</v>
      </c>
      <c r="C14" s="49" t="s">
        <v>841</v>
      </c>
      <c r="D14" s="50"/>
      <c r="E14" s="111">
        <v>5.0</v>
      </c>
      <c r="F14" s="112">
        <f>140080/1.25/E14</f>
        <v>22412.8</v>
      </c>
      <c r="G14" s="113">
        <f>(99.64497-98.224852)/1.25/E14</f>
        <v>0.22721888</v>
      </c>
      <c r="H14" s="114">
        <f t="shared" si="6"/>
        <v>22226.08959</v>
      </c>
      <c r="I14" s="115">
        <f>336192/1.25/E14/5</f>
        <v>10758.144</v>
      </c>
      <c r="J14" s="113">
        <f>(99.64497-95.976331)/1.25/E14/5</f>
        <v>0.117396448</v>
      </c>
      <c r="K14" s="114">
        <f t="shared" si="7"/>
        <v>11483.48223</v>
      </c>
      <c r="L14" s="115">
        <f t="shared" si="3"/>
        <v>22412.8</v>
      </c>
      <c r="M14" s="115">
        <f t="shared" si="4"/>
        <v>11483.48223</v>
      </c>
      <c r="N14" s="116">
        <f t="shared" si="5"/>
        <v>0.51</v>
      </c>
    </row>
    <row r="15" ht="30.0" customHeight="1">
      <c r="A15" s="44"/>
      <c r="B15" s="49" t="s">
        <v>980</v>
      </c>
      <c r="C15" s="49" t="s">
        <v>986</v>
      </c>
      <c r="D15" s="50" t="s">
        <v>1651</v>
      </c>
      <c r="E15" s="111">
        <v>1.0</v>
      </c>
      <c r="F15" s="112">
        <f>500922/2</f>
        <v>250461</v>
      </c>
      <c r="G15" s="118">
        <f>(100-95.976331)/E15</f>
        <v>4.023669</v>
      </c>
      <c r="H15" s="114">
        <f>G15/100*6306021</f>
        <v>253733.4121</v>
      </c>
      <c r="I15" s="115">
        <f>1326226/2/5/E15</f>
        <v>132622.6</v>
      </c>
      <c r="J15" s="113">
        <f>(100-89.349112)/E15/5</f>
        <v>2.1301776</v>
      </c>
      <c r="K15" s="114">
        <f>J15/100*6306021</f>
        <v>134329.4468</v>
      </c>
      <c r="L15" s="115">
        <f t="shared" si="3"/>
        <v>250461</v>
      </c>
      <c r="M15" s="115">
        <f t="shared" si="4"/>
        <v>132622.6</v>
      </c>
      <c r="N15" s="116">
        <f t="shared" si="5"/>
        <v>0.53</v>
      </c>
    </row>
    <row r="16" ht="30.0" customHeight="1">
      <c r="A16" s="49"/>
      <c r="B16" s="49" t="s">
        <v>1256</v>
      </c>
      <c r="C16" s="49" t="s">
        <v>1270</v>
      </c>
      <c r="D16" s="50" t="s">
        <v>1647</v>
      </c>
      <c r="E16" s="111">
        <v>1.0</v>
      </c>
      <c r="F16" s="112">
        <v>82054.0</v>
      </c>
      <c r="G16" s="113">
        <f>(99.64497-98.816568)/E16</f>
        <v>0.828402</v>
      </c>
      <c r="H16" s="114">
        <f t="shared" ref="H16:H18" si="8">G16/100*9781797</f>
        <v>81032.60198</v>
      </c>
      <c r="I16" s="115">
        <f>191752/E16/5</f>
        <v>38350.4</v>
      </c>
      <c r="J16" s="118">
        <f>(99.64497-97.39645)/E16/5</f>
        <v>0.449704</v>
      </c>
      <c r="K16" s="114">
        <f t="shared" ref="K16:K18" si="9">J16/100*9781797</f>
        <v>43989.13238</v>
      </c>
      <c r="L16" s="115">
        <f t="shared" si="3"/>
        <v>82054</v>
      </c>
      <c r="M16" s="115">
        <f t="shared" si="4"/>
        <v>43989.13238</v>
      </c>
      <c r="N16" s="116">
        <f t="shared" si="5"/>
        <v>0.54</v>
      </c>
    </row>
    <row r="17" ht="30.0" customHeight="1">
      <c r="A17" s="49"/>
      <c r="B17" s="49" t="s">
        <v>31</v>
      </c>
      <c r="C17" s="49" t="s">
        <v>1557</v>
      </c>
      <c r="D17" s="50"/>
      <c r="E17" s="49">
        <v>1.0</v>
      </c>
      <c r="F17" s="112">
        <v>473037.0</v>
      </c>
      <c r="G17" s="113">
        <f>(99.64497-94.792899)/E17</f>
        <v>4.852071</v>
      </c>
      <c r="H17" s="114">
        <f t="shared" si="8"/>
        <v>474619.7355</v>
      </c>
      <c r="I17" s="115">
        <f>1281574/E17/5</f>
        <v>256314.8</v>
      </c>
      <c r="J17" s="113">
        <f>(99.64497-86.508876)/E17/5</f>
        <v>2.6272188</v>
      </c>
      <c r="K17" s="114">
        <f t="shared" si="9"/>
        <v>256989.2098</v>
      </c>
      <c r="L17" s="115">
        <f t="shared" si="3"/>
        <v>473037</v>
      </c>
      <c r="M17" s="115">
        <f t="shared" si="4"/>
        <v>256314.8</v>
      </c>
      <c r="N17" s="116">
        <f t="shared" si="5"/>
        <v>0.54</v>
      </c>
    </row>
    <row r="18" ht="30.0" customHeight="1">
      <c r="A18" s="49"/>
      <c r="B18" s="49" t="s">
        <v>31</v>
      </c>
      <c r="C18" s="49" t="s">
        <v>1498</v>
      </c>
      <c r="D18" s="50"/>
      <c r="E18" s="49">
        <v>1.0</v>
      </c>
      <c r="F18" s="119">
        <f>413684</f>
        <v>413684</v>
      </c>
      <c r="G18" s="113">
        <f>(99.526627-95.384615)/E18</f>
        <v>4.142012</v>
      </c>
      <c r="H18" s="114">
        <f t="shared" si="8"/>
        <v>405163.2056</v>
      </c>
      <c r="I18" s="115">
        <f>929805/E18/5</f>
        <v>185961</v>
      </c>
      <c r="J18" s="113">
        <f>(99.64497-88.16568)/E18/5</f>
        <v>2.295858</v>
      </c>
      <c r="K18" s="114">
        <f t="shared" si="9"/>
        <v>224576.169</v>
      </c>
      <c r="L18" s="115">
        <f t="shared" si="3"/>
        <v>413684</v>
      </c>
      <c r="M18" s="115">
        <f t="shared" si="4"/>
        <v>224576.169</v>
      </c>
      <c r="N18" s="116">
        <f t="shared" si="5"/>
        <v>0.54</v>
      </c>
    </row>
    <row r="19" ht="30.0" customHeight="1">
      <c r="A19" s="44"/>
      <c r="B19" s="49" t="s">
        <v>1046</v>
      </c>
      <c r="C19" s="49" t="s">
        <v>543</v>
      </c>
      <c r="D19" s="117" t="s">
        <v>1584</v>
      </c>
      <c r="E19" s="111">
        <v>4.0</v>
      </c>
      <c r="F19" s="112">
        <f>135880/E19</f>
        <v>33970</v>
      </c>
      <c r="G19" s="118">
        <f>(100-98.337292)/E19</f>
        <v>0.415677</v>
      </c>
      <c r="H19" s="114">
        <f>G19/100*8440119</f>
        <v>35083.63346</v>
      </c>
      <c r="I19" s="115">
        <f>415620/E19/5</f>
        <v>20781</v>
      </c>
      <c r="J19" s="113">
        <f>(99.64497-94.893112)/5/E19</f>
        <v>0.2375929</v>
      </c>
      <c r="K19" s="114">
        <f>J19/100*8440119</f>
        <v>20053.1235</v>
      </c>
      <c r="L19" s="115">
        <f t="shared" si="3"/>
        <v>33970</v>
      </c>
      <c r="M19" s="115">
        <f t="shared" si="4"/>
        <v>20053.1235</v>
      </c>
      <c r="N19" s="116">
        <f t="shared" si="5"/>
        <v>0.59</v>
      </c>
    </row>
    <row r="20" ht="30.0" customHeight="1">
      <c r="A20" s="49"/>
      <c r="B20" s="49" t="s">
        <v>1649</v>
      </c>
      <c r="C20" s="111" t="s">
        <v>533</v>
      </c>
      <c r="D20" s="50"/>
      <c r="E20" s="111">
        <v>8.0</v>
      </c>
      <c r="F20" s="112">
        <f>472461/1.25/E20</f>
        <v>47246.1</v>
      </c>
      <c r="G20" s="113">
        <f>(99.64497-94.911243)/1.25/E20</f>
        <v>0.4733727</v>
      </c>
      <c r="H20" s="114">
        <f t="shared" ref="H20:H24" si="10">G20/100*9781797</f>
        <v>46304.35657</v>
      </c>
      <c r="I20" s="115">
        <f>2270198/1.25/E20/5</f>
        <v>45403.96</v>
      </c>
      <c r="J20" s="113">
        <f>(99.64497-84.142012)/1.25/E20/5</f>
        <v>0.31005916</v>
      </c>
      <c r="K20" s="114">
        <f t="shared" ref="K20:K24" si="11">J20/100*9781797</f>
        <v>30329.35761</v>
      </c>
      <c r="L20" s="115">
        <f t="shared" si="3"/>
        <v>47246.1</v>
      </c>
      <c r="M20" s="115">
        <f t="shared" si="4"/>
        <v>30329.35761</v>
      </c>
      <c r="N20" s="116">
        <f t="shared" si="5"/>
        <v>0.64</v>
      </c>
    </row>
    <row r="21" ht="30.0" customHeight="1">
      <c r="A21" s="49"/>
      <c r="B21" s="49" t="s">
        <v>1416</v>
      </c>
      <c r="C21" s="49" t="s">
        <v>1431</v>
      </c>
      <c r="D21" s="50" t="s">
        <v>1311</v>
      </c>
      <c r="E21" s="111">
        <v>1.0</v>
      </c>
      <c r="F21" s="119">
        <f>356662</f>
        <v>356662</v>
      </c>
      <c r="G21" s="118">
        <f>99.64497-95.976331</f>
        <v>3.668639</v>
      </c>
      <c r="H21" s="114">
        <f t="shared" si="10"/>
        <v>358858.8196</v>
      </c>
      <c r="I21" s="115">
        <f>1174881/5</f>
        <v>234976.2</v>
      </c>
      <c r="J21" s="113">
        <f>(99.64497-87.573964)/5</f>
        <v>2.4142012</v>
      </c>
      <c r="K21" s="114">
        <f t="shared" si="11"/>
        <v>236152.2606</v>
      </c>
      <c r="L21" s="115">
        <f t="shared" si="3"/>
        <v>356662</v>
      </c>
      <c r="M21" s="115">
        <f t="shared" si="4"/>
        <v>234976.2</v>
      </c>
      <c r="N21" s="116">
        <f t="shared" si="5"/>
        <v>0.66</v>
      </c>
    </row>
    <row r="22" ht="30.0" customHeight="1">
      <c r="A22" s="49"/>
      <c r="B22" s="49" t="s">
        <v>31</v>
      </c>
      <c r="C22" s="49" t="s">
        <v>1591</v>
      </c>
      <c r="D22" s="50" t="s">
        <v>1652</v>
      </c>
      <c r="E22" s="49">
        <v>1.0</v>
      </c>
      <c r="F22" s="112">
        <v>796985.0</v>
      </c>
      <c r="G22" s="113">
        <f>(99.64497-91.47929)/E22</f>
        <v>8.16568</v>
      </c>
      <c r="H22" s="114">
        <f t="shared" si="10"/>
        <v>798750.2413</v>
      </c>
      <c r="I22" s="115">
        <f>2710159/5</f>
        <v>542031.8</v>
      </c>
      <c r="J22" s="113">
        <f>(99.64497-71.715976)/5</f>
        <v>5.5857988</v>
      </c>
      <c r="K22" s="114">
        <f t="shared" si="11"/>
        <v>546391.4994</v>
      </c>
      <c r="L22" s="115">
        <f t="shared" si="3"/>
        <v>796985</v>
      </c>
      <c r="M22" s="115">
        <f t="shared" si="4"/>
        <v>546391.4994</v>
      </c>
      <c r="N22" s="116">
        <f t="shared" si="5"/>
        <v>0.69</v>
      </c>
    </row>
    <row r="23" ht="30.0" customHeight="1">
      <c r="A23" s="44"/>
      <c r="B23" s="49" t="s">
        <v>1138</v>
      </c>
      <c r="C23" s="111" t="s">
        <v>605</v>
      </c>
      <c r="D23" s="117" t="s">
        <v>1653</v>
      </c>
      <c r="E23" s="111">
        <v>2.0</v>
      </c>
      <c r="F23" s="112">
        <f>68861/E23</f>
        <v>34430.5</v>
      </c>
      <c r="G23" s="118">
        <f>(99.64497-98.934911)/E23</f>
        <v>0.3550295</v>
      </c>
      <c r="H23" s="114">
        <f t="shared" si="10"/>
        <v>34728.26498</v>
      </c>
      <c r="I23" s="115">
        <f>243613/5/E23</f>
        <v>24361.3</v>
      </c>
      <c r="J23" s="113">
        <f>(99.64497-97.159763)/5/E23</f>
        <v>0.2485207</v>
      </c>
      <c r="K23" s="114">
        <f t="shared" si="11"/>
        <v>24309.79038</v>
      </c>
      <c r="L23" s="115">
        <f t="shared" si="3"/>
        <v>34430.5</v>
      </c>
      <c r="M23" s="115">
        <f t="shared" si="4"/>
        <v>24361.3</v>
      </c>
      <c r="N23" s="116">
        <f t="shared" si="5"/>
        <v>0.71</v>
      </c>
    </row>
    <row r="24" ht="30.0" customHeight="1">
      <c r="A24" s="49"/>
      <c r="B24" s="49" t="s">
        <v>1256</v>
      </c>
      <c r="C24" s="49" t="s">
        <v>1319</v>
      </c>
      <c r="D24" s="50" t="s">
        <v>1654</v>
      </c>
      <c r="E24" s="111">
        <v>4.0</v>
      </c>
      <c r="F24" s="112">
        <f>361025/E24</f>
        <v>90256.25</v>
      </c>
      <c r="G24" s="113">
        <f>(99.64497-95.621302)/E24</f>
        <v>1.005917</v>
      </c>
      <c r="H24" s="114">
        <f t="shared" si="10"/>
        <v>98396.75893</v>
      </c>
      <c r="I24" s="115">
        <f>1390735/E24/5</f>
        <v>69536.75</v>
      </c>
      <c r="J24" s="118">
        <f>(99.64497-84.970414)/E24/5</f>
        <v>0.7337278</v>
      </c>
      <c r="K24" s="114">
        <f t="shared" si="11"/>
        <v>71771.76393</v>
      </c>
      <c r="L24" s="115">
        <f t="shared" si="3"/>
        <v>98396.75893</v>
      </c>
      <c r="M24" s="115">
        <f t="shared" si="4"/>
        <v>71771.76393</v>
      </c>
      <c r="N24" s="116">
        <f t="shared" si="5"/>
        <v>0.73</v>
      </c>
    </row>
    <row r="25" ht="30.0" customHeight="1">
      <c r="A25" s="44"/>
      <c r="B25" s="111" t="s">
        <v>980</v>
      </c>
      <c r="C25" s="111" t="s">
        <v>984</v>
      </c>
      <c r="D25" s="50"/>
      <c r="E25" s="111">
        <v>3.0</v>
      </c>
      <c r="F25" s="112">
        <f>979906/2/E25</f>
        <v>163317.6667</v>
      </c>
      <c r="G25" s="118">
        <f>(100-92.426036)/E25</f>
        <v>2.524654667</v>
      </c>
      <c r="H25" s="114">
        <f>G25/100*6306021</f>
        <v>159205.2535</v>
      </c>
      <c r="I25" s="115">
        <f>3285290/2/5/E25</f>
        <v>109509.6667</v>
      </c>
      <c r="J25" s="113">
        <f>(100-71.360947)/E25/5</f>
        <v>1.9092702</v>
      </c>
      <c r="K25" s="114">
        <f>J25/100*6306021</f>
        <v>120398.9798</v>
      </c>
      <c r="L25" s="115">
        <f t="shared" si="3"/>
        <v>159205.2535</v>
      </c>
      <c r="M25" s="115">
        <f t="shared" si="4"/>
        <v>120398.9798</v>
      </c>
      <c r="N25" s="116">
        <f t="shared" si="5"/>
        <v>0.76</v>
      </c>
    </row>
    <row r="26" ht="30.0" customHeight="1">
      <c r="A26" s="49"/>
      <c r="B26" s="49" t="s">
        <v>31</v>
      </c>
      <c r="C26" s="49" t="s">
        <v>1628</v>
      </c>
      <c r="D26" s="50" t="s">
        <v>1655</v>
      </c>
      <c r="E26" s="49">
        <v>1.0</v>
      </c>
      <c r="F26" s="112">
        <v>346397.0</v>
      </c>
      <c r="G26" s="113">
        <f>(99.64497-96.094675)/E26</f>
        <v>3.550295</v>
      </c>
      <c r="H26" s="114">
        <f t="shared" ref="H26:H27" si="12">G26/100*9781797</f>
        <v>347282.6498</v>
      </c>
      <c r="I26" s="115">
        <f>1236363/E26/5</f>
        <v>247272.6</v>
      </c>
      <c r="J26" s="113">
        <f>(99.64497-86.272189)/E26/5</f>
        <v>2.6745562</v>
      </c>
      <c r="K26" s="114">
        <f t="shared" ref="K26:K27" si="13">J26/100*9781797</f>
        <v>261619.6581</v>
      </c>
      <c r="L26" s="115">
        <f t="shared" si="3"/>
        <v>346397</v>
      </c>
      <c r="M26" s="115">
        <f t="shared" si="4"/>
        <v>261619.6581</v>
      </c>
      <c r="N26" s="116">
        <f t="shared" si="5"/>
        <v>0.76</v>
      </c>
    </row>
    <row r="27" ht="30.0" customHeight="1">
      <c r="A27" s="44"/>
      <c r="B27" s="49" t="s">
        <v>755</v>
      </c>
      <c r="C27" s="49" t="s">
        <v>579</v>
      </c>
      <c r="D27" s="50" t="s">
        <v>1311</v>
      </c>
      <c r="E27" s="111">
        <v>4.0</v>
      </c>
      <c r="F27" s="112">
        <f>559685/E27</f>
        <v>139921.25</v>
      </c>
      <c r="G27" s="118">
        <f>(99.64497-93.846154)/E27</f>
        <v>1.449704</v>
      </c>
      <c r="H27" s="114">
        <f t="shared" si="12"/>
        <v>141807.1024</v>
      </c>
      <c r="I27" s="115">
        <f>2099328/5/E27</f>
        <v>104966.4</v>
      </c>
      <c r="J27" s="113">
        <f>(99.64497-77.39645)/5/E27</f>
        <v>1.112426</v>
      </c>
      <c r="K27" s="114">
        <f t="shared" si="13"/>
        <v>108815.2531</v>
      </c>
      <c r="L27" s="115">
        <f t="shared" si="3"/>
        <v>139921.25</v>
      </c>
      <c r="M27" s="115">
        <f t="shared" si="4"/>
        <v>108815.2531</v>
      </c>
      <c r="N27" s="116">
        <f t="shared" si="5"/>
        <v>0.78</v>
      </c>
    </row>
    <row r="28" ht="30.0" customHeight="1">
      <c r="A28" s="44"/>
      <c r="B28" s="49" t="s">
        <v>1168</v>
      </c>
      <c r="C28" s="49" t="s">
        <v>1204</v>
      </c>
      <c r="D28" s="117" t="s">
        <v>1656</v>
      </c>
      <c r="E28" s="111">
        <v>3.0</v>
      </c>
      <c r="F28" s="112">
        <f>408132/E28</f>
        <v>136044</v>
      </c>
      <c r="G28" s="118">
        <f>(100-95.130641)/E28</f>
        <v>1.623119667</v>
      </c>
      <c r="H28" s="114">
        <f t="shared" ref="H28:H29" si="14">G28/100*8440119</f>
        <v>136993.2314</v>
      </c>
      <c r="I28" s="115">
        <f>1807779/E28/5</f>
        <v>120518.6</v>
      </c>
      <c r="J28" s="113">
        <f>(100-81.11639)/E28/5</f>
        <v>1.258907333</v>
      </c>
      <c r="K28" s="114">
        <f t="shared" ref="K28:K29" si="15">J28/100*8440119</f>
        <v>106253.277</v>
      </c>
      <c r="L28" s="115">
        <f t="shared" si="3"/>
        <v>136044</v>
      </c>
      <c r="M28" s="115">
        <f t="shared" si="4"/>
        <v>106253.277</v>
      </c>
      <c r="N28" s="116">
        <f t="shared" si="5"/>
        <v>0.78</v>
      </c>
    </row>
    <row r="29" ht="30.0" customHeight="1">
      <c r="A29" s="49"/>
      <c r="B29" s="49" t="s">
        <v>1256</v>
      </c>
      <c r="C29" s="49" t="s">
        <v>1277</v>
      </c>
      <c r="D29" s="50" t="s">
        <v>1657</v>
      </c>
      <c r="E29" s="111">
        <v>1.0</v>
      </c>
      <c r="F29" s="112">
        <v>86236.0</v>
      </c>
      <c r="G29" s="118">
        <f>(100-98.931116)/E29</f>
        <v>1.068884</v>
      </c>
      <c r="H29" s="114">
        <f t="shared" si="14"/>
        <v>90215.08157</v>
      </c>
      <c r="I29" s="115">
        <f>352309/5</f>
        <v>70461.8</v>
      </c>
      <c r="J29" s="113">
        <f>(100-95.724466)/E29/5</f>
        <v>0.8551068</v>
      </c>
      <c r="K29" s="114">
        <f t="shared" si="15"/>
        <v>72172.0315</v>
      </c>
      <c r="L29" s="115">
        <f t="shared" si="3"/>
        <v>86236</v>
      </c>
      <c r="M29" s="115">
        <f t="shared" si="4"/>
        <v>70461.8</v>
      </c>
      <c r="N29" s="116">
        <f t="shared" si="5"/>
        <v>0.82</v>
      </c>
    </row>
    <row r="30" ht="30.0" customHeight="1">
      <c r="A30" s="44"/>
      <c r="B30" s="49" t="s">
        <v>1138</v>
      </c>
      <c r="C30" s="111" t="s">
        <v>545</v>
      </c>
      <c r="D30" s="117" t="s">
        <v>1658</v>
      </c>
      <c r="E30" s="111">
        <v>2.0</v>
      </c>
      <c r="F30" s="112">
        <f>99694/E30</f>
        <v>49847</v>
      </c>
      <c r="G30" s="118">
        <f>(99.64497-98.579882)/E30</f>
        <v>0.532544</v>
      </c>
      <c r="H30" s="114">
        <f t="shared" ref="H30:H34" si="16">G30/100*9781797</f>
        <v>52092.37302</v>
      </c>
      <c r="I30" s="115">
        <f>412128/5/E30</f>
        <v>41212.8</v>
      </c>
      <c r="J30" s="113">
        <f>(99.64497-95.502959)/5/E30</f>
        <v>0.4142011</v>
      </c>
      <c r="K30" s="114">
        <f t="shared" ref="K30:K34" si="17">J30/100*9781797</f>
        <v>40516.31077</v>
      </c>
      <c r="L30" s="115">
        <f t="shared" si="3"/>
        <v>49847</v>
      </c>
      <c r="M30" s="115">
        <f t="shared" si="4"/>
        <v>41212.8</v>
      </c>
      <c r="N30" s="116">
        <f t="shared" si="5"/>
        <v>0.83</v>
      </c>
    </row>
    <row r="31" ht="30.0" customHeight="1">
      <c r="A31" s="44"/>
      <c r="B31" s="49" t="s">
        <v>980</v>
      </c>
      <c r="C31" s="49" t="s">
        <v>1001</v>
      </c>
      <c r="D31" s="50" t="s">
        <v>1311</v>
      </c>
      <c r="E31" s="111">
        <v>2.0</v>
      </c>
      <c r="F31" s="112">
        <f>298230/E31</f>
        <v>149115</v>
      </c>
      <c r="G31" s="118">
        <f>(99.64497-96.568047)/E31</f>
        <v>1.5384615</v>
      </c>
      <c r="H31" s="114">
        <f t="shared" si="16"/>
        <v>150489.1809</v>
      </c>
      <c r="I31" s="115">
        <f>1248194/5/E31</f>
        <v>124819.4</v>
      </c>
      <c r="J31" s="113">
        <f>(99.64497-86.982249)/5/E31</f>
        <v>1.2662721</v>
      </c>
      <c r="K31" s="114">
        <f t="shared" si="17"/>
        <v>123864.1663</v>
      </c>
      <c r="L31" s="115">
        <f t="shared" si="3"/>
        <v>149115</v>
      </c>
      <c r="M31" s="115">
        <f t="shared" si="4"/>
        <v>124819.4</v>
      </c>
      <c r="N31" s="116">
        <f t="shared" si="5"/>
        <v>0.84</v>
      </c>
    </row>
    <row r="32" ht="30.0" customHeight="1">
      <c r="A32" s="49"/>
      <c r="B32" s="49" t="s">
        <v>1256</v>
      </c>
      <c r="C32" s="49" t="s">
        <v>1305</v>
      </c>
      <c r="D32" s="50" t="s">
        <v>1659</v>
      </c>
      <c r="E32" s="111">
        <v>4.0</v>
      </c>
      <c r="F32" s="112">
        <f>463086/E32</f>
        <v>115771.5</v>
      </c>
      <c r="G32" s="113">
        <f>(99.64497-94.911243)/E32</f>
        <v>1.18343175</v>
      </c>
      <c r="H32" s="114">
        <f t="shared" si="16"/>
        <v>115760.8914</v>
      </c>
      <c r="I32" s="115">
        <f>1935053/E32/5</f>
        <v>96752.65</v>
      </c>
      <c r="J32" s="118">
        <f>(99.64497-79.881657)/E32/5</f>
        <v>0.98816565</v>
      </c>
      <c r="K32" s="114">
        <f t="shared" si="17"/>
        <v>96660.35791</v>
      </c>
      <c r="L32" s="115">
        <f t="shared" si="3"/>
        <v>115771.5</v>
      </c>
      <c r="M32" s="115">
        <f t="shared" si="4"/>
        <v>96752.65</v>
      </c>
      <c r="N32" s="116">
        <f t="shared" si="5"/>
        <v>0.84</v>
      </c>
    </row>
    <row r="33" ht="30.0" customHeight="1">
      <c r="A33" s="49"/>
      <c r="B33" s="49" t="s">
        <v>1256</v>
      </c>
      <c r="C33" s="49" t="s">
        <v>1292</v>
      </c>
      <c r="D33" s="50" t="s">
        <v>1660</v>
      </c>
      <c r="E33" s="111">
        <v>1.0</v>
      </c>
      <c r="F33" s="112">
        <v>127279.0</v>
      </c>
      <c r="G33" s="113">
        <f t="shared" ref="G33:G34" si="18">(99.64497-98.343195)/E33</f>
        <v>1.301775</v>
      </c>
      <c r="H33" s="114">
        <f t="shared" si="16"/>
        <v>127336.9879</v>
      </c>
      <c r="I33" s="115">
        <f>525053/E33/5</f>
        <v>105010.6</v>
      </c>
      <c r="J33" s="113">
        <f t="shared" ref="J33:J34" si="19">(99.64497-94.08284)/E33/5</f>
        <v>1.112426</v>
      </c>
      <c r="K33" s="114">
        <f t="shared" si="17"/>
        <v>108815.2531</v>
      </c>
      <c r="L33" s="115">
        <f t="shared" si="3"/>
        <v>127279</v>
      </c>
      <c r="M33" s="115">
        <f t="shared" si="4"/>
        <v>108815.2531</v>
      </c>
      <c r="N33" s="116">
        <f t="shared" si="5"/>
        <v>0.85</v>
      </c>
    </row>
    <row r="34" ht="30.0" customHeight="1">
      <c r="A34" s="49"/>
      <c r="B34" s="49" t="s">
        <v>1256</v>
      </c>
      <c r="C34" s="49" t="s">
        <v>1316</v>
      </c>
      <c r="D34" s="50" t="s">
        <v>1654</v>
      </c>
      <c r="E34" s="111">
        <v>4.0</v>
      </c>
      <c r="F34" s="112">
        <f>78587/E34</f>
        <v>19646.75</v>
      </c>
      <c r="G34" s="113">
        <f t="shared" si="18"/>
        <v>0.32544375</v>
      </c>
      <c r="H34" s="114">
        <f t="shared" si="16"/>
        <v>31834.24697</v>
      </c>
      <c r="I34" s="115">
        <f>410223/E34/5</f>
        <v>20511.15</v>
      </c>
      <c r="J34" s="118">
        <f t="shared" si="19"/>
        <v>0.2781065</v>
      </c>
      <c r="K34" s="114">
        <f t="shared" si="17"/>
        <v>27203.81327</v>
      </c>
      <c r="L34" s="115">
        <f t="shared" si="3"/>
        <v>31834.24697</v>
      </c>
      <c r="M34" s="115">
        <f t="shared" si="4"/>
        <v>27203.81327</v>
      </c>
      <c r="N34" s="116">
        <f t="shared" si="5"/>
        <v>0.85</v>
      </c>
    </row>
    <row r="35" ht="30.0" customHeight="1">
      <c r="A35" s="44"/>
      <c r="B35" s="111" t="s">
        <v>1168</v>
      </c>
      <c r="C35" s="111" t="s">
        <v>29</v>
      </c>
      <c r="D35" s="117" t="s">
        <v>1661</v>
      </c>
      <c r="E35" s="111">
        <v>3.0</v>
      </c>
      <c r="F35" s="112">
        <f>538058/E35</f>
        <v>179352.6667</v>
      </c>
      <c r="G35" s="118">
        <f>(100-93.349169)/E35</f>
        <v>2.216943667</v>
      </c>
      <c r="H35" s="114">
        <f>G35/100*8440119</f>
        <v>187112.6836</v>
      </c>
      <c r="I35" s="115">
        <f>2304868/5/E35</f>
        <v>153657.8667</v>
      </c>
      <c r="J35" s="113">
        <f>(100-71.496437)/E35/5</f>
        <v>1.900237533</v>
      </c>
      <c r="K35" s="114">
        <f>J35/100*8440119</f>
        <v>160382.3091</v>
      </c>
      <c r="L35" s="115">
        <f t="shared" si="3"/>
        <v>187112.6836</v>
      </c>
      <c r="M35" s="115">
        <f t="shared" si="4"/>
        <v>160382.3091</v>
      </c>
      <c r="N35" s="116">
        <f t="shared" si="5"/>
        <v>0.86</v>
      </c>
    </row>
    <row r="36" ht="30.0" customHeight="1">
      <c r="A36" s="49"/>
      <c r="B36" s="49" t="s">
        <v>1256</v>
      </c>
      <c r="C36" s="49" t="s">
        <v>1325</v>
      </c>
      <c r="D36" s="50" t="s">
        <v>1662</v>
      </c>
      <c r="E36" s="111">
        <v>2.0</v>
      </c>
      <c r="F36" s="112">
        <f>123990/E36</f>
        <v>61995</v>
      </c>
      <c r="G36" s="113">
        <f>(99.64497-98.343195)/E36</f>
        <v>0.6508875</v>
      </c>
      <c r="H36" s="114">
        <f t="shared" ref="H36:H39" si="20">G36/100*9781797</f>
        <v>63668.49395</v>
      </c>
      <c r="I36" s="115">
        <f>498121/E36/5</f>
        <v>49812.1</v>
      </c>
      <c r="J36" s="118">
        <f>(99.64497-94.08284)/E36/5</f>
        <v>0.556213</v>
      </c>
      <c r="K36" s="114">
        <f t="shared" ref="K36:K39" si="21">J36/100*9781797</f>
        <v>54407.62655</v>
      </c>
      <c r="L36" s="115">
        <f t="shared" si="3"/>
        <v>61995</v>
      </c>
      <c r="M36" s="115">
        <f t="shared" si="4"/>
        <v>54407.62655</v>
      </c>
      <c r="N36" s="116">
        <f t="shared" si="5"/>
        <v>0.88</v>
      </c>
    </row>
    <row r="37" ht="30.0" customHeight="1">
      <c r="A37" s="49"/>
      <c r="B37" s="49" t="s">
        <v>31</v>
      </c>
      <c r="C37" s="49" t="s">
        <v>1615</v>
      </c>
      <c r="D37" s="50"/>
      <c r="E37" s="49">
        <v>1.0</v>
      </c>
      <c r="F37" s="112">
        <v>535983.0</v>
      </c>
      <c r="G37" s="113">
        <f>(99.526627-94.08284)/E37</f>
        <v>5.443787</v>
      </c>
      <c r="H37" s="114">
        <f t="shared" si="20"/>
        <v>532500.1935</v>
      </c>
      <c r="I37" s="115">
        <f>2343162/E37/5</f>
        <v>468632.4</v>
      </c>
      <c r="J37" s="113">
        <f>(99.64497-75.147929)/E37/5</f>
        <v>4.8994082</v>
      </c>
      <c r="K37" s="114">
        <f t="shared" si="21"/>
        <v>479250.1643</v>
      </c>
      <c r="L37" s="115">
        <f t="shared" si="3"/>
        <v>535983</v>
      </c>
      <c r="M37" s="115">
        <f t="shared" si="4"/>
        <v>479250.1643</v>
      </c>
      <c r="N37" s="116">
        <f t="shared" si="5"/>
        <v>0.89</v>
      </c>
    </row>
    <row r="38" ht="30.0" customHeight="1">
      <c r="A38" s="44"/>
      <c r="B38" s="49" t="s">
        <v>980</v>
      </c>
      <c r="C38" s="111" t="s">
        <v>514</v>
      </c>
      <c r="D38" s="50"/>
      <c r="E38" s="111">
        <v>1.0</v>
      </c>
      <c r="F38" s="112">
        <v>111120.0</v>
      </c>
      <c r="G38" s="118">
        <f>(99.64497-98.461538)/E38</f>
        <v>1.183432</v>
      </c>
      <c r="H38" s="114">
        <f t="shared" si="20"/>
        <v>115760.9159</v>
      </c>
      <c r="I38" s="115">
        <f>548200/5</f>
        <v>109640</v>
      </c>
      <c r="J38" s="113">
        <f>(99.64497-94.43787)/5/E38</f>
        <v>1.04142</v>
      </c>
      <c r="K38" s="114">
        <f t="shared" si="21"/>
        <v>101869.5903</v>
      </c>
      <c r="L38" s="115">
        <f t="shared" si="3"/>
        <v>111120</v>
      </c>
      <c r="M38" s="115">
        <f t="shared" si="4"/>
        <v>101869.5903</v>
      </c>
      <c r="N38" s="116">
        <f t="shared" si="5"/>
        <v>0.92</v>
      </c>
    </row>
    <row r="39" ht="30.0" customHeight="1">
      <c r="A39" s="49"/>
      <c r="B39" s="49" t="s">
        <v>1256</v>
      </c>
      <c r="C39" s="49" t="s">
        <v>1273</v>
      </c>
      <c r="D39" s="50" t="s">
        <v>1663</v>
      </c>
      <c r="E39" s="49">
        <v>4.0</v>
      </c>
      <c r="F39" s="112">
        <f>399097/E39</f>
        <v>99774.25</v>
      </c>
      <c r="G39" s="113">
        <f>(99.64497-95.502959)/E39</f>
        <v>1.03550275</v>
      </c>
      <c r="H39" s="114">
        <f t="shared" si="20"/>
        <v>101290.7769</v>
      </c>
      <c r="I39" s="115">
        <f>1768016/E39/5</f>
        <v>88400.8</v>
      </c>
      <c r="J39" s="118">
        <f>(99.64497-80.828402)/E39/5</f>
        <v>0.9408284</v>
      </c>
      <c r="K39" s="114">
        <f t="shared" si="21"/>
        <v>92029.92421</v>
      </c>
      <c r="L39" s="115">
        <f t="shared" si="3"/>
        <v>99774.25</v>
      </c>
      <c r="M39" s="115">
        <f t="shared" si="4"/>
        <v>92029.92421</v>
      </c>
      <c r="N39" s="116">
        <f t="shared" si="5"/>
        <v>0.92</v>
      </c>
    </row>
    <row r="40" ht="30.0" customHeight="1">
      <c r="A40" s="49"/>
      <c r="B40" s="49" t="s">
        <v>31</v>
      </c>
      <c r="C40" s="49" t="s">
        <v>1466</v>
      </c>
      <c r="D40" s="50" t="s">
        <v>1664</v>
      </c>
      <c r="E40" s="49">
        <v>1.0</v>
      </c>
      <c r="F40" s="112">
        <v>362118.0</v>
      </c>
      <c r="G40" s="118">
        <f>100-95.605701</f>
        <v>4.394299</v>
      </c>
      <c r="H40" s="114">
        <f t="shared" ref="H40:H41" si="22">G40/100*8440119</f>
        <v>370884.0648</v>
      </c>
      <c r="I40" s="115">
        <f>1665861/5</f>
        <v>333172.2</v>
      </c>
      <c r="J40" s="113">
        <f>(99.64497-79.928741)/5/E40</f>
        <v>3.9432458</v>
      </c>
      <c r="K40" s="114">
        <f t="shared" ref="K40:K41" si="23">J40/100*8440119</f>
        <v>332814.638</v>
      </c>
      <c r="L40" s="115">
        <f t="shared" si="3"/>
        <v>362118</v>
      </c>
      <c r="M40" s="115">
        <f t="shared" si="4"/>
        <v>333172.2</v>
      </c>
      <c r="N40" s="116">
        <f t="shared" si="5"/>
        <v>0.92</v>
      </c>
    </row>
    <row r="41" ht="30.0" customHeight="1">
      <c r="A41" s="49"/>
      <c r="B41" s="49" t="s">
        <v>31</v>
      </c>
      <c r="C41" s="49" t="s">
        <v>1535</v>
      </c>
      <c r="D41" s="50" t="s">
        <v>1665</v>
      </c>
      <c r="E41" s="49">
        <v>1.0</v>
      </c>
      <c r="F41" s="112">
        <v>444160.0</v>
      </c>
      <c r="G41" s="118">
        <f>100-94.774347</f>
        <v>5.225653</v>
      </c>
      <c r="H41" s="114">
        <f t="shared" si="22"/>
        <v>441051.3317</v>
      </c>
      <c r="I41" s="115">
        <f>2074538/5</f>
        <v>414907.6</v>
      </c>
      <c r="J41" s="113">
        <f>(99.64497-75.296912)/5/E41</f>
        <v>4.8696116</v>
      </c>
      <c r="K41" s="114">
        <f t="shared" si="23"/>
        <v>411001.0139</v>
      </c>
      <c r="L41" s="115">
        <f t="shared" si="3"/>
        <v>444160</v>
      </c>
      <c r="M41" s="115">
        <f t="shared" si="4"/>
        <v>411001.0139</v>
      </c>
      <c r="N41" s="116">
        <f t="shared" si="5"/>
        <v>0.93</v>
      </c>
    </row>
    <row r="42" ht="30.0" customHeight="1">
      <c r="A42" s="49"/>
      <c r="B42" s="49" t="s">
        <v>1256</v>
      </c>
      <c r="C42" s="49" t="s">
        <v>1312</v>
      </c>
      <c r="D42" s="50" t="s">
        <v>1660</v>
      </c>
      <c r="E42" s="111">
        <v>1.0</v>
      </c>
      <c r="F42" s="112">
        <v>64316.0</v>
      </c>
      <c r="G42" s="113">
        <f>(99.64497-98.934911)/E42</f>
        <v>0.710059</v>
      </c>
      <c r="H42" s="114">
        <f t="shared" ref="H42:H45" si="24">G42/100*9781797</f>
        <v>69456.52996</v>
      </c>
      <c r="I42" s="115">
        <f>280666/E42/5</f>
        <v>56133.2</v>
      </c>
      <c r="J42" s="113">
        <f>(99.64497-96.568047)/E42/5</f>
        <v>0.6153846</v>
      </c>
      <c r="K42" s="114">
        <f t="shared" ref="K42:K45" si="25">J42/100*9781797</f>
        <v>60195.67234</v>
      </c>
      <c r="L42" s="115">
        <f t="shared" si="3"/>
        <v>64316</v>
      </c>
      <c r="M42" s="115">
        <f t="shared" si="4"/>
        <v>60195.67234</v>
      </c>
      <c r="N42" s="116">
        <f t="shared" si="5"/>
        <v>0.94</v>
      </c>
    </row>
    <row r="43" ht="30.0" customHeight="1">
      <c r="A43" s="44"/>
      <c r="B43" s="49" t="s">
        <v>845</v>
      </c>
      <c r="C43" s="49" t="s">
        <v>569</v>
      </c>
      <c r="D43" s="117" t="s">
        <v>885</v>
      </c>
      <c r="E43" s="111">
        <v>1.0</v>
      </c>
      <c r="F43" s="112">
        <f>493785/1.25</f>
        <v>395028</v>
      </c>
      <c r="G43" s="113">
        <f>(99.64497-94.201183)/1.25/E43</f>
        <v>4.3550296</v>
      </c>
      <c r="H43" s="114">
        <f t="shared" si="24"/>
        <v>426000.1548</v>
      </c>
      <c r="I43" s="115">
        <f>2421416/1.25/E43/5</f>
        <v>387426.56</v>
      </c>
      <c r="J43" s="113">
        <f>(99.64497-73.491124)/1.25/E43/5</f>
        <v>4.18461536</v>
      </c>
      <c r="K43" s="114">
        <f t="shared" si="25"/>
        <v>409330.5797</v>
      </c>
      <c r="L43" s="115">
        <f t="shared" si="3"/>
        <v>426000.1548</v>
      </c>
      <c r="M43" s="115">
        <f t="shared" si="4"/>
        <v>409330.5797</v>
      </c>
      <c r="N43" s="116">
        <f t="shared" si="5"/>
        <v>0.96</v>
      </c>
    </row>
    <row r="44" ht="30.0" customHeight="1">
      <c r="A44" s="44"/>
      <c r="B44" s="49" t="s">
        <v>1011</v>
      </c>
      <c r="C44" s="49" t="s">
        <v>1039</v>
      </c>
      <c r="D44" s="117" t="s">
        <v>1666</v>
      </c>
      <c r="E44" s="111">
        <v>1.0</v>
      </c>
      <c r="F44" s="112">
        <f>426809/1.25</f>
        <v>341447.2</v>
      </c>
      <c r="G44" s="113">
        <f>(99.64497-95.266272)/1.25/E44</f>
        <v>3.5029584</v>
      </c>
      <c r="H44" s="114">
        <f t="shared" si="24"/>
        <v>342652.2797</v>
      </c>
      <c r="I44" s="115">
        <f>2064949/1.25/E44/5</f>
        <v>330391.84</v>
      </c>
      <c r="J44" s="113">
        <f>(99.64497-78.698225)/1.25/E44/5</f>
        <v>3.3514792</v>
      </c>
      <c r="K44" s="114">
        <f t="shared" si="25"/>
        <v>327834.8918</v>
      </c>
      <c r="L44" s="115">
        <f t="shared" si="3"/>
        <v>341447.2</v>
      </c>
      <c r="M44" s="115">
        <f t="shared" si="4"/>
        <v>327834.8918</v>
      </c>
      <c r="N44" s="116">
        <f t="shared" si="5"/>
        <v>0.96</v>
      </c>
    </row>
    <row r="45" ht="30.0" customHeight="1">
      <c r="A45" s="49"/>
      <c r="B45" s="49" t="s">
        <v>1416</v>
      </c>
      <c r="C45" s="49" t="s">
        <v>1417</v>
      </c>
      <c r="D45" s="50" t="s">
        <v>1347</v>
      </c>
      <c r="E45" s="111">
        <v>10.0</v>
      </c>
      <c r="F45" s="119">
        <f>83340/E45</f>
        <v>8334</v>
      </c>
      <c r="G45" s="113">
        <f>(99.64497-98.816568)/E45</f>
        <v>0.0828402</v>
      </c>
      <c r="H45" s="114">
        <f t="shared" si="24"/>
        <v>8103.260198</v>
      </c>
      <c r="I45" s="115">
        <f>402810/E45/5</f>
        <v>8056.2</v>
      </c>
      <c r="J45" s="113">
        <f>(99.64497-95.502959)/E45/5</f>
        <v>0.08284022</v>
      </c>
      <c r="K45" s="114">
        <f t="shared" si="25"/>
        <v>8103.262155</v>
      </c>
      <c r="L45" s="115">
        <f t="shared" si="3"/>
        <v>8334</v>
      </c>
      <c r="M45" s="115">
        <f t="shared" si="4"/>
        <v>8056.2</v>
      </c>
      <c r="N45" s="116">
        <f t="shared" si="5"/>
        <v>0.97</v>
      </c>
    </row>
    <row r="46" ht="30.0" customHeight="1">
      <c r="A46" s="44"/>
      <c r="B46" s="49" t="s">
        <v>1168</v>
      </c>
      <c r="C46" s="49" t="s">
        <v>1178</v>
      </c>
      <c r="D46" s="117" t="s">
        <v>1656</v>
      </c>
      <c r="E46" s="111">
        <v>3.0</v>
      </c>
      <c r="F46" s="112">
        <f>336594/E46</f>
        <v>112198</v>
      </c>
      <c r="G46" s="118">
        <f>(100-95.605701)/E46</f>
        <v>1.464766333</v>
      </c>
      <c r="H46" s="114">
        <f>G46/100*8440119</f>
        <v>123628.0216</v>
      </c>
      <c r="I46" s="115">
        <f>1682970/5/E46</f>
        <v>112198</v>
      </c>
      <c r="J46" s="113">
        <f>(100-78.384798)/E46/5</f>
        <v>1.441013467</v>
      </c>
      <c r="K46" s="114">
        <f>J46/100*8440119</f>
        <v>121623.2514</v>
      </c>
      <c r="L46" s="115">
        <f t="shared" si="3"/>
        <v>123628.0216</v>
      </c>
      <c r="M46" s="115">
        <f t="shared" si="4"/>
        <v>121623.2514</v>
      </c>
      <c r="N46" s="116">
        <f t="shared" si="5"/>
        <v>0.98</v>
      </c>
    </row>
    <row r="47" ht="30.0" customHeight="1">
      <c r="A47" s="49"/>
      <c r="B47" s="111" t="s">
        <v>31</v>
      </c>
      <c r="C47" s="111" t="s">
        <v>1480</v>
      </c>
      <c r="D47" s="117" t="s">
        <v>1667</v>
      </c>
      <c r="E47" s="111">
        <v>1.0</v>
      </c>
      <c r="F47" s="112">
        <v>761218.0</v>
      </c>
      <c r="G47" s="113">
        <f>(99.64497-91.952663)/E47</f>
        <v>7.692307</v>
      </c>
      <c r="H47" s="114">
        <f t="shared" ref="H47:H57" si="26">G47/100*9781797</f>
        <v>752445.8554</v>
      </c>
      <c r="I47" s="115">
        <f>3683581/E47/5</f>
        <v>736716.2</v>
      </c>
      <c r="J47" s="118">
        <f>(99.64497-61.538462)/E47/5</f>
        <v>7.6213016</v>
      </c>
      <c r="K47" s="114">
        <f t="shared" ref="K47:K57" si="27">J47/100*9781797</f>
        <v>745500.2513</v>
      </c>
      <c r="L47" s="115">
        <f t="shared" si="3"/>
        <v>761218</v>
      </c>
      <c r="M47" s="115">
        <f t="shared" si="4"/>
        <v>745500.2513</v>
      </c>
      <c r="N47" s="116">
        <f t="shared" si="5"/>
        <v>0.98</v>
      </c>
    </row>
    <row r="48" ht="30.0" customHeight="1">
      <c r="A48" s="49"/>
      <c r="B48" s="49" t="s">
        <v>31</v>
      </c>
      <c r="C48" s="49" t="s">
        <v>1545</v>
      </c>
      <c r="D48" s="50" t="s">
        <v>1552</v>
      </c>
      <c r="E48" s="49">
        <v>1.0</v>
      </c>
      <c r="F48" s="112">
        <v>526329.0</v>
      </c>
      <c r="G48" s="113">
        <f>(99.64497-94.319527)/E48</f>
        <v>5.325443</v>
      </c>
      <c r="H48" s="114">
        <f t="shared" si="26"/>
        <v>520924.0236</v>
      </c>
      <c r="I48" s="115">
        <f>2501206/E48/5</f>
        <v>500241.2</v>
      </c>
      <c r="J48" s="113">
        <f>(99.64497-72.899408)/E48/5</f>
        <v>5.3491124</v>
      </c>
      <c r="K48" s="114">
        <f t="shared" si="27"/>
        <v>523239.3163</v>
      </c>
      <c r="L48" s="115">
        <f t="shared" si="3"/>
        <v>526329</v>
      </c>
      <c r="M48" s="115">
        <f t="shared" si="4"/>
        <v>523239.3163</v>
      </c>
      <c r="N48" s="116">
        <f t="shared" si="5"/>
        <v>0.99</v>
      </c>
    </row>
    <row r="49" ht="30.0" customHeight="1">
      <c r="A49" s="44"/>
      <c r="B49" s="49" t="s">
        <v>1648</v>
      </c>
      <c r="C49" s="49" t="s">
        <v>429</v>
      </c>
      <c r="D49" s="117" t="s">
        <v>1668</v>
      </c>
      <c r="E49" s="111">
        <v>1.0</v>
      </c>
      <c r="F49" s="112">
        <f>284058/1.25</f>
        <v>227246.4</v>
      </c>
      <c r="G49" s="113">
        <f>(99.64497-96.686391)/1.25/E49</f>
        <v>2.3668632</v>
      </c>
      <c r="H49" s="114">
        <f t="shared" si="26"/>
        <v>231521.7535</v>
      </c>
      <c r="I49" s="115">
        <f>1433860/1.25/E49/5</f>
        <v>229417.6</v>
      </c>
      <c r="J49" s="113">
        <f>(99.64497-84.733728)/1.25/E49/5</f>
        <v>2.38579872</v>
      </c>
      <c r="K49" s="114">
        <f t="shared" si="27"/>
        <v>233373.9876</v>
      </c>
      <c r="L49" s="115">
        <f t="shared" si="3"/>
        <v>227246.4</v>
      </c>
      <c r="M49" s="115">
        <f t="shared" si="4"/>
        <v>233373.9876</v>
      </c>
      <c r="N49" s="116">
        <f t="shared" si="5"/>
        <v>1.03</v>
      </c>
    </row>
    <row r="50" ht="30.0" customHeight="1">
      <c r="A50" s="44"/>
      <c r="B50" s="49" t="s">
        <v>709</v>
      </c>
      <c r="C50" s="49" t="s">
        <v>737</v>
      </c>
      <c r="D50" s="50"/>
      <c r="E50" s="111">
        <v>5.0</v>
      </c>
      <c r="F50" s="112">
        <f>638530/1.25/E50</f>
        <v>102164.8</v>
      </c>
      <c r="G50" s="113">
        <f>(99.64497-93.136095)/1.25/E50</f>
        <v>1.04142</v>
      </c>
      <c r="H50" s="114">
        <f t="shared" si="26"/>
        <v>101869.5903</v>
      </c>
      <c r="I50" s="115">
        <f>3192650/1.25/E50/5</f>
        <v>102164.8</v>
      </c>
      <c r="J50" s="113">
        <f>(99.64497-65.56213)/1.25/E50/5</f>
        <v>1.09065088</v>
      </c>
      <c r="K50" s="114">
        <f t="shared" si="27"/>
        <v>106685.2551</v>
      </c>
      <c r="L50" s="115">
        <f t="shared" si="3"/>
        <v>102164.8</v>
      </c>
      <c r="M50" s="115">
        <f t="shared" si="4"/>
        <v>106685.2551</v>
      </c>
      <c r="N50" s="116">
        <f t="shared" si="5"/>
        <v>1.04</v>
      </c>
    </row>
    <row r="51" ht="30.0" customHeight="1">
      <c r="A51" s="49"/>
      <c r="B51" s="49" t="s">
        <v>31</v>
      </c>
      <c r="C51" s="49" t="s">
        <v>1454</v>
      </c>
      <c r="D51" s="117" t="s">
        <v>1669</v>
      </c>
      <c r="E51" s="49">
        <v>1.0</v>
      </c>
      <c r="F51" s="112">
        <v>411268.0</v>
      </c>
      <c r="G51" s="113">
        <f>(99.64497-95.502959)/E51</f>
        <v>4.142011</v>
      </c>
      <c r="H51" s="114">
        <f t="shared" si="26"/>
        <v>405163.1077</v>
      </c>
      <c r="I51" s="115">
        <f>2036975/E51/5</f>
        <v>407395</v>
      </c>
      <c r="J51" s="113">
        <f>(99.64497-77.514793)/E51/5</f>
        <v>4.4260354</v>
      </c>
      <c r="K51" s="114">
        <f t="shared" si="27"/>
        <v>432945.798</v>
      </c>
      <c r="L51" s="115">
        <f t="shared" si="3"/>
        <v>411268</v>
      </c>
      <c r="M51" s="115">
        <f t="shared" si="4"/>
        <v>432945.798</v>
      </c>
      <c r="N51" s="116">
        <f t="shared" si="5"/>
        <v>1.05</v>
      </c>
    </row>
    <row r="52" ht="30.0" customHeight="1">
      <c r="A52" s="49"/>
      <c r="B52" s="49" t="s">
        <v>31</v>
      </c>
      <c r="C52" s="49" t="s">
        <v>1619</v>
      </c>
      <c r="D52" s="50" t="s">
        <v>1670</v>
      </c>
      <c r="E52" s="49">
        <v>1.0</v>
      </c>
      <c r="F52" s="112">
        <f>547094</f>
        <v>547094</v>
      </c>
      <c r="G52" s="113">
        <f>(99.526627-94.08284)/E52</f>
        <v>5.443787</v>
      </c>
      <c r="H52" s="114">
        <f t="shared" si="26"/>
        <v>532500.1935</v>
      </c>
      <c r="I52" s="115">
        <f>2664926/E52/5</f>
        <v>532985.2</v>
      </c>
      <c r="J52" s="113">
        <f>(99.64497-70.887574)/E52/5</f>
        <v>5.7514792</v>
      </c>
      <c r="K52" s="114">
        <f t="shared" si="27"/>
        <v>562598.0198</v>
      </c>
      <c r="L52" s="115">
        <f t="shared" si="3"/>
        <v>532500.1935</v>
      </c>
      <c r="M52" s="115">
        <f t="shared" si="4"/>
        <v>562598.0198</v>
      </c>
      <c r="N52" s="116">
        <f t="shared" si="5"/>
        <v>1.06</v>
      </c>
    </row>
    <row r="53" ht="30.0" customHeight="1">
      <c r="A53" s="49"/>
      <c r="B53" s="49" t="s">
        <v>1256</v>
      </c>
      <c r="C53" s="111" t="s">
        <v>1298</v>
      </c>
      <c r="D53" s="50" t="s">
        <v>1260</v>
      </c>
      <c r="E53" s="111">
        <v>3.0</v>
      </c>
      <c r="F53" s="112">
        <f>138788/E53</f>
        <v>46262.66667</v>
      </c>
      <c r="G53" s="113">
        <f>(99.64497-98.224852)/E53</f>
        <v>0.4733726667</v>
      </c>
      <c r="H53" s="114">
        <f t="shared" si="26"/>
        <v>46304.35331</v>
      </c>
      <c r="I53" s="115">
        <f>675776/E53/5</f>
        <v>45051.73333</v>
      </c>
      <c r="J53" s="118">
        <f>(99.64497-92.071006)/E53/5</f>
        <v>0.5049309333</v>
      </c>
      <c r="K53" s="114">
        <f t="shared" si="27"/>
        <v>49391.31889</v>
      </c>
      <c r="L53" s="115">
        <f t="shared" si="3"/>
        <v>46262.66667</v>
      </c>
      <c r="M53" s="115">
        <f t="shared" si="4"/>
        <v>49391.31889</v>
      </c>
      <c r="N53" s="116">
        <f t="shared" si="5"/>
        <v>1.07</v>
      </c>
    </row>
    <row r="54" ht="30.0" customHeight="1">
      <c r="A54" s="44"/>
      <c r="B54" s="49" t="s">
        <v>1138</v>
      </c>
      <c r="C54" s="49" t="s">
        <v>447</v>
      </c>
      <c r="D54" s="50"/>
      <c r="E54" s="111">
        <v>6.0</v>
      </c>
      <c r="F54" s="112">
        <f>242240/1.25/E54</f>
        <v>32298.66667</v>
      </c>
      <c r="G54" s="113">
        <f>(99.64497-97.04142)/1.25/E54</f>
        <v>0.34714</v>
      </c>
      <c r="H54" s="114">
        <f t="shared" si="26"/>
        <v>33956.53011</v>
      </c>
      <c r="I54" s="115">
        <f>1211200/1.25/E54/5</f>
        <v>32298.66667</v>
      </c>
      <c r="J54" s="113">
        <f>(99.64497-86.153846)/1.25/E54/5</f>
        <v>0.3597633067</v>
      </c>
      <c r="K54" s="114">
        <f t="shared" si="27"/>
        <v>35191.31634</v>
      </c>
      <c r="L54" s="115">
        <f t="shared" si="3"/>
        <v>32298.66667</v>
      </c>
      <c r="M54" s="115">
        <f t="shared" si="4"/>
        <v>35191.31634</v>
      </c>
      <c r="N54" s="116">
        <f t="shared" si="5"/>
        <v>1.09</v>
      </c>
    </row>
    <row r="55" ht="30.0" customHeight="1">
      <c r="A55" s="49"/>
      <c r="B55" s="49" t="s">
        <v>31</v>
      </c>
      <c r="C55" s="49" t="s">
        <v>1554</v>
      </c>
      <c r="D55" s="50"/>
      <c r="E55" s="49">
        <v>1.0</v>
      </c>
      <c r="F55" s="112">
        <v>474359.0</v>
      </c>
      <c r="G55" s="113">
        <f>(99.64497-94.792899)/E55</f>
        <v>4.852071</v>
      </c>
      <c r="H55" s="114">
        <f t="shared" si="26"/>
        <v>474619.7355</v>
      </c>
      <c r="I55" s="115">
        <f>2371795/E55/5</f>
        <v>474359</v>
      </c>
      <c r="J55" s="113">
        <f>(99.64497-73.254438)/E55/5</f>
        <v>5.2781064</v>
      </c>
      <c r="K55" s="114">
        <f t="shared" si="27"/>
        <v>516293.6535</v>
      </c>
      <c r="L55" s="115">
        <f t="shared" si="3"/>
        <v>474359</v>
      </c>
      <c r="M55" s="115">
        <f t="shared" si="4"/>
        <v>516293.6535</v>
      </c>
      <c r="N55" s="116">
        <f t="shared" si="5"/>
        <v>1.09</v>
      </c>
    </row>
    <row r="56" ht="30.0" customHeight="1">
      <c r="A56" s="49"/>
      <c r="B56" s="49" t="s">
        <v>1256</v>
      </c>
      <c r="C56" s="111" t="s">
        <v>1298</v>
      </c>
      <c r="D56" s="50"/>
      <c r="E56" s="111">
        <v>4.0</v>
      </c>
      <c r="F56" s="112">
        <f>159481/E56</f>
        <v>39870.25</v>
      </c>
      <c r="G56" s="113">
        <f>(99.64497-97.988166)/E56</f>
        <v>0.414201</v>
      </c>
      <c r="H56" s="114">
        <f t="shared" si="26"/>
        <v>40516.30099</v>
      </c>
      <c r="I56" s="115">
        <f>839893/E56/5</f>
        <v>41994.65</v>
      </c>
      <c r="J56" s="118">
        <f>(99.64497-90.650888)/E56/5</f>
        <v>0.4497041</v>
      </c>
      <c r="K56" s="114">
        <f t="shared" si="27"/>
        <v>43989.14216</v>
      </c>
      <c r="L56" s="115">
        <f t="shared" si="3"/>
        <v>39870.25</v>
      </c>
      <c r="M56" s="115">
        <f t="shared" si="4"/>
        <v>43989.14216</v>
      </c>
      <c r="N56" s="116">
        <f t="shared" si="5"/>
        <v>1.1</v>
      </c>
    </row>
    <row r="57" ht="30.0" customHeight="1">
      <c r="A57" s="44"/>
      <c r="B57" s="49" t="s">
        <v>945</v>
      </c>
      <c r="C57" s="49" t="s">
        <v>484</v>
      </c>
      <c r="D57" s="117" t="s">
        <v>1671</v>
      </c>
      <c r="E57" s="111">
        <v>1.0</v>
      </c>
      <c r="F57" s="112">
        <f>588998/1.25</f>
        <v>471198.4</v>
      </c>
      <c r="G57" s="113">
        <f>(99.64497-93.727811)/1.25/E57</f>
        <v>4.7337272</v>
      </c>
      <c r="H57" s="114">
        <f t="shared" si="26"/>
        <v>463043.5852</v>
      </c>
      <c r="I57" s="115">
        <f>4176446/1.25/E57/5</f>
        <v>668231.36</v>
      </c>
      <c r="J57" s="113">
        <f>(99.64497-62.60355)/1.25/E57/5</f>
        <v>5.9266272</v>
      </c>
      <c r="K57" s="114">
        <f t="shared" si="27"/>
        <v>579730.6417</v>
      </c>
      <c r="L57" s="115">
        <f t="shared" si="3"/>
        <v>471198.4</v>
      </c>
      <c r="M57" s="115">
        <f t="shared" si="4"/>
        <v>579730.6417</v>
      </c>
      <c r="N57" s="116">
        <f t="shared" si="5"/>
        <v>1.23</v>
      </c>
    </row>
    <row r="58" ht="30.0" customHeight="1">
      <c r="A58" s="49"/>
      <c r="B58" s="49" t="s">
        <v>31</v>
      </c>
      <c r="C58" s="49" t="s">
        <v>1503</v>
      </c>
      <c r="D58" s="50" t="s">
        <v>1672</v>
      </c>
      <c r="E58" s="49">
        <v>1.0</v>
      </c>
      <c r="F58" s="112">
        <v>1874602.0</v>
      </c>
      <c r="G58" s="118">
        <f>100-78.741093</f>
        <v>21.258907</v>
      </c>
      <c r="H58" s="114">
        <f>G58/100*8440119</f>
        <v>1794277.049</v>
      </c>
      <c r="I58" s="115">
        <f>5141589/5*8/5</f>
        <v>1645308.48</v>
      </c>
      <c r="J58" s="113">
        <f>(99.64497-16.389549)/5*8/5/E58</f>
        <v>26.64173472</v>
      </c>
      <c r="K58" s="114">
        <f>J58/100*8440119</f>
        <v>2248594.114</v>
      </c>
      <c r="L58" s="115">
        <f t="shared" si="3"/>
        <v>1794277.049</v>
      </c>
      <c r="M58" s="115">
        <f t="shared" si="4"/>
        <v>2248594.114</v>
      </c>
      <c r="N58" s="116">
        <f t="shared" si="5"/>
        <v>1.25</v>
      </c>
    </row>
  </sheetData>
  <autoFilter ref="$A$1:$N$58">
    <sortState ref="A1:N58">
      <sortCondition ref="N1:N58"/>
      <sortCondition ref="B1:B58"/>
    </sortState>
  </autoFilter>
  <conditionalFormatting sqref="A1:N58">
    <cfRule type="containsText" dxfId="4" priority="1" operator="containsText" text="!">
      <formula>NOT(ISERROR(SEARCH(("!"),(A1))))</formula>
    </cfRule>
  </conditionalFormatting>
  <conditionalFormatting sqref="N2:N58">
    <cfRule type="colorScale" priority="2">
      <colorScale>
        <cfvo type="min"/>
        <cfvo type="formula" val="0.9"/>
        <cfvo type="max"/>
        <color rgb="FFE67C73"/>
        <color rgb="FFFFD666"/>
        <color rgb="FF57BB8A"/>
      </colorScale>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88"/>
    <col customWidth="1" min="2" max="2" width="23.38"/>
    <col customWidth="1" min="3" max="9" width="4.5"/>
    <col customWidth="1" min="10" max="19" width="6.38"/>
    <col customWidth="1" min="20" max="20" width="42.38"/>
  </cols>
  <sheetData>
    <row r="1" ht="11.25" customHeight="1">
      <c r="A1" s="120" t="s">
        <v>1673</v>
      </c>
      <c r="J1" s="120" t="s">
        <v>1674</v>
      </c>
      <c r="R1" s="120" t="s">
        <v>1675</v>
      </c>
      <c r="T1" s="120" t="s">
        <v>300</v>
      </c>
    </row>
    <row r="2" ht="15.0" customHeight="1">
      <c r="A2" s="121" t="s">
        <v>292</v>
      </c>
      <c r="B2" s="121" t="s">
        <v>1676</v>
      </c>
      <c r="C2" s="121"/>
      <c r="D2" s="121"/>
      <c r="E2" s="121"/>
      <c r="F2" s="122"/>
      <c r="I2" s="122"/>
      <c r="J2" s="123" t="s">
        <v>1677</v>
      </c>
      <c r="K2" s="123" t="s">
        <v>1678</v>
      </c>
      <c r="L2" s="123" t="s">
        <v>1679</v>
      </c>
      <c r="M2" s="123" t="s">
        <v>1680</v>
      </c>
      <c r="N2" s="123" t="s">
        <v>1681</v>
      </c>
      <c r="O2" s="123" t="s">
        <v>1682</v>
      </c>
      <c r="P2" s="123" t="s">
        <v>1683</v>
      </c>
      <c r="Q2" s="123" t="s">
        <v>1684</v>
      </c>
      <c r="R2" s="124" t="s">
        <v>1679</v>
      </c>
      <c r="S2" s="124" t="s">
        <v>1682</v>
      </c>
      <c r="T2" s="124" t="s">
        <v>300</v>
      </c>
    </row>
    <row r="3" ht="26.25" customHeight="1">
      <c r="A3" s="111">
        <v>1.0</v>
      </c>
      <c r="B3" s="111" t="s">
        <v>455</v>
      </c>
      <c r="C3" s="125" t="s">
        <v>1685</v>
      </c>
      <c r="D3" s="126" t="s">
        <v>303</v>
      </c>
      <c r="E3" s="126" t="s">
        <v>303</v>
      </c>
      <c r="F3" s="111" t="s">
        <v>303</v>
      </c>
      <c r="G3" s="111" t="s">
        <v>303</v>
      </c>
      <c r="H3" s="111" t="s">
        <v>303</v>
      </c>
      <c r="I3" s="111" t="s">
        <v>303</v>
      </c>
      <c r="J3" s="127">
        <f>'Graphing (S28)'!$B$170</f>
        <v>3209.974</v>
      </c>
      <c r="K3" s="127">
        <f>'Graphing (S28)'!$B$330</f>
        <v>6439.974</v>
      </c>
      <c r="L3" s="127">
        <f>'Graphing (S28)'!$B$490</f>
        <v>9669.974</v>
      </c>
      <c r="M3" s="127">
        <f>'Graphing (S28)'!$B$650</f>
        <v>12899.974</v>
      </c>
      <c r="N3" s="127">
        <f>'Graphing (S28)'!$B$810</f>
        <v>16129.974</v>
      </c>
      <c r="O3" s="127">
        <f>'Graphing (S28)'!$B$970</f>
        <v>19365.142</v>
      </c>
      <c r="P3" s="127">
        <f>'Graphing (S28)'!$B$1130</f>
        <v>22589.974</v>
      </c>
      <c r="Q3" s="127">
        <f>MAX('Graphing (S28)'!B:B)</f>
        <v>25845.168</v>
      </c>
      <c r="R3" s="127">
        <f t="shared" ref="R3:R13" si="1">L3/30</f>
        <v>322.3324667</v>
      </c>
      <c r="S3" s="127">
        <f t="shared" ref="S3:S20" si="2">O3/60</f>
        <v>322.7523667</v>
      </c>
      <c r="T3" s="128" t="s">
        <v>1686</v>
      </c>
    </row>
    <row r="4" ht="26.25" customHeight="1">
      <c r="A4" s="111">
        <v>2.0</v>
      </c>
      <c r="B4" s="111" t="s">
        <v>1687</v>
      </c>
      <c r="C4" s="125" t="s">
        <v>1685</v>
      </c>
      <c r="D4" s="129" t="s">
        <v>1688</v>
      </c>
      <c r="E4" s="126" t="s">
        <v>1689</v>
      </c>
      <c r="F4" s="44"/>
      <c r="G4" s="44"/>
      <c r="H4" s="44"/>
      <c r="I4" s="44"/>
      <c r="J4" s="127">
        <f>'Graphing (S28)'!$C$170-J3</f>
        <v>21642.09701</v>
      </c>
      <c r="K4" s="127">
        <f>'Graphing (S28)'!$C$330-K3</f>
        <v>39713.87215</v>
      </c>
      <c r="L4" s="127">
        <f>'Graphing (S28)'!$C$490-L3</f>
        <v>52460.20352</v>
      </c>
      <c r="M4" s="127">
        <f>'Graphing (S28)'!$C$650-M3</f>
        <v>63431.38695</v>
      </c>
      <c r="N4" s="127">
        <f>'Graphing (S28)'!$C$810-N3</f>
        <v>81503.1621</v>
      </c>
      <c r="O4" s="127">
        <f>'Graphing (S28)'!$C$970-O3</f>
        <v>92469.1775</v>
      </c>
      <c r="P4" s="127">
        <f>'Graphing (S28)'!$C$1130-P3</f>
        <v>105220.6769</v>
      </c>
      <c r="Q4" s="127">
        <f>MAX('Graphing (S28)'!C:C)-Q3</f>
        <v>105515.7787</v>
      </c>
      <c r="R4" s="127">
        <f t="shared" si="1"/>
        <v>1748.673451</v>
      </c>
      <c r="S4" s="127">
        <f t="shared" si="2"/>
        <v>1541.152958</v>
      </c>
      <c r="T4" s="128" t="s">
        <v>1690</v>
      </c>
    </row>
    <row r="5" ht="26.25" customHeight="1">
      <c r="A5" s="130">
        <v>3.0</v>
      </c>
      <c r="B5" s="130" t="s">
        <v>1691</v>
      </c>
      <c r="C5" s="125" t="s">
        <v>1685</v>
      </c>
      <c r="D5" s="131" t="s">
        <v>1692</v>
      </c>
      <c r="E5" s="132" t="s">
        <v>1689</v>
      </c>
      <c r="F5" s="133"/>
      <c r="G5" s="133"/>
      <c r="H5" s="133"/>
      <c r="I5" s="133"/>
      <c r="J5" s="134">
        <f>'Graphing (S28)'!$D$170-J3</f>
        <v>21642.09701</v>
      </c>
      <c r="K5" s="134">
        <f>'Graphing (S28)'!$D$330-K3</f>
        <v>39713.87215</v>
      </c>
      <c r="L5" s="134">
        <f>'Graphing (S28)'!$D$490-L3</f>
        <v>50685.05559</v>
      </c>
      <c r="M5" s="134">
        <f>'Graphing (S28)'!$D$650-M3</f>
        <v>72307.12659</v>
      </c>
      <c r="N5" s="134">
        <f>'Graphing (S28)'!$D$810-N3</f>
        <v>90378.9017</v>
      </c>
      <c r="O5" s="134">
        <f>'Graphing (S28)'!$D$970-O3</f>
        <v>99569.7692</v>
      </c>
      <c r="P5" s="134">
        <f>'Graphing (S28)'!$D$1130-P3</f>
        <v>121197.0082</v>
      </c>
      <c r="Q5" s="134">
        <f>MAX('Graphing (S28)'!D:D)-Q3</f>
        <v>137468.4415</v>
      </c>
      <c r="R5" s="134">
        <f t="shared" si="1"/>
        <v>1689.501853</v>
      </c>
      <c r="S5" s="134">
        <f t="shared" si="2"/>
        <v>1659.496153</v>
      </c>
      <c r="T5" s="135" t="s">
        <v>1693</v>
      </c>
    </row>
    <row r="6" ht="26.25" customHeight="1">
      <c r="A6" s="130">
        <v>4.0</v>
      </c>
      <c r="B6" s="130" t="s">
        <v>1694</v>
      </c>
      <c r="C6" s="125" t="s">
        <v>1685</v>
      </c>
      <c r="D6" s="131" t="s">
        <v>1695</v>
      </c>
      <c r="E6" s="132" t="s">
        <v>1689</v>
      </c>
      <c r="F6" s="133"/>
      <c r="G6" s="133"/>
      <c r="H6" s="133"/>
      <c r="I6" s="133"/>
      <c r="J6" s="134">
        <f>'Graphing (S28)'!$E$170-J3</f>
        <v>25192.39286</v>
      </c>
      <c r="K6" s="134">
        <f>'Graphing (S28)'!$E$330-K3</f>
        <v>43264.16801</v>
      </c>
      <c r="L6" s="134">
        <f>'Graphing (S28)'!$E$490-L3</f>
        <v>54235.35144</v>
      </c>
      <c r="M6" s="134">
        <f>'Graphing (S28)'!$E$650-M3</f>
        <v>68756.83073</v>
      </c>
      <c r="N6" s="134">
        <f>'Graphing (S28)'!$E$810-N3</f>
        <v>88603.7538</v>
      </c>
      <c r="O6" s="134">
        <f>'Graphing (S28)'!$E$970-O3</f>
        <v>103120.0651</v>
      </c>
      <c r="P6" s="134"/>
      <c r="Q6" s="134">
        <f>MAX('Graphing (S28)'!E:E)-Q3</f>
        <v>100190.335</v>
      </c>
      <c r="R6" s="134">
        <f t="shared" si="1"/>
        <v>1807.845048</v>
      </c>
      <c r="S6" s="134">
        <f t="shared" si="2"/>
        <v>1718.667752</v>
      </c>
      <c r="T6" s="135" t="s">
        <v>1696</v>
      </c>
    </row>
    <row r="7" ht="26.25" customHeight="1">
      <c r="A7" s="111">
        <v>5.0</v>
      </c>
      <c r="B7" s="111" t="s">
        <v>1697</v>
      </c>
      <c r="C7" s="136" t="s">
        <v>1698</v>
      </c>
      <c r="D7" s="129" t="s">
        <v>1699</v>
      </c>
      <c r="E7" s="126" t="s">
        <v>1689</v>
      </c>
      <c r="F7" s="44"/>
      <c r="G7" s="44"/>
      <c r="H7" s="44"/>
      <c r="I7" s="44"/>
      <c r="J7" s="127">
        <f>'Graphing (S28)'!$F$170-J3</f>
        <v>21642.09701</v>
      </c>
      <c r="K7" s="127">
        <f>'Graphing (S28)'!$F$330-K3</f>
        <v>45039.31594</v>
      </c>
      <c r="L7" s="127">
        <f>'Graphing (S28)'!$F$490-L3</f>
        <v>57785.6473</v>
      </c>
      <c r="M7" s="127">
        <f>'Graphing (S28)'!$F$650-M3</f>
        <v>65206.53488</v>
      </c>
      <c r="N7" s="127">
        <f>'Graphing (S28)'!$F$810-N3</f>
        <v>72627.42245</v>
      </c>
      <c r="O7" s="127">
        <f>'Graphing (S28)'!$F$970-O3</f>
        <v>83593.4379</v>
      </c>
      <c r="P7" s="127"/>
      <c r="Q7" s="127">
        <f>MAX('Graphing (S28)'!F:F)-Q3</f>
        <v>103740.6308</v>
      </c>
      <c r="R7" s="127">
        <f t="shared" si="1"/>
        <v>1926.188243</v>
      </c>
      <c r="S7" s="127">
        <f t="shared" si="2"/>
        <v>1393.223965</v>
      </c>
      <c r="T7" s="128" t="s">
        <v>1700</v>
      </c>
    </row>
    <row r="8" ht="26.25" customHeight="1">
      <c r="A8" s="111">
        <v>6.0</v>
      </c>
      <c r="B8" s="111" t="s">
        <v>1701</v>
      </c>
      <c r="C8" s="136" t="s">
        <v>1698</v>
      </c>
      <c r="D8" s="129" t="s">
        <v>1702</v>
      </c>
      <c r="E8" s="126" t="s">
        <v>1689</v>
      </c>
      <c r="F8" s="44"/>
      <c r="G8" s="44"/>
      <c r="H8" s="44"/>
      <c r="I8" s="44"/>
      <c r="J8" s="127">
        <f>'Graphing (S28)'!$G$170-J3</f>
        <v>32292.98458</v>
      </c>
      <c r="K8" s="127">
        <f>'Graphing (S28)'!$G$330-K3</f>
        <v>52139.90766</v>
      </c>
      <c r="L8" s="127">
        <f>'Graphing (S28)'!$G$490-L3</f>
        <v>63111.09109</v>
      </c>
      <c r="M8" s="127">
        <f>'Graphing (S28)'!$G$650-M3</f>
        <v>74082.27452</v>
      </c>
      <c r="N8" s="127">
        <f>'Graphing (S28)'!$G$810-N3</f>
        <v>88603.7538</v>
      </c>
      <c r="O8" s="127">
        <f>'Graphing (S28)'!$G$970-O3</f>
        <v>119096.3965</v>
      </c>
      <c r="P8" s="127">
        <f>'Graphing (S28)'!$G$1130-P3</f>
        <v>146049.0793</v>
      </c>
      <c r="Q8" s="127">
        <f>MAX('Graphing (S28)'!G:G)-Q3</f>
        <v>158770.2166</v>
      </c>
      <c r="R8" s="127">
        <f t="shared" si="1"/>
        <v>2103.703036</v>
      </c>
      <c r="S8" s="127">
        <f t="shared" si="2"/>
        <v>1984.939942</v>
      </c>
      <c r="T8" s="128" t="s">
        <v>1703</v>
      </c>
    </row>
    <row r="9" ht="26.25" customHeight="1">
      <c r="A9" s="111">
        <v>7.0</v>
      </c>
      <c r="B9" s="137" t="s">
        <v>1704</v>
      </c>
      <c r="C9" s="125" t="s">
        <v>1685</v>
      </c>
      <c r="D9" s="129" t="s">
        <v>1705</v>
      </c>
      <c r="E9" s="126" t="s">
        <v>1689</v>
      </c>
      <c r="F9" s="44"/>
      <c r="G9" s="44"/>
      <c r="H9" s="44"/>
      <c r="I9" s="44"/>
      <c r="J9" s="127">
        <f>'Graphing (S28)'!$H$170-J3</f>
        <v>30517.83665</v>
      </c>
      <c r="K9" s="127">
        <f>'Graphing (S28)'!$H$330-K3</f>
        <v>61015.6473</v>
      </c>
      <c r="L9" s="127">
        <f>'Graphing (S28)'!$H$490-L3</f>
        <v>82637.71831</v>
      </c>
      <c r="M9" s="127">
        <f>'Graphing (S28)'!$H$650-M3</f>
        <v>104259.7893</v>
      </c>
      <c r="N9" s="127">
        <f>'Graphing (S28)'!$H$810-N3</f>
        <v>131207.3041</v>
      </c>
      <c r="O9" s="127">
        <f>'Graphing (S28)'!$H$970-O3</f>
        <v>154599.355</v>
      </c>
      <c r="P9" s="127">
        <f>'Graphing (S28)'!$H$1130-P3</f>
        <v>172676.2982</v>
      </c>
      <c r="Q9" s="127">
        <f>MAX('Graphing (S28)'!H:H)-Q3</f>
        <v>192498.0273</v>
      </c>
      <c r="R9" s="127">
        <f t="shared" si="1"/>
        <v>2754.59061</v>
      </c>
      <c r="S9" s="127">
        <f t="shared" si="2"/>
        <v>2576.655917</v>
      </c>
      <c r="T9" s="128" t="s">
        <v>1706</v>
      </c>
    </row>
    <row r="10" ht="26.25" customHeight="1">
      <c r="A10" s="111">
        <v>8.0</v>
      </c>
      <c r="B10" s="137" t="s">
        <v>1707</v>
      </c>
      <c r="C10" s="125" t="s">
        <v>1685</v>
      </c>
      <c r="D10" s="129" t="s">
        <v>1705</v>
      </c>
      <c r="E10" s="126" t="s">
        <v>1689</v>
      </c>
      <c r="F10" s="44"/>
      <c r="G10" s="44"/>
      <c r="H10" s="44"/>
      <c r="I10" s="44"/>
      <c r="J10" s="127">
        <f>'Graphing (S28)'!$I$170-J3</f>
        <v>26967.54079</v>
      </c>
      <c r="K10" s="127">
        <f>'Graphing (S28)'!$I$330-K3</f>
        <v>50364.75973</v>
      </c>
      <c r="L10" s="127">
        <f>'Graphing (S28)'!$I$490-L3</f>
        <v>63111.09109</v>
      </c>
      <c r="M10" s="127">
        <f>'Graphing (S28)'!$I$650-M3</f>
        <v>74082.27452</v>
      </c>
      <c r="N10" s="127">
        <f>'Graphing (S28)'!$I$810-N3</f>
        <v>97479.4935</v>
      </c>
      <c r="O10" s="127">
        <f>'Graphing (S28)'!$I$970-O3</f>
        <v>113770.9527</v>
      </c>
      <c r="P10" s="127">
        <f>'Graphing (S28)'!$I$1130-P3</f>
        <v>131847.8958</v>
      </c>
      <c r="Q10" s="127">
        <f>MAX('Graphing (S28)'!I:I)-Q3</f>
        <v>148119.329</v>
      </c>
      <c r="R10" s="127">
        <f t="shared" si="1"/>
        <v>2103.703036</v>
      </c>
      <c r="S10" s="127">
        <f t="shared" si="2"/>
        <v>1896.182545</v>
      </c>
      <c r="T10" s="128" t="s">
        <v>1708</v>
      </c>
    </row>
    <row r="11" ht="26.25" customHeight="1">
      <c r="A11" s="111">
        <v>9.0</v>
      </c>
      <c r="B11" s="137" t="s">
        <v>1709</v>
      </c>
      <c r="C11" s="111" t="s">
        <v>1685</v>
      </c>
      <c r="D11" s="129" t="s">
        <v>1705</v>
      </c>
      <c r="E11" s="126" t="s">
        <v>1689</v>
      </c>
      <c r="F11" s="44"/>
      <c r="G11" s="44"/>
      <c r="H11" s="44"/>
      <c r="I11" s="44"/>
      <c r="J11" s="127">
        <f>'Graphing (S28)'!$J$170-J3</f>
        <v>30517.83665</v>
      </c>
      <c r="K11" s="127">
        <f>'Graphing (S28)'!$J$330-K3</f>
        <v>52139.90766</v>
      </c>
      <c r="L11" s="127">
        <f>'Graphing (S28)'!$J$490-L3</f>
        <v>66661.38695</v>
      </c>
      <c r="M11" s="127">
        <f>'Graphing (S28)'!$J$650-M3</f>
        <v>86508.31002</v>
      </c>
      <c r="N11" s="127">
        <f>'Graphing (S28)'!$J$810-N3</f>
        <v>109905.529</v>
      </c>
      <c r="O11" s="127">
        <f>'Graphing (S28)'!$J$970-O3</f>
        <v>124421.8402</v>
      </c>
      <c r="P11" s="127">
        <f>'Graphing (S28)'!$J$1130-P3</f>
        <v>146049.0793</v>
      </c>
      <c r="Q11" s="127">
        <f>MAX('Graphing (S28)'!J:J)-Q3</f>
        <v>162320.5125</v>
      </c>
      <c r="R11" s="127">
        <f t="shared" si="1"/>
        <v>2222.046232</v>
      </c>
      <c r="S11" s="127">
        <f t="shared" si="2"/>
        <v>2073.697337</v>
      </c>
      <c r="T11" s="128" t="s">
        <v>1710</v>
      </c>
    </row>
    <row r="12" ht="26.25" customHeight="1">
      <c r="A12" s="111">
        <v>10.0</v>
      </c>
      <c r="B12" s="137" t="s">
        <v>1711</v>
      </c>
      <c r="C12" s="125" t="s">
        <v>1685</v>
      </c>
      <c r="D12" s="129" t="s">
        <v>1705</v>
      </c>
      <c r="E12" s="126" t="s">
        <v>1689</v>
      </c>
      <c r="F12" s="44"/>
      <c r="G12" s="44"/>
      <c r="H12" s="44"/>
      <c r="I12" s="44"/>
      <c r="J12" s="127">
        <f>'Graphing (S28)'!$K$170-J3</f>
        <v>34068.13251</v>
      </c>
      <c r="K12" s="127">
        <f>'Graphing (S28)'!$K$330-K3</f>
        <v>62790.79523</v>
      </c>
      <c r="L12" s="127">
        <f>'Graphing (S28)'!$K$490-L3</f>
        <v>70211.68281</v>
      </c>
      <c r="M12" s="127">
        <f>'Graphing (S28)'!$K$650-M3</f>
        <v>90058.6059</v>
      </c>
      <c r="N12" s="127">
        <f>'Graphing (S28)'!$K$810-N3</f>
        <v>111680.6769</v>
      </c>
      <c r="O12" s="127">
        <f>'Graphing (S28)'!$K$970-O3</f>
        <v>133297.5799</v>
      </c>
      <c r="P12" s="127">
        <f>'Graphing (S28)'!$K$1130-P3</f>
        <v>154924.8189</v>
      </c>
      <c r="Q12" s="127">
        <f>MAX('Graphing (S28)'!K:K)-Q3</f>
        <v>194273.1752</v>
      </c>
      <c r="R12" s="127">
        <f t="shared" si="1"/>
        <v>2340.389427</v>
      </c>
      <c r="S12" s="127">
        <f t="shared" si="2"/>
        <v>2221.626332</v>
      </c>
      <c r="T12" s="128" t="s">
        <v>1712</v>
      </c>
    </row>
    <row r="13" ht="26.25" customHeight="1">
      <c r="A13" s="111">
        <v>11.0</v>
      </c>
      <c r="B13" s="137" t="s">
        <v>1713</v>
      </c>
      <c r="C13" s="136" t="s">
        <v>1698</v>
      </c>
      <c r="D13" s="129" t="s">
        <v>1714</v>
      </c>
      <c r="E13" s="126" t="s">
        <v>1689</v>
      </c>
      <c r="F13" s="44"/>
      <c r="G13" s="44"/>
      <c r="H13" s="44"/>
      <c r="I13" s="44"/>
      <c r="J13" s="127">
        <f>'Graphing (S28)'!$L$170-J3</f>
        <v>32292.98458</v>
      </c>
      <c r="K13" s="127">
        <f>'Graphing (S28)'!$L$330-K3</f>
        <v>46814.46387</v>
      </c>
      <c r="L13" s="127">
        <f>'Graphing (S28)'!$L$490-L3</f>
        <v>75537.12659</v>
      </c>
      <c r="M13" s="127">
        <f>'Graphing (S28)'!$L$650-M3</f>
        <v>90058.6059</v>
      </c>
      <c r="N13" s="127">
        <f>'Graphing (S28)'!$L$810-N3</f>
        <v>115230.9727</v>
      </c>
      <c r="O13" s="127">
        <f>'Graphing (S28)'!$L$970-O3</f>
        <v>127972.1361</v>
      </c>
      <c r="P13" s="127">
        <f>'Graphing (S28)'!$L$1130-P3</f>
        <v>142498.7834</v>
      </c>
      <c r="Q13" s="127">
        <f>MAX('Graphing (S28)'!L:L)-Q3</f>
        <v>162320.5125</v>
      </c>
      <c r="R13" s="127">
        <f t="shared" si="1"/>
        <v>2517.90422</v>
      </c>
      <c r="S13" s="127">
        <f t="shared" si="2"/>
        <v>2132.868935</v>
      </c>
      <c r="T13" s="128" t="s">
        <v>1715</v>
      </c>
    </row>
    <row r="14" ht="26.25" customHeight="1">
      <c r="A14" s="111">
        <v>12.0</v>
      </c>
      <c r="B14" s="137" t="s">
        <v>1716</v>
      </c>
      <c r="C14" s="136" t="s">
        <v>1698</v>
      </c>
      <c r="D14" s="129" t="s">
        <v>1717</v>
      </c>
      <c r="E14" s="126" t="s">
        <v>1689</v>
      </c>
      <c r="F14" s="44"/>
      <c r="G14" s="44"/>
      <c r="H14" s="44"/>
      <c r="I14" s="44"/>
      <c r="J14" s="127">
        <f>'Graphing (S28)'!$M$170-J3</f>
        <v>39393.5763</v>
      </c>
      <c r="K14" s="127">
        <f>'Graphing (S28)'!$M$330-K3</f>
        <v>52139.90766</v>
      </c>
      <c r="L14" s="127">
        <f>'Graphing (S28)'!$M$490-L3</f>
        <v>73761.97866</v>
      </c>
      <c r="M14" s="127">
        <f>'Graphing (S28)'!$M$650-M3</f>
        <v>82958.01417</v>
      </c>
      <c r="N14" s="127">
        <f>'Graphing (S28)'!$M$810-N3</f>
        <v>93929.1976</v>
      </c>
      <c r="O14" s="127">
        <f>'Graphing (S28)'!$M$970-O3</f>
        <v>108445.5089</v>
      </c>
      <c r="P14" s="127"/>
      <c r="Q14" s="127">
        <f>MAX('Graphing (S28)'!M:M)-Q3</f>
        <v>114391.5184</v>
      </c>
      <c r="R14" s="127">
        <f t="shared" ref="R14:R20" si="3">K14/20</f>
        <v>2606.995383</v>
      </c>
      <c r="S14" s="127">
        <f t="shared" si="2"/>
        <v>1807.425148</v>
      </c>
      <c r="T14" s="128" t="s">
        <v>1718</v>
      </c>
    </row>
    <row r="15" ht="26.25" customHeight="1">
      <c r="A15" s="130">
        <v>13.0</v>
      </c>
      <c r="B15" s="138" t="s">
        <v>1207</v>
      </c>
      <c r="C15" s="125" t="s">
        <v>1685</v>
      </c>
      <c r="D15" s="131" t="s">
        <v>1719</v>
      </c>
      <c r="E15" s="132" t="s">
        <v>1689</v>
      </c>
      <c r="F15" s="133"/>
      <c r="G15" s="133"/>
      <c r="H15" s="133"/>
      <c r="I15" s="133"/>
      <c r="J15" s="134">
        <f>'Graphing (S28)'!$N$170-J3</f>
        <v>19866.94908</v>
      </c>
      <c r="K15" s="134">
        <f>'Graphing (S28)'!$N$330-K3</f>
        <v>36163.5763</v>
      </c>
      <c r="L15" s="134">
        <f>'Graphing (S28)'!$N$490-L3</f>
        <v>47134.75973</v>
      </c>
      <c r="M15" s="134">
        <f>'Graphing (S28)'!$N$650-M3</f>
        <v>61656.23902</v>
      </c>
      <c r="N15" s="134">
        <f>'Graphing (S28)'!$N$810-N3</f>
        <v>79728.01417</v>
      </c>
      <c r="O15" s="134">
        <f>'Graphing (S28)'!$N$970-O3</f>
        <v>94244.3255</v>
      </c>
      <c r="P15" s="134">
        <f>'Graphing (S28)'!$N$1130-P3</f>
        <v>103445.529</v>
      </c>
      <c r="Q15" s="134">
        <f>MAX('Graphing (S28)'!N:N)-Q3</f>
        <v>117941.8142</v>
      </c>
      <c r="R15" s="134">
        <f t="shared" si="3"/>
        <v>1808.178815</v>
      </c>
      <c r="S15" s="134">
        <f t="shared" si="2"/>
        <v>1570.738758</v>
      </c>
      <c r="T15" s="135" t="s">
        <v>1720</v>
      </c>
    </row>
    <row r="16" ht="26.25" customHeight="1">
      <c r="A16" s="130">
        <v>14.0</v>
      </c>
      <c r="B16" s="138" t="s">
        <v>1721</v>
      </c>
      <c r="C16" s="125" t="s">
        <v>1685</v>
      </c>
      <c r="D16" s="131" t="s">
        <v>1722</v>
      </c>
      <c r="E16" s="132" t="s">
        <v>1723</v>
      </c>
      <c r="F16" s="133"/>
      <c r="G16" s="133"/>
      <c r="H16" s="133"/>
      <c r="I16" s="133"/>
      <c r="J16" s="134">
        <f>'Graphing (S28)'!$O$170</f>
        <v>21301.77515</v>
      </c>
      <c r="K16" s="134">
        <f>'Graphing (S28)'!$O$330</f>
        <v>39053.25444</v>
      </c>
      <c r="L16" s="134">
        <f>'Graphing (S28)'!$O$490</f>
        <v>51479.28994</v>
      </c>
      <c r="M16" s="134">
        <f>'Graphing (S28)'!$O$650</f>
        <v>63905.32544</v>
      </c>
      <c r="N16" s="134">
        <f>'Graphing (S28)'!$O$810</f>
        <v>85207.10059</v>
      </c>
      <c r="O16" s="134">
        <f>'Graphing (S28)'!$O$970</f>
        <v>97633.1361</v>
      </c>
      <c r="P16" s="134">
        <f>'Graphing (S28)'!$O$1130</f>
        <v>115384.6154</v>
      </c>
      <c r="Q16" s="134">
        <f>MAX('Graphing (S28)'!O:O)</f>
        <v>127810.6509</v>
      </c>
      <c r="R16" s="134">
        <f t="shared" si="3"/>
        <v>1952.662722</v>
      </c>
      <c r="S16" s="134">
        <f t="shared" si="2"/>
        <v>1627.218935</v>
      </c>
      <c r="T16" s="135" t="s">
        <v>1720</v>
      </c>
    </row>
    <row r="17" ht="26.25" customHeight="1">
      <c r="A17" s="130">
        <v>15.0</v>
      </c>
      <c r="B17" s="138" t="s">
        <v>1724</v>
      </c>
      <c r="C17" s="125" t="s">
        <v>1685</v>
      </c>
      <c r="D17" s="131" t="s">
        <v>1725</v>
      </c>
      <c r="E17" s="132" t="s">
        <v>1723</v>
      </c>
      <c r="F17" s="133"/>
      <c r="G17" s="133"/>
      <c r="H17" s="133"/>
      <c r="I17" s="133"/>
      <c r="J17" s="134">
        <f>'Graphing (S28)'!$P$170</f>
        <v>17751.47929</v>
      </c>
      <c r="K17" s="134">
        <f>'Graphing (S28)'!$P$330</f>
        <v>30177.51479</v>
      </c>
      <c r="L17" s="134">
        <f>'Graphing (S28)'!$P$490</f>
        <v>42603.5503</v>
      </c>
      <c r="M17" s="134">
        <f>'Graphing (S28)'!$P$650</f>
        <v>55029.5858</v>
      </c>
      <c r="N17" s="134">
        <f>'Graphing (S28)'!$P$810</f>
        <v>67455.6213</v>
      </c>
      <c r="O17" s="134">
        <f>'Graphing (S28)'!$P$970</f>
        <v>76331.36095</v>
      </c>
      <c r="P17" s="134">
        <f>'Graphing (S28)'!$P$1130</f>
        <v>88757.39645</v>
      </c>
      <c r="Q17" s="134">
        <f>MAX('Graphing (S28)'!P:P)</f>
        <v>101183.432</v>
      </c>
      <c r="R17" s="134">
        <f t="shared" si="3"/>
        <v>1508.87574</v>
      </c>
      <c r="S17" s="134">
        <f t="shared" si="2"/>
        <v>1272.189349</v>
      </c>
      <c r="T17" s="135" t="s">
        <v>1726</v>
      </c>
    </row>
    <row r="18" ht="26.25" customHeight="1">
      <c r="A18" s="111">
        <v>16.0</v>
      </c>
      <c r="B18" s="137"/>
      <c r="C18" s="125" t="s">
        <v>1685</v>
      </c>
      <c r="D18" s="129" t="s">
        <v>1725</v>
      </c>
      <c r="E18" s="126" t="s">
        <v>1723</v>
      </c>
      <c r="F18" s="44"/>
      <c r="G18" s="44"/>
      <c r="H18" s="44"/>
      <c r="I18" s="44"/>
      <c r="J18" s="127">
        <f>'Graphing (S28)'!$Q$170</f>
        <v>17751.47929</v>
      </c>
      <c r="K18" s="127">
        <f>'Graphing (S28)'!$Q$330</f>
        <v>31952.66272</v>
      </c>
      <c r="L18" s="127">
        <f>'Graphing (S28)'!$Q$490</f>
        <v>42603.5503</v>
      </c>
      <c r="M18" s="127">
        <f>'Graphing (S28)'!$Q$650</f>
        <v>58579.88166</v>
      </c>
      <c r="N18" s="127">
        <f>'Graphing (S28)'!$Q$810</f>
        <v>72781.06509</v>
      </c>
      <c r="O18" s="127">
        <f>'Graphing (S28)'!$Q$970</f>
        <v>83431.95266</v>
      </c>
      <c r="P18" s="127">
        <f>'Graphing (S28)'!$Q$1130</f>
        <v>97633.1361</v>
      </c>
      <c r="Q18" s="127">
        <f>MAX('Graphing (S28)'!Q:Q)</f>
        <v>111834.3195</v>
      </c>
      <c r="R18" s="127">
        <f t="shared" si="3"/>
        <v>1597.633136</v>
      </c>
      <c r="S18" s="127">
        <f t="shared" si="2"/>
        <v>1390.532544</v>
      </c>
      <c r="T18" s="128" t="s">
        <v>1727</v>
      </c>
    </row>
    <row r="19" ht="26.25" customHeight="1">
      <c r="A19" s="130">
        <v>17.0</v>
      </c>
      <c r="B19" s="138" t="s">
        <v>1728</v>
      </c>
      <c r="C19" s="125" t="s">
        <v>1685</v>
      </c>
      <c r="D19" s="131" t="s">
        <v>1725</v>
      </c>
      <c r="E19" s="132" t="s">
        <v>1723</v>
      </c>
      <c r="F19" s="133"/>
      <c r="G19" s="133"/>
      <c r="H19" s="133"/>
      <c r="I19" s="133"/>
      <c r="J19" s="134">
        <f>'Graphing (S28)'!$R$170</f>
        <v>17751.47929</v>
      </c>
      <c r="K19" s="134">
        <f>'Graphing (S28)'!$R$330</f>
        <v>33727.81065</v>
      </c>
      <c r="L19" s="134">
        <f>'Graphing (S28)'!$R$490</f>
        <v>46153.84615</v>
      </c>
      <c r="M19" s="134">
        <f>'Graphing (S28)'!$R$650</f>
        <v>60355.02959</v>
      </c>
      <c r="N19" s="134">
        <f>'Graphing (S28)'!$R$810</f>
        <v>76331.36095</v>
      </c>
      <c r="O19" s="134">
        <f>'Graphing (S28)'!$R$970</f>
        <v>90532.54438</v>
      </c>
      <c r="P19" s="134">
        <f>'Graphing (S28)'!$R$1130</f>
        <v>102958.5799</v>
      </c>
      <c r="Q19" s="134">
        <f>MAX('Graphing (S28)'!R:R)</f>
        <v>118934.9112</v>
      </c>
      <c r="R19" s="134">
        <f t="shared" si="3"/>
        <v>1686.390533</v>
      </c>
      <c r="S19" s="134">
        <f t="shared" si="2"/>
        <v>1508.87574</v>
      </c>
      <c r="T19" s="135" t="s">
        <v>1729</v>
      </c>
    </row>
    <row r="20" ht="26.25" customHeight="1">
      <c r="A20" s="130">
        <v>18.0</v>
      </c>
      <c r="B20" s="130" t="s">
        <v>1730</v>
      </c>
      <c r="C20" s="136" t="s">
        <v>1698</v>
      </c>
      <c r="D20" s="131" t="s">
        <v>1731</v>
      </c>
      <c r="E20" s="132" t="s">
        <v>1689</v>
      </c>
      <c r="F20" s="133"/>
      <c r="G20" s="44"/>
      <c r="H20" s="130" t="s">
        <v>303</v>
      </c>
      <c r="I20" s="44"/>
      <c r="J20" s="134">
        <f>'Graphing (S28)'!$S$170-J3</f>
        <v>28742.68872</v>
      </c>
      <c r="K20" s="134">
        <f>'Graphing (S28)'!$S$330-K3</f>
        <v>41489.02008</v>
      </c>
      <c r="L20" s="134">
        <f>'Graphing (S28)'!$S$490-L3</f>
        <v>56010.49937</v>
      </c>
      <c r="M20" s="134">
        <f>'Graphing (S28)'!$S$650-M3</f>
        <v>66981.68281</v>
      </c>
      <c r="N20" s="134">
        <f>'Graphing (S28)'!$S$810-N3</f>
        <v>76177.71831</v>
      </c>
      <c r="O20" s="134">
        <f>'Graphing (S28)'!$S$970-O3</f>
        <v>85368.5858</v>
      </c>
      <c r="P20" s="134">
        <f>'Graphing (S28)'!$S$1130-P3</f>
        <v>91019.4935</v>
      </c>
      <c r="Q20" s="134">
        <f>MAX('Graphing (S28)'!R:R)-Q3</f>
        <v>93089.7432</v>
      </c>
      <c r="R20" s="134">
        <f t="shared" si="3"/>
        <v>2074.451004</v>
      </c>
      <c r="S20" s="134">
        <f t="shared" si="2"/>
        <v>1422.809763</v>
      </c>
      <c r="T20" s="135" t="s">
        <v>1732</v>
      </c>
    </row>
    <row r="21" ht="26.25" customHeight="1">
      <c r="A21" s="111" t="s">
        <v>1733</v>
      </c>
    </row>
  </sheetData>
  <autoFilter ref="$A$2:$T$21">
    <sortState ref="A2:T21">
      <sortCondition ref="A2:A21"/>
    </sortState>
  </autoFilter>
  <mergeCells count="5">
    <mergeCell ref="A1:I1"/>
    <mergeCell ref="J1:Q1"/>
    <mergeCell ref="R1:S1"/>
    <mergeCell ref="F2:H2"/>
    <mergeCell ref="A21:T21"/>
  </mergeCells>
  <conditionalFormatting sqref="J3:Q20">
    <cfRule type="colorScale" priority="1">
      <colorScale>
        <cfvo type="min"/>
        <cfvo type="percentile" val="50"/>
        <cfvo type="max"/>
        <color rgb="FFE67C73"/>
        <color rgb="FFFFD666"/>
        <color rgb="FF57BB8A"/>
      </colorScale>
    </cfRule>
  </conditionalFormatting>
  <conditionalFormatting sqref="R3:T20">
    <cfRule type="colorScale" priority="2">
      <colorScale>
        <cfvo type="min"/>
        <cfvo type="percentile" val="50"/>
        <cfvo type="max"/>
        <color rgb="FFE67C73"/>
        <color rgb="FFFFD666"/>
        <color rgb="FF57BB8A"/>
      </colorScale>
    </cfRule>
  </conditionalFormatting>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s>
  <drawing r:id="rId1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7.38"/>
    <col customWidth="1" min="2" max="19" width="6.13"/>
  </cols>
  <sheetData>
    <row r="1" ht="91.5" customHeight="1">
      <c r="A1" s="139"/>
      <c r="B1" s="140"/>
      <c r="C1" s="141"/>
      <c r="D1" s="141"/>
      <c r="E1" s="141"/>
      <c r="F1" s="141"/>
      <c r="G1" s="141"/>
      <c r="H1" s="141"/>
      <c r="I1" s="142"/>
      <c r="J1" s="141"/>
      <c r="K1" s="141"/>
      <c r="L1" s="141"/>
      <c r="M1" s="141"/>
      <c r="N1" s="141"/>
      <c r="O1" s="141"/>
      <c r="P1" s="141"/>
      <c r="Q1" s="141"/>
      <c r="R1" s="141"/>
      <c r="S1" s="141"/>
    </row>
    <row r="2" ht="91.5" customHeight="1">
      <c r="A2" s="139"/>
      <c r="B2" s="140"/>
      <c r="C2" s="141"/>
      <c r="D2" s="141"/>
      <c r="E2" s="141"/>
      <c r="F2" s="141"/>
      <c r="G2" s="141"/>
      <c r="H2" s="141"/>
      <c r="I2" s="142"/>
      <c r="J2" s="141"/>
      <c r="K2" s="141"/>
      <c r="L2" s="141"/>
      <c r="M2" s="141"/>
      <c r="N2" s="141"/>
      <c r="O2" s="141"/>
      <c r="P2" s="141"/>
      <c r="Q2" s="141"/>
      <c r="R2" s="141"/>
      <c r="S2" s="141"/>
    </row>
    <row r="3" ht="91.5" customHeight="1">
      <c r="A3" s="139"/>
      <c r="B3" s="140"/>
      <c r="C3" s="141"/>
      <c r="D3" s="141"/>
      <c r="E3" s="141"/>
      <c r="F3" s="141"/>
      <c r="G3" s="141"/>
      <c r="H3" s="141"/>
      <c r="I3" s="142"/>
      <c r="J3" s="141"/>
      <c r="K3" s="141"/>
      <c r="L3" s="141"/>
      <c r="M3" s="141"/>
      <c r="N3" s="141"/>
      <c r="O3" s="141"/>
      <c r="P3" s="141"/>
      <c r="Q3" s="141"/>
      <c r="R3" s="141"/>
      <c r="S3" s="141"/>
    </row>
    <row r="4" ht="91.5" customHeight="1">
      <c r="A4" s="139"/>
      <c r="B4" s="140"/>
      <c r="C4" s="141"/>
      <c r="D4" s="141"/>
      <c r="E4" s="141"/>
      <c r="F4" s="141"/>
      <c r="G4" s="141"/>
      <c r="H4" s="141"/>
      <c r="I4" s="142"/>
      <c r="J4" s="141"/>
      <c r="K4" s="141"/>
      <c r="L4" s="141"/>
      <c r="M4" s="141"/>
      <c r="N4" s="141"/>
      <c r="O4" s="141"/>
      <c r="P4" s="141"/>
      <c r="Q4" s="141"/>
      <c r="R4" s="141"/>
      <c r="S4" s="141"/>
    </row>
    <row r="5" ht="91.5" customHeight="1">
      <c r="A5" s="139"/>
      <c r="B5" s="140"/>
      <c r="C5" s="141"/>
      <c r="D5" s="141"/>
      <c r="E5" s="141"/>
      <c r="F5" s="141"/>
      <c r="G5" s="141"/>
      <c r="H5" s="141"/>
      <c r="I5" s="142"/>
      <c r="J5" s="141"/>
      <c r="K5" s="141"/>
      <c r="L5" s="141"/>
      <c r="M5" s="141"/>
      <c r="N5" s="141"/>
      <c r="O5" s="141"/>
      <c r="P5" s="141"/>
      <c r="Q5" s="141"/>
      <c r="R5" s="141"/>
      <c r="S5" s="141"/>
    </row>
    <row r="6" ht="91.5" customHeight="1">
      <c r="A6" s="139"/>
      <c r="B6" s="140"/>
      <c r="C6" s="141"/>
      <c r="D6" s="141"/>
      <c r="E6" s="141"/>
      <c r="F6" s="141"/>
      <c r="G6" s="141"/>
      <c r="H6" s="141"/>
      <c r="I6" s="142"/>
      <c r="J6" s="141"/>
      <c r="K6" s="141"/>
      <c r="L6" s="141"/>
      <c r="M6" s="141"/>
      <c r="N6" s="141"/>
      <c r="O6" s="141"/>
      <c r="P6" s="141"/>
      <c r="Q6" s="141"/>
      <c r="R6" s="141"/>
      <c r="S6" s="141"/>
    </row>
    <row r="7" ht="91.5" customHeight="1">
      <c r="A7" s="139"/>
      <c r="B7" s="140"/>
      <c r="C7" s="141"/>
      <c r="D7" s="141"/>
      <c r="E7" s="141"/>
      <c r="F7" s="141"/>
      <c r="G7" s="141"/>
      <c r="H7" s="141"/>
      <c r="I7" s="142"/>
      <c r="J7" s="141"/>
      <c r="K7" s="141"/>
      <c r="L7" s="141"/>
      <c r="M7" s="141"/>
      <c r="N7" s="141"/>
      <c r="O7" s="141"/>
      <c r="P7" s="141"/>
      <c r="Q7" s="141"/>
      <c r="R7" s="141"/>
      <c r="S7" s="141"/>
    </row>
    <row r="8" ht="165.75" customHeight="1">
      <c r="A8" s="139"/>
      <c r="B8" s="140"/>
      <c r="C8" s="141"/>
      <c r="D8" s="141"/>
      <c r="E8" s="141"/>
      <c r="F8" s="141"/>
      <c r="G8" s="141"/>
      <c r="H8" s="141"/>
      <c r="I8" s="142"/>
      <c r="J8" s="141"/>
      <c r="K8" s="141"/>
      <c r="L8" s="141"/>
      <c r="M8" s="141"/>
      <c r="N8" s="141"/>
      <c r="O8" s="141"/>
      <c r="P8" s="141"/>
      <c r="Q8" s="141"/>
      <c r="R8" s="141"/>
      <c r="S8" s="141"/>
    </row>
    <row r="9" ht="91.5" customHeight="1">
      <c r="A9" s="139"/>
      <c r="B9" s="140"/>
      <c r="C9" s="141"/>
      <c r="D9" s="141"/>
      <c r="E9" s="143"/>
      <c r="F9" s="143"/>
      <c r="G9" s="143"/>
      <c r="H9" s="143"/>
      <c r="I9" s="144"/>
      <c r="J9" s="143"/>
      <c r="K9" s="143"/>
      <c r="L9" s="143"/>
      <c r="M9" s="143"/>
      <c r="N9" s="143"/>
      <c r="O9" s="143"/>
      <c r="P9" s="143"/>
      <c r="Q9" s="143"/>
      <c r="R9" s="143"/>
      <c r="S9" s="143"/>
    </row>
    <row r="10" ht="91.5" customHeight="1">
      <c r="A10" s="139" t="s">
        <v>1734</v>
      </c>
      <c r="B10" s="140" t="s">
        <v>455</v>
      </c>
      <c r="C10" s="141" t="s">
        <v>1687</v>
      </c>
      <c r="D10" s="141" t="s">
        <v>1691</v>
      </c>
      <c r="E10" s="141" t="s">
        <v>1694</v>
      </c>
      <c r="F10" s="141" t="s">
        <v>1697</v>
      </c>
      <c r="G10" s="141" t="s">
        <v>1701</v>
      </c>
      <c r="H10" s="141" t="s">
        <v>1704</v>
      </c>
      <c r="I10" s="141" t="s">
        <v>1707</v>
      </c>
      <c r="J10" s="141" t="s">
        <v>1709</v>
      </c>
      <c r="K10" s="141" t="s">
        <v>1711</v>
      </c>
      <c r="L10" s="141" t="s">
        <v>1713</v>
      </c>
      <c r="M10" s="141" t="s">
        <v>1716</v>
      </c>
      <c r="N10" s="141" t="s">
        <v>1207</v>
      </c>
      <c r="O10" s="141" t="s">
        <v>1721</v>
      </c>
      <c r="P10" s="141" t="s">
        <v>1724</v>
      </c>
      <c r="Q10" s="141" t="s">
        <v>1735</v>
      </c>
      <c r="R10" s="141" t="s">
        <v>1728</v>
      </c>
      <c r="S10" s="141" t="s">
        <v>1736</v>
      </c>
    </row>
    <row r="11">
      <c r="A11" s="145">
        <v>0.0</v>
      </c>
      <c r="B11" s="145">
        <f t="shared" ref="B11:B1291" si="1">323*A11</f>
        <v>0</v>
      </c>
      <c r="C11" s="145">
        <v>1775.147929</v>
      </c>
      <c r="D11" s="145">
        <v>1775.147929</v>
      </c>
      <c r="E11" s="146">
        <v>1775.147929</v>
      </c>
      <c r="F11" s="145">
        <v>1775.147929</v>
      </c>
      <c r="G11" s="146">
        <v>1775.147929</v>
      </c>
      <c r="H11" s="146">
        <v>1775.147929</v>
      </c>
      <c r="I11" s="146">
        <v>1775.147929</v>
      </c>
      <c r="J11" s="145">
        <v>1775.147929</v>
      </c>
      <c r="K11" s="145">
        <v>1775.147929</v>
      </c>
      <c r="L11" s="145">
        <v>1775.147929</v>
      </c>
      <c r="M11" s="145">
        <v>1775.147929</v>
      </c>
      <c r="N11" s="146">
        <v>1775.147929</v>
      </c>
      <c r="O11" s="146">
        <v>1775.147929</v>
      </c>
      <c r="P11" s="146">
        <v>1775.147929</v>
      </c>
      <c r="Q11" s="146">
        <v>1775.147929</v>
      </c>
      <c r="R11" s="146">
        <v>1775.147929</v>
      </c>
      <c r="S11" s="146">
        <v>12426.0355</v>
      </c>
    </row>
    <row r="12">
      <c r="A12" s="145">
        <v>0.063</v>
      </c>
      <c r="B12" s="145">
        <f t="shared" si="1"/>
        <v>20.349</v>
      </c>
      <c r="C12" s="145">
        <v>1775.147929</v>
      </c>
      <c r="D12" s="145">
        <v>1775.147929</v>
      </c>
      <c r="E12" s="146">
        <v>1775.147929</v>
      </c>
      <c r="F12" s="145">
        <v>1775.147929</v>
      </c>
      <c r="G12" s="146">
        <v>1775.147929</v>
      </c>
      <c r="H12" s="146">
        <v>1775.147929</v>
      </c>
      <c r="I12" s="146">
        <v>1775.147929</v>
      </c>
      <c r="J12" s="145">
        <v>1775.147929</v>
      </c>
      <c r="K12" s="145">
        <v>1775.147929</v>
      </c>
      <c r="L12" s="145">
        <v>1775.147929</v>
      </c>
      <c r="M12" s="145">
        <v>1775.147929</v>
      </c>
      <c r="N12" s="146">
        <v>1775.147929</v>
      </c>
      <c r="O12" s="146">
        <v>1775.147929</v>
      </c>
      <c r="P12" s="146">
        <v>1775.147929</v>
      </c>
      <c r="Q12" s="146">
        <v>1775.147929</v>
      </c>
      <c r="R12" s="146">
        <v>1775.147929</v>
      </c>
      <c r="S12" s="146">
        <v>12426.0355</v>
      </c>
    </row>
    <row r="13">
      <c r="A13" s="145">
        <v>0.125</v>
      </c>
      <c r="B13" s="145">
        <f t="shared" si="1"/>
        <v>40.375</v>
      </c>
      <c r="C13" s="145">
        <v>1775.147929</v>
      </c>
      <c r="D13" s="145">
        <v>1775.147929</v>
      </c>
      <c r="E13" s="146">
        <v>1775.147929</v>
      </c>
      <c r="F13" s="145">
        <v>1775.147929</v>
      </c>
      <c r="G13" s="146">
        <v>1775.147929</v>
      </c>
      <c r="H13" s="146">
        <v>1775.147929</v>
      </c>
      <c r="I13" s="146">
        <v>1775.147929</v>
      </c>
      <c r="J13" s="145">
        <v>1775.147929</v>
      </c>
      <c r="K13" s="145">
        <v>1775.147929</v>
      </c>
      <c r="L13" s="145">
        <v>1775.147929</v>
      </c>
      <c r="M13" s="145">
        <v>14201.18343</v>
      </c>
      <c r="N13" s="146">
        <v>1775.147929</v>
      </c>
      <c r="O13" s="146">
        <v>1775.147929</v>
      </c>
      <c r="P13" s="146">
        <v>1775.147929</v>
      </c>
      <c r="Q13" s="146">
        <v>1775.147929</v>
      </c>
      <c r="R13" s="146">
        <v>1775.147929</v>
      </c>
      <c r="S13" s="146">
        <v>12426.0355</v>
      </c>
    </row>
    <row r="14">
      <c r="A14" s="145">
        <v>0.204</v>
      </c>
      <c r="B14" s="145">
        <f t="shared" si="1"/>
        <v>65.892</v>
      </c>
      <c r="C14" s="145">
        <v>1775.147929</v>
      </c>
      <c r="D14" s="145">
        <v>1775.147929</v>
      </c>
      <c r="E14" s="146">
        <v>1775.147929</v>
      </c>
      <c r="F14" s="145">
        <v>3550.295858</v>
      </c>
      <c r="G14" s="146">
        <v>1775.147929</v>
      </c>
      <c r="H14" s="146">
        <v>1775.147929</v>
      </c>
      <c r="I14" s="146">
        <v>1775.147929</v>
      </c>
      <c r="J14" s="145">
        <v>1775.147929</v>
      </c>
      <c r="K14" s="145">
        <v>1775.147929</v>
      </c>
      <c r="L14" s="145">
        <v>1775.147929</v>
      </c>
      <c r="M14" s="145">
        <v>14201.18343</v>
      </c>
      <c r="N14" s="146">
        <v>1775.147929</v>
      </c>
      <c r="O14" s="146">
        <v>1775.147929</v>
      </c>
      <c r="P14" s="146">
        <v>1775.147929</v>
      </c>
      <c r="Q14" s="146">
        <v>1775.147929</v>
      </c>
      <c r="R14" s="146">
        <v>1775.147929</v>
      </c>
      <c r="S14" s="146">
        <v>12426.0355</v>
      </c>
    </row>
    <row r="15">
      <c r="A15" s="145">
        <v>0.25</v>
      </c>
      <c r="B15" s="145">
        <f t="shared" si="1"/>
        <v>80.75</v>
      </c>
      <c r="C15" s="145">
        <v>1775.147929</v>
      </c>
      <c r="D15" s="145">
        <v>1775.147929</v>
      </c>
      <c r="E15" s="146">
        <v>1775.147929</v>
      </c>
      <c r="F15" s="145">
        <v>3550.295858</v>
      </c>
      <c r="G15" s="146">
        <v>1775.147929</v>
      </c>
      <c r="H15" s="146">
        <v>1775.147929</v>
      </c>
      <c r="I15" s="146">
        <v>1775.147929</v>
      </c>
      <c r="J15" s="145">
        <v>1775.147929</v>
      </c>
      <c r="K15" s="145">
        <v>1775.147929</v>
      </c>
      <c r="L15" s="145">
        <v>1775.147929</v>
      </c>
      <c r="M15" s="145">
        <v>14201.18343</v>
      </c>
      <c r="N15" s="146">
        <v>1775.147929</v>
      </c>
      <c r="O15" s="146">
        <v>1775.147929</v>
      </c>
      <c r="P15" s="146">
        <v>1775.147929</v>
      </c>
      <c r="Q15" s="146">
        <v>1775.147929</v>
      </c>
      <c r="R15" s="146">
        <v>1775.147929</v>
      </c>
      <c r="S15" s="146">
        <v>12426.0355</v>
      </c>
    </row>
    <row r="16">
      <c r="A16" s="145">
        <v>0.313</v>
      </c>
      <c r="B16" s="145">
        <f t="shared" si="1"/>
        <v>101.099</v>
      </c>
      <c r="C16" s="145">
        <v>1775.147929</v>
      </c>
      <c r="D16" s="145">
        <v>1775.147929</v>
      </c>
      <c r="E16" s="146">
        <v>1775.147929</v>
      </c>
      <c r="F16" s="145">
        <v>3550.295858</v>
      </c>
      <c r="G16" s="146">
        <v>1775.147929</v>
      </c>
      <c r="H16" s="146">
        <v>1775.147929</v>
      </c>
      <c r="I16" s="146">
        <v>1775.147929</v>
      </c>
      <c r="J16" s="145">
        <v>1775.147929</v>
      </c>
      <c r="K16" s="145">
        <v>1775.147929</v>
      </c>
      <c r="L16" s="145">
        <v>1775.147929</v>
      </c>
      <c r="M16" s="145">
        <v>14201.18343</v>
      </c>
      <c r="N16" s="146">
        <v>1775.147929</v>
      </c>
      <c r="O16" s="146">
        <v>1775.147929</v>
      </c>
      <c r="P16" s="146">
        <v>1775.147929</v>
      </c>
      <c r="Q16" s="146">
        <v>1775.147929</v>
      </c>
      <c r="R16" s="146">
        <v>1775.147929</v>
      </c>
      <c r="S16" s="146">
        <v>12426.0355</v>
      </c>
    </row>
    <row r="17">
      <c r="A17" s="145">
        <v>0.375</v>
      </c>
      <c r="B17" s="145">
        <f t="shared" si="1"/>
        <v>121.125</v>
      </c>
      <c r="C17" s="145">
        <v>1775.147929</v>
      </c>
      <c r="D17" s="145">
        <v>1775.147929</v>
      </c>
      <c r="E17" s="146">
        <v>1775.147929</v>
      </c>
      <c r="F17" s="145">
        <v>3550.295858</v>
      </c>
      <c r="G17" s="146">
        <v>1775.147929</v>
      </c>
      <c r="H17" s="146">
        <v>1775.147929</v>
      </c>
      <c r="I17" s="146">
        <v>1775.147929</v>
      </c>
      <c r="J17" s="145">
        <v>1775.147929</v>
      </c>
      <c r="K17" s="145">
        <v>1775.147929</v>
      </c>
      <c r="L17" s="145">
        <v>1775.147929</v>
      </c>
      <c r="M17" s="145">
        <v>14201.18343</v>
      </c>
      <c r="N17" s="146">
        <v>1775.147929</v>
      </c>
      <c r="O17" s="146">
        <v>1775.147929</v>
      </c>
      <c r="P17" s="146">
        <v>1775.147929</v>
      </c>
      <c r="Q17" s="146">
        <v>1775.147929</v>
      </c>
      <c r="R17" s="146">
        <v>1775.147929</v>
      </c>
      <c r="S17" s="146">
        <v>12426.0355</v>
      </c>
    </row>
    <row r="18">
      <c r="A18" s="145">
        <v>0.438</v>
      </c>
      <c r="B18" s="145">
        <f t="shared" si="1"/>
        <v>141.474</v>
      </c>
      <c r="C18" s="145">
        <v>1775.147929</v>
      </c>
      <c r="D18" s="145">
        <v>1775.147929</v>
      </c>
      <c r="E18" s="146">
        <v>1775.147929</v>
      </c>
      <c r="F18" s="145">
        <v>3550.295858</v>
      </c>
      <c r="G18" s="146">
        <v>1775.147929</v>
      </c>
      <c r="H18" s="146">
        <v>1775.147929</v>
      </c>
      <c r="I18" s="146">
        <v>1775.147929</v>
      </c>
      <c r="J18" s="145">
        <v>1775.147929</v>
      </c>
      <c r="K18" s="145">
        <v>1775.147929</v>
      </c>
      <c r="L18" s="145">
        <v>1775.147929</v>
      </c>
      <c r="M18" s="145">
        <v>14201.18343</v>
      </c>
      <c r="N18" s="146">
        <v>1775.147929</v>
      </c>
      <c r="O18" s="146">
        <v>1775.147929</v>
      </c>
      <c r="P18" s="146">
        <v>1775.147929</v>
      </c>
      <c r="Q18" s="146">
        <v>1775.147929</v>
      </c>
      <c r="R18" s="146">
        <v>1775.147929</v>
      </c>
      <c r="S18" s="146">
        <v>12426.0355</v>
      </c>
    </row>
    <row r="19">
      <c r="A19" s="145">
        <v>0.5</v>
      </c>
      <c r="B19" s="145">
        <f t="shared" si="1"/>
        <v>161.5</v>
      </c>
      <c r="C19" s="145">
        <v>1775.147929</v>
      </c>
      <c r="D19" s="145">
        <v>1775.147929</v>
      </c>
      <c r="E19" s="146">
        <v>1775.147929</v>
      </c>
      <c r="F19" s="145">
        <v>3550.295858</v>
      </c>
      <c r="G19" s="146">
        <v>1775.147929</v>
      </c>
      <c r="H19" s="146">
        <v>1775.147929</v>
      </c>
      <c r="I19" s="146">
        <v>1775.147929</v>
      </c>
      <c r="J19" s="145">
        <v>1775.147929</v>
      </c>
      <c r="K19" s="145">
        <v>1775.147929</v>
      </c>
      <c r="L19" s="145">
        <v>1775.147929</v>
      </c>
      <c r="M19" s="145">
        <v>14201.18343</v>
      </c>
      <c r="N19" s="146">
        <v>1775.147929</v>
      </c>
      <c r="O19" s="146">
        <v>1775.147929</v>
      </c>
      <c r="P19" s="146">
        <v>1775.147929</v>
      </c>
      <c r="Q19" s="146">
        <v>1775.147929</v>
      </c>
      <c r="R19" s="146">
        <v>1775.147929</v>
      </c>
      <c r="S19" s="146">
        <v>12426.0355</v>
      </c>
    </row>
    <row r="20">
      <c r="A20" s="145">
        <v>0.563</v>
      </c>
      <c r="B20" s="145">
        <f t="shared" si="1"/>
        <v>181.849</v>
      </c>
      <c r="C20" s="145">
        <v>1775.147929</v>
      </c>
      <c r="D20" s="145">
        <v>1775.147929</v>
      </c>
      <c r="E20" s="146">
        <v>1775.147929</v>
      </c>
      <c r="F20" s="145">
        <v>3550.295858</v>
      </c>
      <c r="G20" s="146">
        <v>7100.591716</v>
      </c>
      <c r="H20" s="146">
        <v>3550.295858</v>
      </c>
      <c r="I20" s="146">
        <v>1775.147929</v>
      </c>
      <c r="J20" s="145">
        <v>1775.147929</v>
      </c>
      <c r="K20" s="145">
        <v>1775.147929</v>
      </c>
      <c r="L20" s="145">
        <v>1775.147929</v>
      </c>
      <c r="M20" s="145">
        <v>14201.18343</v>
      </c>
      <c r="N20" s="146">
        <v>1775.147929</v>
      </c>
      <c r="O20" s="146">
        <v>1775.147929</v>
      </c>
      <c r="P20" s="146">
        <v>1775.147929</v>
      </c>
      <c r="Q20" s="146">
        <v>1775.147929</v>
      </c>
      <c r="R20" s="146">
        <v>1775.147929</v>
      </c>
      <c r="S20" s="146">
        <v>12426.0355</v>
      </c>
    </row>
    <row r="21">
      <c r="A21" s="145">
        <v>0.625</v>
      </c>
      <c r="B21" s="145">
        <f t="shared" si="1"/>
        <v>201.875</v>
      </c>
      <c r="C21" s="145">
        <v>1775.147929</v>
      </c>
      <c r="D21" s="145">
        <v>1775.147929</v>
      </c>
      <c r="E21" s="146">
        <v>1775.147929</v>
      </c>
      <c r="F21" s="145">
        <v>3550.295858</v>
      </c>
      <c r="G21" s="146">
        <v>7100.591716</v>
      </c>
      <c r="H21" s="146">
        <v>3550.295858</v>
      </c>
      <c r="I21" s="146">
        <v>1775.147929</v>
      </c>
      <c r="J21" s="145">
        <v>1775.147929</v>
      </c>
      <c r="K21" s="145">
        <v>1775.147929</v>
      </c>
      <c r="L21" s="145">
        <v>1775.147929</v>
      </c>
      <c r="M21" s="145">
        <v>14201.18343</v>
      </c>
      <c r="N21" s="146">
        <v>1775.147929</v>
      </c>
      <c r="O21" s="146">
        <v>1775.147929</v>
      </c>
      <c r="P21" s="146">
        <v>1775.147929</v>
      </c>
      <c r="Q21" s="146">
        <v>1775.147929</v>
      </c>
      <c r="R21" s="146">
        <v>1775.147929</v>
      </c>
      <c r="S21" s="146">
        <v>12426.0355</v>
      </c>
    </row>
    <row r="22">
      <c r="A22" s="145">
        <v>0.688</v>
      </c>
      <c r="B22" s="145">
        <f t="shared" si="1"/>
        <v>222.224</v>
      </c>
      <c r="C22" s="145">
        <v>1775.147929</v>
      </c>
      <c r="D22" s="145">
        <v>1775.147929</v>
      </c>
      <c r="E22" s="146">
        <v>1775.147929</v>
      </c>
      <c r="F22" s="145">
        <v>3550.295858</v>
      </c>
      <c r="G22" s="146">
        <v>7100.591716</v>
      </c>
      <c r="H22" s="146">
        <v>3550.295858</v>
      </c>
      <c r="I22" s="146">
        <v>3550.295858</v>
      </c>
      <c r="J22" s="145">
        <v>1775.147929</v>
      </c>
      <c r="K22" s="145">
        <v>1775.147929</v>
      </c>
      <c r="L22" s="145">
        <v>3550.295858</v>
      </c>
      <c r="M22" s="145">
        <v>14201.18343</v>
      </c>
      <c r="N22" s="146">
        <v>1775.147929</v>
      </c>
      <c r="O22" s="146">
        <v>1775.147929</v>
      </c>
      <c r="P22" s="146">
        <v>1775.147929</v>
      </c>
      <c r="Q22" s="146">
        <v>1775.147929</v>
      </c>
      <c r="R22" s="146">
        <v>3550.295858</v>
      </c>
      <c r="S22" s="146">
        <v>12426.0355</v>
      </c>
    </row>
    <row r="23">
      <c r="A23" s="145">
        <v>0.75</v>
      </c>
      <c r="B23" s="145">
        <f t="shared" si="1"/>
        <v>242.25</v>
      </c>
      <c r="C23" s="145">
        <v>3550.295858</v>
      </c>
      <c r="D23" s="145">
        <v>1775.147929</v>
      </c>
      <c r="E23" s="146">
        <v>1775.147929</v>
      </c>
      <c r="F23" s="145">
        <v>3550.295858</v>
      </c>
      <c r="G23" s="146">
        <v>7100.591716</v>
      </c>
      <c r="H23" s="146">
        <v>3550.295858</v>
      </c>
      <c r="I23" s="146">
        <v>3550.295858</v>
      </c>
      <c r="J23" s="145">
        <v>1775.147929</v>
      </c>
      <c r="K23" s="145">
        <v>1775.147929</v>
      </c>
      <c r="L23" s="145">
        <v>3550.295858</v>
      </c>
      <c r="M23" s="145">
        <v>14201.18343</v>
      </c>
      <c r="N23" s="146">
        <v>1775.147929</v>
      </c>
      <c r="O23" s="146">
        <v>1775.147929</v>
      </c>
      <c r="P23" s="146">
        <v>1775.147929</v>
      </c>
      <c r="Q23" s="146">
        <v>3550.295858</v>
      </c>
      <c r="R23" s="146">
        <v>3550.295858</v>
      </c>
      <c r="S23" s="146">
        <v>12426.0355</v>
      </c>
    </row>
    <row r="24">
      <c r="A24" s="145">
        <v>0.813</v>
      </c>
      <c r="B24" s="145">
        <f t="shared" si="1"/>
        <v>262.599</v>
      </c>
      <c r="C24" s="145">
        <v>3550.295858</v>
      </c>
      <c r="D24" s="145">
        <v>3550.295858</v>
      </c>
      <c r="E24" s="146">
        <v>1775.147929</v>
      </c>
      <c r="F24" s="145">
        <v>3550.295858</v>
      </c>
      <c r="G24" s="146">
        <v>7100.591716</v>
      </c>
      <c r="H24" s="146">
        <v>3550.295858</v>
      </c>
      <c r="I24" s="146">
        <v>3550.295858</v>
      </c>
      <c r="J24" s="145">
        <v>1775.147929</v>
      </c>
      <c r="K24" s="145">
        <v>1775.147929</v>
      </c>
      <c r="L24" s="145">
        <v>3550.295858</v>
      </c>
      <c r="M24" s="145">
        <v>14201.18343</v>
      </c>
      <c r="N24" s="146">
        <v>1775.147929</v>
      </c>
      <c r="O24" s="146">
        <v>1775.147929</v>
      </c>
      <c r="P24" s="146">
        <v>1775.147929</v>
      </c>
      <c r="Q24" s="146">
        <v>3550.295858</v>
      </c>
      <c r="R24" s="146">
        <v>3550.295858</v>
      </c>
      <c r="S24" s="146">
        <v>12426.0355</v>
      </c>
    </row>
    <row r="25">
      <c r="A25" s="145">
        <v>0.875</v>
      </c>
      <c r="B25" s="145">
        <f t="shared" si="1"/>
        <v>282.625</v>
      </c>
      <c r="C25" s="145">
        <v>3550.295858</v>
      </c>
      <c r="D25" s="145">
        <v>3550.295858</v>
      </c>
      <c r="E25" s="146">
        <v>1775.147929</v>
      </c>
      <c r="F25" s="145">
        <v>3550.295858</v>
      </c>
      <c r="G25" s="146">
        <v>7100.591716</v>
      </c>
      <c r="H25" s="146">
        <v>3550.295858</v>
      </c>
      <c r="I25" s="146">
        <v>3550.295858</v>
      </c>
      <c r="J25" s="145">
        <v>1775.147929</v>
      </c>
      <c r="K25" s="145">
        <v>1775.147929</v>
      </c>
      <c r="L25" s="145">
        <v>3550.295858</v>
      </c>
      <c r="M25" s="145">
        <v>14201.18343</v>
      </c>
      <c r="N25" s="146">
        <v>1775.147929</v>
      </c>
      <c r="O25" s="146">
        <v>1775.147929</v>
      </c>
      <c r="P25" s="146">
        <v>1775.147929</v>
      </c>
      <c r="Q25" s="146">
        <v>3550.295858</v>
      </c>
      <c r="R25" s="146">
        <v>3550.295858</v>
      </c>
      <c r="S25" s="146">
        <v>12426.0355</v>
      </c>
    </row>
    <row r="26">
      <c r="A26" s="145">
        <v>0.954</v>
      </c>
      <c r="B26" s="145">
        <f t="shared" si="1"/>
        <v>308.142</v>
      </c>
      <c r="C26" s="145">
        <v>3550.295858</v>
      </c>
      <c r="D26" s="145">
        <v>3550.295858</v>
      </c>
      <c r="E26" s="146">
        <v>1775.147929</v>
      </c>
      <c r="F26" s="145">
        <v>3550.295858</v>
      </c>
      <c r="G26" s="146">
        <v>7100.591716</v>
      </c>
      <c r="H26" s="146">
        <v>3550.295858</v>
      </c>
      <c r="I26" s="146">
        <v>3550.295858</v>
      </c>
      <c r="J26" s="145">
        <v>5325.443787</v>
      </c>
      <c r="K26" s="145">
        <v>1775.147929</v>
      </c>
      <c r="L26" s="145">
        <v>3550.295858</v>
      </c>
      <c r="M26" s="145">
        <v>14201.18343</v>
      </c>
      <c r="N26" s="146">
        <v>1775.147929</v>
      </c>
      <c r="O26" s="146">
        <v>1775.147929</v>
      </c>
      <c r="P26" s="146">
        <v>1775.147929</v>
      </c>
      <c r="Q26" s="146">
        <v>3550.295858</v>
      </c>
      <c r="R26" s="146">
        <v>3550.295858</v>
      </c>
      <c r="S26" s="146">
        <v>12426.0355</v>
      </c>
    </row>
    <row r="27">
      <c r="A27" s="145">
        <v>1.0</v>
      </c>
      <c r="B27" s="145">
        <f t="shared" si="1"/>
        <v>323</v>
      </c>
      <c r="C27" s="145">
        <v>3550.295858</v>
      </c>
      <c r="D27" s="145">
        <v>3550.295858</v>
      </c>
      <c r="E27" s="146">
        <v>1775.147929</v>
      </c>
      <c r="F27" s="145">
        <v>3550.295858</v>
      </c>
      <c r="G27" s="146">
        <v>7100.591716</v>
      </c>
      <c r="H27" s="146">
        <v>3550.295858</v>
      </c>
      <c r="I27" s="146">
        <v>3550.295858</v>
      </c>
      <c r="J27" s="145">
        <v>5325.443787</v>
      </c>
      <c r="K27" s="145">
        <v>1775.147929</v>
      </c>
      <c r="L27" s="145">
        <v>3550.295858</v>
      </c>
      <c r="M27" s="145">
        <v>14201.18343</v>
      </c>
      <c r="N27" s="146">
        <v>1775.147929</v>
      </c>
      <c r="O27" s="146">
        <v>5325.443787</v>
      </c>
      <c r="P27" s="146">
        <v>1775.147929</v>
      </c>
      <c r="Q27" s="146">
        <v>3550.295858</v>
      </c>
      <c r="R27" s="146">
        <v>3550.295858</v>
      </c>
      <c r="S27" s="146">
        <v>12426.0355</v>
      </c>
    </row>
    <row r="28">
      <c r="A28" s="145">
        <v>1.063</v>
      </c>
      <c r="B28" s="145">
        <f t="shared" si="1"/>
        <v>343.349</v>
      </c>
      <c r="C28" s="145">
        <v>3550.295858</v>
      </c>
      <c r="D28" s="145">
        <v>3550.295858</v>
      </c>
      <c r="E28" s="146">
        <v>1775.147929</v>
      </c>
      <c r="F28" s="145">
        <v>3550.295858</v>
      </c>
      <c r="G28" s="146">
        <v>7100.591716</v>
      </c>
      <c r="H28" s="146">
        <v>3550.295858</v>
      </c>
      <c r="I28" s="146">
        <v>3550.295858</v>
      </c>
      <c r="J28" s="145">
        <v>5325.443787</v>
      </c>
      <c r="K28" s="145">
        <v>1775.147929</v>
      </c>
      <c r="L28" s="145">
        <v>3550.295858</v>
      </c>
      <c r="M28" s="145">
        <v>21301.77515</v>
      </c>
      <c r="N28" s="146">
        <v>1775.147929</v>
      </c>
      <c r="O28" s="146">
        <v>5325.443787</v>
      </c>
      <c r="P28" s="146">
        <v>5325.443787</v>
      </c>
      <c r="Q28" s="146">
        <v>3550.295858</v>
      </c>
      <c r="R28" s="146">
        <v>3550.295858</v>
      </c>
      <c r="S28" s="146">
        <v>12426.0355</v>
      </c>
    </row>
    <row r="29">
      <c r="A29" s="145">
        <v>1.125</v>
      </c>
      <c r="B29" s="145">
        <f t="shared" si="1"/>
        <v>363.375</v>
      </c>
      <c r="C29" s="145">
        <v>3550.295858</v>
      </c>
      <c r="D29" s="145">
        <v>3550.295858</v>
      </c>
      <c r="E29" s="146">
        <v>8875.739645</v>
      </c>
      <c r="F29" s="145">
        <v>3550.295858</v>
      </c>
      <c r="G29" s="146">
        <v>7100.591716</v>
      </c>
      <c r="H29" s="146">
        <v>5325.443787</v>
      </c>
      <c r="I29" s="146">
        <v>3550.295858</v>
      </c>
      <c r="J29" s="145">
        <v>7100.591716</v>
      </c>
      <c r="K29" s="145">
        <v>1775.147929</v>
      </c>
      <c r="L29" s="145">
        <v>3550.295858</v>
      </c>
      <c r="M29" s="145">
        <v>21301.77515</v>
      </c>
      <c r="N29" s="146">
        <v>3550.295858</v>
      </c>
      <c r="O29" s="146">
        <v>5325.443787</v>
      </c>
      <c r="P29" s="146">
        <v>5325.443787</v>
      </c>
      <c r="Q29" s="146">
        <v>3550.295858</v>
      </c>
      <c r="R29" s="146">
        <v>3550.295858</v>
      </c>
      <c r="S29" s="146">
        <v>12426.0355</v>
      </c>
    </row>
    <row r="30">
      <c r="A30" s="145">
        <v>1.188</v>
      </c>
      <c r="B30" s="145">
        <f t="shared" si="1"/>
        <v>383.724</v>
      </c>
      <c r="C30" s="145">
        <v>3550.295858</v>
      </c>
      <c r="D30" s="145">
        <v>3550.295858</v>
      </c>
      <c r="E30" s="146">
        <v>8875.739645</v>
      </c>
      <c r="F30" s="145">
        <v>3550.295858</v>
      </c>
      <c r="G30" s="146">
        <v>7100.591716</v>
      </c>
      <c r="H30" s="146">
        <v>5325.443787</v>
      </c>
      <c r="I30" s="146">
        <v>3550.295858</v>
      </c>
      <c r="J30" s="145">
        <v>7100.591716</v>
      </c>
      <c r="K30" s="145">
        <v>3550.295858</v>
      </c>
      <c r="L30" s="145">
        <v>5325.443787</v>
      </c>
      <c r="M30" s="145">
        <v>21301.77515</v>
      </c>
      <c r="N30" s="146">
        <v>3550.295858</v>
      </c>
      <c r="O30" s="146">
        <v>5325.443787</v>
      </c>
      <c r="P30" s="146">
        <v>5325.443787</v>
      </c>
      <c r="Q30" s="146">
        <v>3550.295858</v>
      </c>
      <c r="R30" s="146">
        <v>3550.295858</v>
      </c>
      <c r="S30" s="146">
        <v>14201.18343</v>
      </c>
    </row>
    <row r="31">
      <c r="A31" s="145">
        <v>1.25</v>
      </c>
      <c r="B31" s="145">
        <f t="shared" si="1"/>
        <v>403.75</v>
      </c>
      <c r="C31" s="145">
        <v>3550.295858</v>
      </c>
      <c r="D31" s="145">
        <v>3550.295858</v>
      </c>
      <c r="E31" s="146">
        <v>8875.739645</v>
      </c>
      <c r="F31" s="145">
        <v>3550.295858</v>
      </c>
      <c r="G31" s="146">
        <v>7100.591716</v>
      </c>
      <c r="H31" s="146">
        <v>5325.443787</v>
      </c>
      <c r="I31" s="146">
        <v>3550.295858</v>
      </c>
      <c r="J31" s="145">
        <v>8875.739645</v>
      </c>
      <c r="K31" s="145">
        <v>3550.295858</v>
      </c>
      <c r="L31" s="145">
        <v>5325.443787</v>
      </c>
      <c r="M31" s="145">
        <v>21301.77515</v>
      </c>
      <c r="N31" s="146">
        <v>3550.295858</v>
      </c>
      <c r="O31" s="146">
        <v>5325.443787</v>
      </c>
      <c r="P31" s="146">
        <v>5325.443787</v>
      </c>
      <c r="Q31" s="146">
        <v>3550.295858</v>
      </c>
      <c r="R31" s="146">
        <v>3550.295858</v>
      </c>
      <c r="S31" s="146">
        <v>14201.18343</v>
      </c>
    </row>
    <row r="32">
      <c r="A32" s="145">
        <v>1.313</v>
      </c>
      <c r="B32" s="145">
        <f t="shared" si="1"/>
        <v>424.099</v>
      </c>
      <c r="C32" s="145">
        <v>3550.295858</v>
      </c>
      <c r="D32" s="145">
        <v>3550.295858</v>
      </c>
      <c r="E32" s="146">
        <v>8875.739645</v>
      </c>
      <c r="F32" s="145">
        <v>3550.295858</v>
      </c>
      <c r="G32" s="146">
        <v>7100.591716</v>
      </c>
      <c r="H32" s="146">
        <v>5325.443787</v>
      </c>
      <c r="I32" s="146">
        <v>3550.295858</v>
      </c>
      <c r="J32" s="145">
        <v>8875.739645</v>
      </c>
      <c r="K32" s="145">
        <v>3550.295858</v>
      </c>
      <c r="L32" s="145">
        <v>5325.443787</v>
      </c>
      <c r="M32" s="145">
        <v>21301.77515</v>
      </c>
      <c r="N32" s="146">
        <v>3550.295858</v>
      </c>
      <c r="O32" s="146">
        <v>5325.443787</v>
      </c>
      <c r="P32" s="146">
        <v>5325.443787</v>
      </c>
      <c r="Q32" s="146">
        <v>3550.295858</v>
      </c>
      <c r="R32" s="146">
        <v>3550.295858</v>
      </c>
      <c r="S32" s="146">
        <v>14201.18343</v>
      </c>
    </row>
    <row r="33">
      <c r="A33" s="145">
        <v>1.391</v>
      </c>
      <c r="B33" s="145">
        <f t="shared" si="1"/>
        <v>449.293</v>
      </c>
      <c r="C33" s="145">
        <v>3550.295858</v>
      </c>
      <c r="D33" s="145">
        <v>3550.295858</v>
      </c>
      <c r="E33" s="146">
        <v>8875.739645</v>
      </c>
      <c r="F33" s="145">
        <v>3550.295858</v>
      </c>
      <c r="G33" s="146">
        <v>7100.591716</v>
      </c>
      <c r="H33" s="146">
        <v>5325.443787</v>
      </c>
      <c r="I33" s="146">
        <v>3550.295858</v>
      </c>
      <c r="J33" s="145">
        <v>8875.739645</v>
      </c>
      <c r="K33" s="145">
        <v>3550.295858</v>
      </c>
      <c r="L33" s="145">
        <v>5325.443787</v>
      </c>
      <c r="M33" s="145">
        <v>21301.77515</v>
      </c>
      <c r="N33" s="146">
        <v>3550.295858</v>
      </c>
      <c r="O33" s="146">
        <v>5325.443787</v>
      </c>
      <c r="P33" s="146">
        <v>5325.443787</v>
      </c>
      <c r="Q33" s="146">
        <v>3550.295858</v>
      </c>
      <c r="R33" s="146">
        <v>3550.295858</v>
      </c>
      <c r="S33" s="146">
        <v>14201.18343</v>
      </c>
    </row>
    <row r="34">
      <c r="A34" s="145">
        <v>1.438</v>
      </c>
      <c r="B34" s="145">
        <f t="shared" si="1"/>
        <v>464.474</v>
      </c>
      <c r="C34" s="145">
        <v>3550.295858</v>
      </c>
      <c r="D34" s="145">
        <v>3550.295858</v>
      </c>
      <c r="E34" s="146">
        <v>8875.739645</v>
      </c>
      <c r="F34" s="145">
        <v>3550.295858</v>
      </c>
      <c r="G34" s="146">
        <v>7100.591716</v>
      </c>
      <c r="H34" s="146">
        <v>5325.443787</v>
      </c>
      <c r="I34" s="146">
        <v>3550.295858</v>
      </c>
      <c r="J34" s="145">
        <v>8875.739645</v>
      </c>
      <c r="K34" s="145">
        <v>3550.295858</v>
      </c>
      <c r="L34" s="145">
        <v>5325.443787</v>
      </c>
      <c r="M34" s="145">
        <v>21301.77515</v>
      </c>
      <c r="N34" s="146">
        <v>3550.295858</v>
      </c>
      <c r="O34" s="146">
        <v>5325.443787</v>
      </c>
      <c r="P34" s="146">
        <v>5325.443787</v>
      </c>
      <c r="Q34" s="146">
        <v>3550.295858</v>
      </c>
      <c r="R34" s="146">
        <v>3550.295858</v>
      </c>
      <c r="S34" s="146">
        <v>14201.18343</v>
      </c>
    </row>
    <row r="35">
      <c r="A35" s="145">
        <v>1.5</v>
      </c>
      <c r="B35" s="145">
        <f t="shared" si="1"/>
        <v>484.5</v>
      </c>
      <c r="C35" s="145">
        <v>3550.295858</v>
      </c>
      <c r="D35" s="145">
        <v>3550.295858</v>
      </c>
      <c r="E35" s="146">
        <v>8875.739645</v>
      </c>
      <c r="F35" s="145">
        <v>3550.295858</v>
      </c>
      <c r="G35" s="146">
        <v>7100.591716</v>
      </c>
      <c r="H35" s="146">
        <v>5325.443787</v>
      </c>
      <c r="I35" s="146">
        <v>3550.295858</v>
      </c>
      <c r="J35" s="145">
        <v>8875.739645</v>
      </c>
      <c r="K35" s="145">
        <v>10650.88757</v>
      </c>
      <c r="L35" s="145">
        <v>5325.443787</v>
      </c>
      <c r="M35" s="145">
        <v>21301.77515</v>
      </c>
      <c r="N35" s="146">
        <v>3550.295858</v>
      </c>
      <c r="O35" s="146">
        <v>5325.443787</v>
      </c>
      <c r="P35" s="146">
        <v>5325.443787</v>
      </c>
      <c r="Q35" s="146">
        <v>3550.295858</v>
      </c>
      <c r="R35" s="146">
        <v>3550.295858</v>
      </c>
      <c r="S35" s="146">
        <v>14201.18343</v>
      </c>
    </row>
    <row r="36">
      <c r="A36" s="145">
        <v>1.563</v>
      </c>
      <c r="B36" s="145">
        <f t="shared" si="1"/>
        <v>504.849</v>
      </c>
      <c r="C36" s="145">
        <v>3550.295858</v>
      </c>
      <c r="D36" s="145">
        <v>3550.295858</v>
      </c>
      <c r="E36" s="146">
        <v>8875.739645</v>
      </c>
      <c r="F36" s="145">
        <v>3550.295858</v>
      </c>
      <c r="G36" s="146">
        <v>7100.591716</v>
      </c>
      <c r="H36" s="146">
        <v>5325.443787</v>
      </c>
      <c r="I36" s="146">
        <v>5325.443787</v>
      </c>
      <c r="J36" s="145">
        <v>12426.0355</v>
      </c>
      <c r="K36" s="145">
        <v>10650.88757</v>
      </c>
      <c r="L36" s="145">
        <v>5325.443787</v>
      </c>
      <c r="M36" s="145">
        <v>21301.77515</v>
      </c>
      <c r="N36" s="146">
        <v>5325.443787</v>
      </c>
      <c r="O36" s="146">
        <v>5325.443787</v>
      </c>
      <c r="P36" s="146">
        <v>5325.443787</v>
      </c>
      <c r="Q36" s="146">
        <v>3550.295858</v>
      </c>
      <c r="R36" s="146">
        <v>3550.295858</v>
      </c>
      <c r="S36" s="146">
        <v>14201.18343</v>
      </c>
    </row>
    <row r="37">
      <c r="A37" s="145">
        <v>1.625</v>
      </c>
      <c r="B37" s="145">
        <f t="shared" si="1"/>
        <v>524.875</v>
      </c>
      <c r="C37" s="145">
        <v>3550.295858</v>
      </c>
      <c r="D37" s="145">
        <v>3550.295858</v>
      </c>
      <c r="E37" s="146">
        <v>8875.739645</v>
      </c>
      <c r="F37" s="145">
        <v>3550.295858</v>
      </c>
      <c r="G37" s="146">
        <v>7100.591716</v>
      </c>
      <c r="H37" s="146">
        <v>5325.443787</v>
      </c>
      <c r="I37" s="146">
        <v>5325.443787</v>
      </c>
      <c r="J37" s="145">
        <v>12426.0355</v>
      </c>
      <c r="K37" s="145">
        <v>12426.0355</v>
      </c>
      <c r="L37" s="145">
        <v>5325.443787</v>
      </c>
      <c r="M37" s="145">
        <v>24852.07101</v>
      </c>
      <c r="N37" s="146">
        <v>5325.443787</v>
      </c>
      <c r="O37" s="146">
        <v>5325.443787</v>
      </c>
      <c r="P37" s="146">
        <v>5325.443787</v>
      </c>
      <c r="Q37" s="146">
        <v>3550.295858</v>
      </c>
      <c r="R37" s="146">
        <v>3550.295858</v>
      </c>
      <c r="S37" s="146">
        <v>14201.18343</v>
      </c>
    </row>
    <row r="38">
      <c r="A38" s="145">
        <v>1.688</v>
      </c>
      <c r="B38" s="145">
        <f t="shared" si="1"/>
        <v>545.224</v>
      </c>
      <c r="C38" s="145">
        <v>3550.295858</v>
      </c>
      <c r="D38" s="145">
        <v>3550.295858</v>
      </c>
      <c r="E38" s="146">
        <v>8875.739645</v>
      </c>
      <c r="F38" s="145">
        <v>5325.443787</v>
      </c>
      <c r="G38" s="146">
        <v>7100.591716</v>
      </c>
      <c r="H38" s="146">
        <v>5325.443787</v>
      </c>
      <c r="I38" s="146">
        <v>5325.443787</v>
      </c>
      <c r="J38" s="145">
        <v>12426.0355</v>
      </c>
      <c r="K38" s="145">
        <v>12426.0355</v>
      </c>
      <c r="L38" s="145">
        <v>5325.443787</v>
      </c>
      <c r="M38" s="145">
        <v>24852.07101</v>
      </c>
      <c r="N38" s="146">
        <v>5325.443787</v>
      </c>
      <c r="O38" s="146">
        <v>5325.443787</v>
      </c>
      <c r="P38" s="146">
        <v>5325.443787</v>
      </c>
      <c r="Q38" s="146">
        <v>3550.295858</v>
      </c>
      <c r="R38" s="146">
        <v>3550.295858</v>
      </c>
      <c r="S38" s="146">
        <v>14201.18343</v>
      </c>
    </row>
    <row r="39">
      <c r="A39" s="145">
        <v>1.75</v>
      </c>
      <c r="B39" s="145">
        <f t="shared" si="1"/>
        <v>565.25</v>
      </c>
      <c r="C39" s="145">
        <v>3550.295858</v>
      </c>
      <c r="D39" s="145">
        <v>3550.295858</v>
      </c>
      <c r="E39" s="146">
        <v>8875.739645</v>
      </c>
      <c r="F39" s="145">
        <v>5325.443787</v>
      </c>
      <c r="G39" s="146">
        <v>7100.591716</v>
      </c>
      <c r="H39" s="146">
        <v>7100.591716</v>
      </c>
      <c r="I39" s="146">
        <v>5325.443787</v>
      </c>
      <c r="J39" s="145">
        <v>12426.0355</v>
      </c>
      <c r="K39" s="145">
        <v>12426.0355</v>
      </c>
      <c r="L39" s="145">
        <v>8875.739645</v>
      </c>
      <c r="M39" s="145">
        <v>24852.07101</v>
      </c>
      <c r="N39" s="146">
        <v>5325.443787</v>
      </c>
      <c r="O39" s="146">
        <v>5325.443787</v>
      </c>
      <c r="P39" s="146">
        <v>5325.443787</v>
      </c>
      <c r="Q39" s="146">
        <v>3550.295858</v>
      </c>
      <c r="R39" s="146">
        <v>3550.295858</v>
      </c>
      <c r="S39" s="146">
        <v>14201.18343</v>
      </c>
    </row>
    <row r="40">
      <c r="A40" s="145">
        <v>1.829</v>
      </c>
      <c r="B40" s="145">
        <f t="shared" si="1"/>
        <v>590.767</v>
      </c>
      <c r="C40" s="145">
        <v>3550.295858</v>
      </c>
      <c r="D40" s="145">
        <v>3550.295858</v>
      </c>
      <c r="E40" s="146">
        <v>8875.739645</v>
      </c>
      <c r="F40" s="145">
        <v>5325.443787</v>
      </c>
      <c r="G40" s="146">
        <v>7100.591716</v>
      </c>
      <c r="H40" s="146">
        <v>7100.591716</v>
      </c>
      <c r="I40" s="146">
        <v>5325.443787</v>
      </c>
      <c r="J40" s="145">
        <v>12426.0355</v>
      </c>
      <c r="K40" s="145">
        <v>12426.0355</v>
      </c>
      <c r="L40" s="145">
        <v>8875.739645</v>
      </c>
      <c r="M40" s="145">
        <v>24852.07101</v>
      </c>
      <c r="N40" s="146">
        <v>5325.443787</v>
      </c>
      <c r="O40" s="146">
        <v>5325.443787</v>
      </c>
      <c r="P40" s="146">
        <v>5325.443787</v>
      </c>
      <c r="Q40" s="146">
        <v>3550.295858</v>
      </c>
      <c r="R40" s="146">
        <v>3550.295858</v>
      </c>
      <c r="S40" s="146">
        <v>14201.18343</v>
      </c>
    </row>
    <row r="41">
      <c r="A41" s="145">
        <v>1.875</v>
      </c>
      <c r="B41" s="145">
        <f t="shared" si="1"/>
        <v>605.625</v>
      </c>
      <c r="C41" s="145">
        <v>3550.295858</v>
      </c>
      <c r="D41" s="145">
        <v>3550.295858</v>
      </c>
      <c r="E41" s="146">
        <v>8875.739645</v>
      </c>
      <c r="F41" s="145">
        <v>5325.443787</v>
      </c>
      <c r="G41" s="146">
        <v>7100.591716</v>
      </c>
      <c r="H41" s="146">
        <v>7100.591716</v>
      </c>
      <c r="I41" s="146">
        <v>5325.443787</v>
      </c>
      <c r="J41" s="145">
        <v>12426.0355</v>
      </c>
      <c r="K41" s="145">
        <v>12426.0355</v>
      </c>
      <c r="L41" s="145">
        <v>8875.739645</v>
      </c>
      <c r="M41" s="145">
        <v>24852.07101</v>
      </c>
      <c r="N41" s="146">
        <v>5325.443787</v>
      </c>
      <c r="O41" s="146">
        <v>5325.443787</v>
      </c>
      <c r="P41" s="146">
        <v>5325.443787</v>
      </c>
      <c r="Q41" s="146">
        <v>3550.295858</v>
      </c>
      <c r="R41" s="146">
        <v>3550.295858</v>
      </c>
      <c r="S41" s="146">
        <v>14201.18343</v>
      </c>
    </row>
    <row r="42">
      <c r="A42" s="145">
        <v>1.938</v>
      </c>
      <c r="B42" s="145">
        <f t="shared" si="1"/>
        <v>625.974</v>
      </c>
      <c r="C42" s="145">
        <v>3550.295858</v>
      </c>
      <c r="D42" s="145">
        <v>3550.295858</v>
      </c>
      <c r="E42" s="146">
        <v>8875.739645</v>
      </c>
      <c r="F42" s="145">
        <v>5325.443787</v>
      </c>
      <c r="G42" s="146">
        <v>7100.591716</v>
      </c>
      <c r="H42" s="146">
        <v>7100.591716</v>
      </c>
      <c r="I42" s="146">
        <v>5325.443787</v>
      </c>
      <c r="J42" s="145">
        <v>14201.18343</v>
      </c>
      <c r="K42" s="145">
        <v>12426.0355</v>
      </c>
      <c r="L42" s="145">
        <v>8875.739645</v>
      </c>
      <c r="M42" s="145">
        <v>24852.07101</v>
      </c>
      <c r="N42" s="146">
        <v>7100.591716</v>
      </c>
      <c r="O42" s="146">
        <v>5325.443787</v>
      </c>
      <c r="P42" s="146">
        <v>5325.443787</v>
      </c>
      <c r="Q42" s="146">
        <v>3550.295858</v>
      </c>
      <c r="R42" s="146">
        <v>3550.295858</v>
      </c>
      <c r="S42" s="146">
        <v>15976.33136</v>
      </c>
    </row>
    <row r="43">
      <c r="A43" s="145">
        <v>2.0</v>
      </c>
      <c r="B43" s="145">
        <f t="shared" si="1"/>
        <v>646</v>
      </c>
      <c r="C43" s="145">
        <v>5325.443787</v>
      </c>
      <c r="D43" s="145">
        <v>3550.295858</v>
      </c>
      <c r="E43" s="146">
        <v>8875.739645</v>
      </c>
      <c r="F43" s="145">
        <v>5325.443787</v>
      </c>
      <c r="G43" s="146">
        <v>7100.591716</v>
      </c>
      <c r="H43" s="146">
        <v>7100.591716</v>
      </c>
      <c r="I43" s="146">
        <v>7100.591716</v>
      </c>
      <c r="J43" s="145">
        <v>14201.18343</v>
      </c>
      <c r="K43" s="145">
        <v>12426.0355</v>
      </c>
      <c r="L43" s="145">
        <v>8875.739645</v>
      </c>
      <c r="M43" s="145">
        <v>24852.07101</v>
      </c>
      <c r="N43" s="146">
        <v>7100.591716</v>
      </c>
      <c r="O43" s="146">
        <v>5325.443787</v>
      </c>
      <c r="P43" s="146">
        <v>5325.443787</v>
      </c>
      <c r="Q43" s="146">
        <v>3550.295858</v>
      </c>
      <c r="R43" s="146">
        <v>3550.295858</v>
      </c>
      <c r="S43" s="146">
        <v>15976.33136</v>
      </c>
    </row>
    <row r="44">
      <c r="A44" s="145">
        <v>2.063</v>
      </c>
      <c r="B44" s="145">
        <f t="shared" si="1"/>
        <v>666.349</v>
      </c>
      <c r="C44" s="145">
        <v>5325.443787</v>
      </c>
      <c r="D44" s="145">
        <v>3550.295858</v>
      </c>
      <c r="E44" s="146">
        <v>8875.739645</v>
      </c>
      <c r="F44" s="145">
        <v>5325.443787</v>
      </c>
      <c r="G44" s="146">
        <v>10650.88757</v>
      </c>
      <c r="H44" s="146">
        <v>7100.591716</v>
      </c>
      <c r="I44" s="146">
        <v>8875.739645</v>
      </c>
      <c r="J44" s="145">
        <v>14201.18343</v>
      </c>
      <c r="K44" s="145">
        <v>12426.0355</v>
      </c>
      <c r="L44" s="145">
        <v>8875.739645</v>
      </c>
      <c r="M44" s="145">
        <v>24852.07101</v>
      </c>
      <c r="N44" s="146">
        <v>7100.591716</v>
      </c>
      <c r="O44" s="146">
        <v>5325.443787</v>
      </c>
      <c r="P44" s="146">
        <v>5325.443787</v>
      </c>
      <c r="Q44" s="146">
        <v>3550.295858</v>
      </c>
      <c r="R44" s="146">
        <v>3550.295858</v>
      </c>
      <c r="S44" s="146">
        <v>15976.33136</v>
      </c>
    </row>
    <row r="45">
      <c r="A45" s="145">
        <v>2.125</v>
      </c>
      <c r="B45" s="145">
        <f t="shared" si="1"/>
        <v>686.375</v>
      </c>
      <c r="C45" s="145">
        <v>5325.443787</v>
      </c>
      <c r="D45" s="145">
        <v>3550.295858</v>
      </c>
      <c r="E45" s="146">
        <v>8875.739645</v>
      </c>
      <c r="F45" s="145">
        <v>5325.443787</v>
      </c>
      <c r="G45" s="146">
        <v>10650.88757</v>
      </c>
      <c r="H45" s="146">
        <v>7100.591716</v>
      </c>
      <c r="I45" s="146">
        <v>8875.739645</v>
      </c>
      <c r="J45" s="145">
        <v>14201.18343</v>
      </c>
      <c r="K45" s="145">
        <v>12426.0355</v>
      </c>
      <c r="L45" s="145">
        <v>8875.739645</v>
      </c>
      <c r="M45" s="145">
        <v>24852.07101</v>
      </c>
      <c r="N45" s="146">
        <v>7100.591716</v>
      </c>
      <c r="O45" s="146">
        <v>5325.443787</v>
      </c>
      <c r="P45" s="146">
        <v>5325.443787</v>
      </c>
      <c r="Q45" s="146">
        <v>3550.295858</v>
      </c>
      <c r="R45" s="146">
        <v>3550.295858</v>
      </c>
      <c r="S45" s="146">
        <v>15976.33136</v>
      </c>
    </row>
    <row r="46">
      <c r="A46" s="145">
        <v>2.188</v>
      </c>
      <c r="B46" s="145">
        <f t="shared" si="1"/>
        <v>706.724</v>
      </c>
      <c r="C46" s="145">
        <v>5325.443787</v>
      </c>
      <c r="D46" s="145">
        <v>3550.295858</v>
      </c>
      <c r="E46" s="146">
        <v>8875.739645</v>
      </c>
      <c r="F46" s="145">
        <v>5325.443787</v>
      </c>
      <c r="G46" s="146">
        <v>10650.88757</v>
      </c>
      <c r="H46" s="146">
        <v>7100.591716</v>
      </c>
      <c r="I46" s="146">
        <v>8875.739645</v>
      </c>
      <c r="J46" s="145">
        <v>14201.18343</v>
      </c>
      <c r="K46" s="145">
        <v>12426.0355</v>
      </c>
      <c r="L46" s="145">
        <v>8875.739645</v>
      </c>
      <c r="M46" s="145">
        <v>24852.07101</v>
      </c>
      <c r="N46" s="146">
        <v>7100.591716</v>
      </c>
      <c r="O46" s="146">
        <v>5325.443787</v>
      </c>
      <c r="P46" s="146">
        <v>5325.443787</v>
      </c>
      <c r="Q46" s="146">
        <v>3550.295858</v>
      </c>
      <c r="R46" s="146">
        <v>3550.295858</v>
      </c>
      <c r="S46" s="146">
        <v>15976.33136</v>
      </c>
    </row>
    <row r="47">
      <c r="A47" s="145">
        <v>2.25</v>
      </c>
      <c r="B47" s="145">
        <f t="shared" si="1"/>
        <v>726.75</v>
      </c>
      <c r="C47" s="145">
        <v>5325.443787</v>
      </c>
      <c r="D47" s="145">
        <v>3550.295858</v>
      </c>
      <c r="E47" s="146">
        <v>8875.739645</v>
      </c>
      <c r="F47" s="145">
        <v>5325.443787</v>
      </c>
      <c r="G47" s="146">
        <v>10650.88757</v>
      </c>
      <c r="H47" s="146">
        <v>7100.591716</v>
      </c>
      <c r="I47" s="146">
        <v>8875.739645</v>
      </c>
      <c r="J47" s="145">
        <v>14201.18343</v>
      </c>
      <c r="K47" s="145">
        <v>12426.0355</v>
      </c>
      <c r="L47" s="145">
        <v>8875.739645</v>
      </c>
      <c r="M47" s="145">
        <v>24852.07101</v>
      </c>
      <c r="N47" s="146">
        <v>7100.591716</v>
      </c>
      <c r="O47" s="146">
        <v>5325.443787</v>
      </c>
      <c r="P47" s="146">
        <v>5325.443787</v>
      </c>
      <c r="Q47" s="146">
        <v>3550.295858</v>
      </c>
      <c r="R47" s="146">
        <v>3550.295858</v>
      </c>
      <c r="S47" s="146">
        <v>15976.33136</v>
      </c>
    </row>
    <row r="48">
      <c r="A48" s="145">
        <v>2.313</v>
      </c>
      <c r="B48" s="145">
        <f t="shared" si="1"/>
        <v>747.099</v>
      </c>
      <c r="C48" s="145">
        <v>7100.591716</v>
      </c>
      <c r="D48" s="145">
        <v>5325.443787</v>
      </c>
      <c r="E48" s="146">
        <v>8875.739645</v>
      </c>
      <c r="F48" s="145">
        <v>5325.443787</v>
      </c>
      <c r="G48" s="146">
        <v>10650.88757</v>
      </c>
      <c r="H48" s="146">
        <v>8875.739645</v>
      </c>
      <c r="I48" s="146">
        <v>8875.739645</v>
      </c>
      <c r="J48" s="145">
        <v>14201.18343</v>
      </c>
      <c r="K48" s="145">
        <v>14201.18343</v>
      </c>
      <c r="L48" s="145">
        <v>8875.739645</v>
      </c>
      <c r="M48" s="145">
        <v>24852.07101</v>
      </c>
      <c r="N48" s="146">
        <v>7100.591716</v>
      </c>
      <c r="O48" s="146">
        <v>5325.443787</v>
      </c>
      <c r="P48" s="146">
        <v>5325.443787</v>
      </c>
      <c r="Q48" s="146">
        <v>3550.295858</v>
      </c>
      <c r="R48" s="146">
        <v>3550.295858</v>
      </c>
      <c r="S48" s="146">
        <v>15976.33136</v>
      </c>
    </row>
    <row r="49">
      <c r="A49" s="145">
        <v>2.375</v>
      </c>
      <c r="B49" s="145">
        <f t="shared" si="1"/>
        <v>767.125</v>
      </c>
      <c r="C49" s="145">
        <v>7100.591716</v>
      </c>
      <c r="D49" s="145">
        <v>5325.443787</v>
      </c>
      <c r="E49" s="146">
        <v>8875.739645</v>
      </c>
      <c r="F49" s="145">
        <v>5325.443787</v>
      </c>
      <c r="G49" s="146">
        <v>10650.88757</v>
      </c>
      <c r="H49" s="146">
        <v>8875.739645</v>
      </c>
      <c r="I49" s="146">
        <v>8875.739645</v>
      </c>
      <c r="J49" s="145">
        <v>14201.18343</v>
      </c>
      <c r="K49" s="145">
        <v>14201.18343</v>
      </c>
      <c r="L49" s="145">
        <v>8875.739645</v>
      </c>
      <c r="M49" s="145">
        <v>24852.07101</v>
      </c>
      <c r="N49" s="146">
        <v>7100.591716</v>
      </c>
      <c r="O49" s="146">
        <v>7100.591716</v>
      </c>
      <c r="P49" s="146">
        <v>7100.591716</v>
      </c>
      <c r="Q49" s="146">
        <v>3550.295858</v>
      </c>
      <c r="R49" s="146">
        <v>3550.295858</v>
      </c>
      <c r="S49" s="146">
        <v>15976.33136</v>
      </c>
    </row>
    <row r="50">
      <c r="A50" s="145">
        <v>2.438</v>
      </c>
      <c r="B50" s="145">
        <f t="shared" si="1"/>
        <v>787.474</v>
      </c>
      <c r="C50" s="145">
        <v>7100.591716</v>
      </c>
      <c r="D50" s="145">
        <v>5325.443787</v>
      </c>
      <c r="E50" s="146">
        <v>8875.739645</v>
      </c>
      <c r="F50" s="145">
        <v>5325.443787</v>
      </c>
      <c r="G50" s="146">
        <v>10650.88757</v>
      </c>
      <c r="H50" s="146">
        <v>8875.739645</v>
      </c>
      <c r="I50" s="146">
        <v>8875.739645</v>
      </c>
      <c r="J50" s="145">
        <v>15976.33136</v>
      </c>
      <c r="K50" s="145">
        <v>14201.18343</v>
      </c>
      <c r="L50" s="145">
        <v>8875.739645</v>
      </c>
      <c r="M50" s="145">
        <v>24852.07101</v>
      </c>
      <c r="N50" s="146">
        <v>7100.591716</v>
      </c>
      <c r="O50" s="146">
        <v>7100.591716</v>
      </c>
      <c r="P50" s="146">
        <v>7100.591716</v>
      </c>
      <c r="Q50" s="146">
        <v>5325.443787</v>
      </c>
      <c r="R50" s="146">
        <v>3550.295858</v>
      </c>
      <c r="S50" s="146">
        <v>15976.33136</v>
      </c>
    </row>
    <row r="51">
      <c r="A51" s="145">
        <v>2.5</v>
      </c>
      <c r="B51" s="145">
        <f t="shared" si="1"/>
        <v>807.5</v>
      </c>
      <c r="C51" s="145">
        <v>7100.591716</v>
      </c>
      <c r="D51" s="145">
        <v>5325.443787</v>
      </c>
      <c r="E51" s="146">
        <v>8875.739645</v>
      </c>
      <c r="F51" s="145">
        <v>5325.443787</v>
      </c>
      <c r="G51" s="146">
        <v>10650.88757</v>
      </c>
      <c r="H51" s="146">
        <v>8875.739645</v>
      </c>
      <c r="I51" s="146">
        <v>10650.88757</v>
      </c>
      <c r="J51" s="145">
        <v>15976.33136</v>
      </c>
      <c r="K51" s="145">
        <v>14201.18343</v>
      </c>
      <c r="L51" s="145">
        <v>8875.739645</v>
      </c>
      <c r="M51" s="145">
        <v>24852.07101</v>
      </c>
      <c r="N51" s="146">
        <v>7100.591716</v>
      </c>
      <c r="O51" s="146">
        <v>7100.591716</v>
      </c>
      <c r="P51" s="146">
        <v>7100.591716</v>
      </c>
      <c r="Q51" s="146">
        <v>5325.443787</v>
      </c>
      <c r="R51" s="146">
        <v>3550.295858</v>
      </c>
      <c r="S51" s="146">
        <v>15976.33136</v>
      </c>
    </row>
    <row r="52">
      <c r="A52" s="145">
        <v>2.563</v>
      </c>
      <c r="B52" s="145">
        <f t="shared" si="1"/>
        <v>827.849</v>
      </c>
      <c r="C52" s="145">
        <v>7100.591716</v>
      </c>
      <c r="D52" s="145">
        <v>5325.443787</v>
      </c>
      <c r="E52" s="146">
        <v>8875.739645</v>
      </c>
      <c r="F52" s="145">
        <v>5325.443787</v>
      </c>
      <c r="G52" s="146">
        <v>10650.88757</v>
      </c>
      <c r="H52" s="146">
        <v>8875.739645</v>
      </c>
      <c r="I52" s="146">
        <v>10650.88757</v>
      </c>
      <c r="J52" s="145">
        <v>15976.33136</v>
      </c>
      <c r="K52" s="145">
        <v>14201.18343</v>
      </c>
      <c r="L52" s="145">
        <v>8875.739645</v>
      </c>
      <c r="M52" s="145">
        <v>24852.07101</v>
      </c>
      <c r="N52" s="146">
        <v>8875.739645</v>
      </c>
      <c r="O52" s="146">
        <v>7100.591716</v>
      </c>
      <c r="P52" s="146">
        <v>7100.591716</v>
      </c>
      <c r="Q52" s="146">
        <v>5325.443787</v>
      </c>
      <c r="R52" s="146">
        <v>3550.295858</v>
      </c>
      <c r="S52" s="146">
        <v>15976.33136</v>
      </c>
    </row>
    <row r="53">
      <c r="A53" s="145">
        <v>2.625</v>
      </c>
      <c r="B53" s="145">
        <f t="shared" si="1"/>
        <v>847.875</v>
      </c>
      <c r="C53" s="145">
        <v>8875.739645</v>
      </c>
      <c r="D53" s="145">
        <v>5325.443787</v>
      </c>
      <c r="E53" s="146">
        <v>8875.739645</v>
      </c>
      <c r="F53" s="145">
        <v>5325.443787</v>
      </c>
      <c r="G53" s="146">
        <v>10650.88757</v>
      </c>
      <c r="H53" s="146">
        <v>12426.0355</v>
      </c>
      <c r="I53" s="146">
        <v>10650.88757</v>
      </c>
      <c r="J53" s="145">
        <v>15976.33136</v>
      </c>
      <c r="K53" s="145">
        <v>14201.18343</v>
      </c>
      <c r="L53" s="145">
        <v>8875.739645</v>
      </c>
      <c r="M53" s="145">
        <v>24852.07101</v>
      </c>
      <c r="N53" s="146">
        <v>8875.739645</v>
      </c>
      <c r="O53" s="146">
        <v>7100.591716</v>
      </c>
      <c r="P53" s="146">
        <v>7100.591716</v>
      </c>
      <c r="Q53" s="146">
        <v>5325.443787</v>
      </c>
      <c r="R53" s="146">
        <v>3550.295858</v>
      </c>
      <c r="S53" s="146">
        <v>15976.33136</v>
      </c>
    </row>
    <row r="54">
      <c r="A54" s="145">
        <v>2.688</v>
      </c>
      <c r="B54" s="145">
        <f t="shared" si="1"/>
        <v>868.224</v>
      </c>
      <c r="C54" s="145">
        <v>8875.739645</v>
      </c>
      <c r="D54" s="145">
        <v>5325.443787</v>
      </c>
      <c r="E54" s="146">
        <v>8875.739645</v>
      </c>
      <c r="F54" s="145">
        <v>5325.443787</v>
      </c>
      <c r="G54" s="146">
        <v>10650.88757</v>
      </c>
      <c r="H54" s="146">
        <v>12426.0355</v>
      </c>
      <c r="I54" s="146">
        <v>12426.0355</v>
      </c>
      <c r="J54" s="145">
        <v>15976.33136</v>
      </c>
      <c r="K54" s="145">
        <v>14201.18343</v>
      </c>
      <c r="L54" s="145">
        <v>8875.739645</v>
      </c>
      <c r="M54" s="145">
        <v>24852.07101</v>
      </c>
      <c r="N54" s="146">
        <v>8875.739645</v>
      </c>
      <c r="O54" s="146">
        <v>7100.591716</v>
      </c>
      <c r="P54" s="146">
        <v>7100.591716</v>
      </c>
      <c r="Q54" s="146">
        <v>5325.443787</v>
      </c>
      <c r="R54" s="146">
        <v>3550.295858</v>
      </c>
      <c r="S54" s="146">
        <v>15976.33136</v>
      </c>
    </row>
    <row r="55">
      <c r="A55" s="145">
        <v>2.766</v>
      </c>
      <c r="B55" s="145">
        <f t="shared" si="1"/>
        <v>893.418</v>
      </c>
      <c r="C55" s="145">
        <v>8875.739645</v>
      </c>
      <c r="D55" s="145">
        <v>5325.443787</v>
      </c>
      <c r="E55" s="146">
        <v>10650.88757</v>
      </c>
      <c r="F55" s="145">
        <v>8875.739645</v>
      </c>
      <c r="G55" s="146">
        <v>10650.88757</v>
      </c>
      <c r="H55" s="146">
        <v>14201.18343</v>
      </c>
      <c r="I55" s="146">
        <v>12426.0355</v>
      </c>
      <c r="J55" s="145">
        <v>15976.33136</v>
      </c>
      <c r="K55" s="145">
        <v>14201.18343</v>
      </c>
      <c r="L55" s="145">
        <v>8875.739645</v>
      </c>
      <c r="M55" s="145">
        <v>24852.07101</v>
      </c>
      <c r="N55" s="146">
        <v>8875.739645</v>
      </c>
      <c r="O55" s="146">
        <v>7100.591716</v>
      </c>
      <c r="P55" s="146">
        <v>7100.591716</v>
      </c>
      <c r="Q55" s="146">
        <v>5325.443787</v>
      </c>
      <c r="R55" s="146">
        <v>3550.295858</v>
      </c>
      <c r="S55" s="146">
        <v>15976.33136</v>
      </c>
    </row>
    <row r="56">
      <c r="A56" s="145">
        <v>2.813</v>
      </c>
      <c r="B56" s="145">
        <f t="shared" si="1"/>
        <v>908.599</v>
      </c>
      <c r="C56" s="145">
        <v>8875.739645</v>
      </c>
      <c r="D56" s="145">
        <v>5325.443787</v>
      </c>
      <c r="E56" s="146">
        <v>10650.88757</v>
      </c>
      <c r="F56" s="145">
        <v>8875.739645</v>
      </c>
      <c r="G56" s="146">
        <v>10650.88757</v>
      </c>
      <c r="H56" s="146">
        <v>14201.18343</v>
      </c>
      <c r="I56" s="146">
        <v>12426.0355</v>
      </c>
      <c r="J56" s="145">
        <v>15976.33136</v>
      </c>
      <c r="K56" s="145">
        <v>14201.18343</v>
      </c>
      <c r="L56" s="145">
        <v>8875.739645</v>
      </c>
      <c r="M56" s="145">
        <v>24852.07101</v>
      </c>
      <c r="N56" s="146">
        <v>8875.739645</v>
      </c>
      <c r="O56" s="146">
        <v>7100.591716</v>
      </c>
      <c r="P56" s="146">
        <v>7100.591716</v>
      </c>
      <c r="Q56" s="146">
        <v>7100.591716</v>
      </c>
      <c r="R56" s="146">
        <v>3550.295858</v>
      </c>
      <c r="S56" s="146">
        <v>15976.33136</v>
      </c>
    </row>
    <row r="57">
      <c r="A57" s="145">
        <v>2.875</v>
      </c>
      <c r="B57" s="145">
        <f t="shared" si="1"/>
        <v>928.625</v>
      </c>
      <c r="C57" s="145">
        <v>8875.739645</v>
      </c>
      <c r="D57" s="145">
        <v>5325.443787</v>
      </c>
      <c r="E57" s="146">
        <v>10650.88757</v>
      </c>
      <c r="F57" s="145">
        <v>8875.739645</v>
      </c>
      <c r="G57" s="146">
        <v>10650.88757</v>
      </c>
      <c r="H57" s="146">
        <v>14201.18343</v>
      </c>
      <c r="I57" s="146">
        <v>12426.0355</v>
      </c>
      <c r="J57" s="145">
        <v>15976.33136</v>
      </c>
      <c r="K57" s="145">
        <v>14201.18343</v>
      </c>
      <c r="L57" s="145">
        <v>8875.739645</v>
      </c>
      <c r="M57" s="145">
        <v>24852.07101</v>
      </c>
      <c r="N57" s="146">
        <v>8875.739645</v>
      </c>
      <c r="O57" s="146">
        <v>7100.591716</v>
      </c>
      <c r="P57" s="146">
        <v>7100.591716</v>
      </c>
      <c r="Q57" s="146">
        <v>7100.591716</v>
      </c>
      <c r="R57" s="146">
        <v>3550.295858</v>
      </c>
      <c r="S57" s="146">
        <v>15976.33136</v>
      </c>
    </row>
    <row r="58">
      <c r="A58" s="145">
        <v>2.938</v>
      </c>
      <c r="B58" s="145">
        <f t="shared" si="1"/>
        <v>948.974</v>
      </c>
      <c r="C58" s="145">
        <v>8875.739645</v>
      </c>
      <c r="D58" s="145">
        <v>5325.443787</v>
      </c>
      <c r="E58" s="146">
        <v>10650.88757</v>
      </c>
      <c r="F58" s="145">
        <v>8875.739645</v>
      </c>
      <c r="G58" s="146">
        <v>10650.88757</v>
      </c>
      <c r="H58" s="146">
        <v>14201.18343</v>
      </c>
      <c r="I58" s="146">
        <v>12426.0355</v>
      </c>
      <c r="J58" s="145">
        <v>15976.33136</v>
      </c>
      <c r="K58" s="145">
        <v>14201.18343</v>
      </c>
      <c r="L58" s="145">
        <v>10650.88757</v>
      </c>
      <c r="M58" s="145">
        <v>24852.07101</v>
      </c>
      <c r="N58" s="146">
        <v>8875.739645</v>
      </c>
      <c r="O58" s="146">
        <v>7100.591716</v>
      </c>
      <c r="P58" s="146">
        <v>7100.591716</v>
      </c>
      <c r="Q58" s="146">
        <v>7100.591716</v>
      </c>
      <c r="R58" s="146">
        <v>5325.443787</v>
      </c>
      <c r="S58" s="146">
        <v>15976.33136</v>
      </c>
    </row>
    <row r="59">
      <c r="A59" s="145">
        <v>3.016</v>
      </c>
      <c r="B59" s="145">
        <f t="shared" si="1"/>
        <v>974.168</v>
      </c>
      <c r="C59" s="145">
        <v>8875.739645</v>
      </c>
      <c r="D59" s="145">
        <v>5325.443787</v>
      </c>
      <c r="E59" s="146">
        <v>10650.88757</v>
      </c>
      <c r="F59" s="145">
        <v>8875.739645</v>
      </c>
      <c r="G59" s="146">
        <v>10650.88757</v>
      </c>
      <c r="H59" s="146">
        <v>14201.18343</v>
      </c>
      <c r="I59" s="146">
        <v>12426.0355</v>
      </c>
      <c r="J59" s="145">
        <v>15976.33136</v>
      </c>
      <c r="K59" s="145">
        <v>14201.18343</v>
      </c>
      <c r="L59" s="145">
        <v>10650.88757</v>
      </c>
      <c r="M59" s="145">
        <v>24852.07101</v>
      </c>
      <c r="N59" s="146">
        <v>8875.739645</v>
      </c>
      <c r="O59" s="146">
        <v>7100.591716</v>
      </c>
      <c r="P59" s="146">
        <v>7100.591716</v>
      </c>
      <c r="Q59" s="146">
        <v>7100.591716</v>
      </c>
      <c r="R59" s="146">
        <v>5325.443787</v>
      </c>
      <c r="S59" s="146">
        <v>15976.33136</v>
      </c>
    </row>
    <row r="60">
      <c r="A60" s="145">
        <v>3.063</v>
      </c>
      <c r="B60" s="145">
        <f t="shared" si="1"/>
        <v>989.349</v>
      </c>
      <c r="C60" s="145">
        <v>8875.739645</v>
      </c>
      <c r="D60" s="145">
        <v>5325.443787</v>
      </c>
      <c r="E60" s="146">
        <v>10650.88757</v>
      </c>
      <c r="F60" s="145">
        <v>8875.739645</v>
      </c>
      <c r="G60" s="146">
        <v>12426.0355</v>
      </c>
      <c r="H60" s="146">
        <v>14201.18343</v>
      </c>
      <c r="I60" s="146">
        <v>12426.0355</v>
      </c>
      <c r="J60" s="145">
        <v>15976.33136</v>
      </c>
      <c r="K60" s="145">
        <v>15976.33136</v>
      </c>
      <c r="L60" s="145">
        <v>10650.88757</v>
      </c>
      <c r="M60" s="145">
        <v>24852.07101</v>
      </c>
      <c r="N60" s="146">
        <v>8875.739645</v>
      </c>
      <c r="O60" s="146">
        <v>7100.591716</v>
      </c>
      <c r="P60" s="146">
        <v>7100.591716</v>
      </c>
      <c r="Q60" s="146">
        <v>7100.591716</v>
      </c>
      <c r="R60" s="146">
        <v>5325.443787</v>
      </c>
      <c r="S60" s="146">
        <v>15976.33136</v>
      </c>
    </row>
    <row r="61">
      <c r="A61" s="145">
        <v>3.125</v>
      </c>
      <c r="B61" s="145">
        <f t="shared" si="1"/>
        <v>1009.375</v>
      </c>
      <c r="C61" s="145">
        <v>8875.739645</v>
      </c>
      <c r="D61" s="145">
        <v>5325.443787</v>
      </c>
      <c r="E61" s="146">
        <v>10650.88757</v>
      </c>
      <c r="F61" s="145">
        <v>8875.739645</v>
      </c>
      <c r="G61" s="146">
        <v>12426.0355</v>
      </c>
      <c r="H61" s="146">
        <v>14201.18343</v>
      </c>
      <c r="I61" s="146">
        <v>12426.0355</v>
      </c>
      <c r="J61" s="145">
        <v>15976.33136</v>
      </c>
      <c r="K61" s="145">
        <v>15976.33136</v>
      </c>
      <c r="L61" s="145">
        <v>10650.88757</v>
      </c>
      <c r="M61" s="145">
        <v>24852.07101</v>
      </c>
      <c r="N61" s="146">
        <v>8875.739645</v>
      </c>
      <c r="O61" s="146">
        <v>7100.591716</v>
      </c>
      <c r="P61" s="146">
        <v>7100.591716</v>
      </c>
      <c r="Q61" s="146">
        <v>7100.591716</v>
      </c>
      <c r="R61" s="146">
        <v>5325.443787</v>
      </c>
      <c r="S61" s="146">
        <v>15976.33136</v>
      </c>
    </row>
    <row r="62">
      <c r="A62" s="145">
        <v>3.188</v>
      </c>
      <c r="B62" s="145">
        <f t="shared" si="1"/>
        <v>1029.724</v>
      </c>
      <c r="C62" s="145">
        <v>8875.739645</v>
      </c>
      <c r="D62" s="145">
        <v>5325.443787</v>
      </c>
      <c r="E62" s="146">
        <v>10650.88757</v>
      </c>
      <c r="F62" s="145">
        <v>8875.739645</v>
      </c>
      <c r="G62" s="146">
        <v>12426.0355</v>
      </c>
      <c r="H62" s="146">
        <v>14201.18343</v>
      </c>
      <c r="I62" s="146">
        <v>12426.0355</v>
      </c>
      <c r="J62" s="145">
        <v>17751.47929</v>
      </c>
      <c r="K62" s="145">
        <v>15976.33136</v>
      </c>
      <c r="L62" s="145">
        <v>10650.88757</v>
      </c>
      <c r="M62" s="145">
        <v>26627.21894</v>
      </c>
      <c r="N62" s="146">
        <v>8875.739645</v>
      </c>
      <c r="O62" s="146">
        <v>8875.739645</v>
      </c>
      <c r="P62" s="146">
        <v>7100.591716</v>
      </c>
      <c r="Q62" s="146">
        <v>7100.591716</v>
      </c>
      <c r="R62" s="146">
        <v>5325.443787</v>
      </c>
      <c r="S62" s="146">
        <v>15976.33136</v>
      </c>
    </row>
    <row r="63">
      <c r="A63" s="145">
        <v>3.25</v>
      </c>
      <c r="B63" s="145">
        <f t="shared" si="1"/>
        <v>1049.75</v>
      </c>
      <c r="C63" s="145">
        <v>8875.739645</v>
      </c>
      <c r="D63" s="145">
        <v>5325.443787</v>
      </c>
      <c r="E63" s="146">
        <v>10650.88757</v>
      </c>
      <c r="F63" s="145">
        <v>8875.739645</v>
      </c>
      <c r="G63" s="146">
        <v>12426.0355</v>
      </c>
      <c r="H63" s="146">
        <v>14201.18343</v>
      </c>
      <c r="I63" s="146">
        <v>15976.33136</v>
      </c>
      <c r="J63" s="145">
        <v>17751.47929</v>
      </c>
      <c r="K63" s="145">
        <v>15976.33136</v>
      </c>
      <c r="L63" s="145">
        <v>10650.88757</v>
      </c>
      <c r="M63" s="145">
        <v>26627.21894</v>
      </c>
      <c r="N63" s="146">
        <v>8875.739645</v>
      </c>
      <c r="O63" s="146">
        <v>8875.739645</v>
      </c>
      <c r="P63" s="146">
        <v>7100.591716</v>
      </c>
      <c r="Q63" s="146">
        <v>7100.591716</v>
      </c>
      <c r="R63" s="146">
        <v>5325.443787</v>
      </c>
      <c r="S63" s="146">
        <v>15976.33136</v>
      </c>
    </row>
    <row r="64">
      <c r="A64" s="145">
        <v>3.329</v>
      </c>
      <c r="B64" s="145">
        <f t="shared" si="1"/>
        <v>1075.267</v>
      </c>
      <c r="C64" s="145">
        <v>8875.739645</v>
      </c>
      <c r="D64" s="145">
        <v>5325.443787</v>
      </c>
      <c r="E64" s="146">
        <v>12426.0355</v>
      </c>
      <c r="F64" s="145">
        <v>8875.739645</v>
      </c>
      <c r="G64" s="146">
        <v>12426.0355</v>
      </c>
      <c r="H64" s="146">
        <v>14201.18343</v>
      </c>
      <c r="I64" s="146">
        <v>15976.33136</v>
      </c>
      <c r="J64" s="145">
        <v>17751.47929</v>
      </c>
      <c r="K64" s="145">
        <v>15976.33136</v>
      </c>
      <c r="L64" s="145">
        <v>10650.88757</v>
      </c>
      <c r="M64" s="145">
        <v>26627.21894</v>
      </c>
      <c r="N64" s="146">
        <v>8875.739645</v>
      </c>
      <c r="O64" s="146">
        <v>8875.739645</v>
      </c>
      <c r="P64" s="146">
        <v>7100.591716</v>
      </c>
      <c r="Q64" s="146">
        <v>8875.739645</v>
      </c>
      <c r="R64" s="146">
        <v>5325.443787</v>
      </c>
      <c r="S64" s="146">
        <v>15976.33136</v>
      </c>
    </row>
    <row r="65">
      <c r="A65" s="145">
        <v>3.375</v>
      </c>
      <c r="B65" s="145">
        <f t="shared" si="1"/>
        <v>1090.125</v>
      </c>
      <c r="C65" s="145">
        <v>8875.739645</v>
      </c>
      <c r="D65" s="145">
        <v>5325.443787</v>
      </c>
      <c r="E65" s="146">
        <v>12426.0355</v>
      </c>
      <c r="F65" s="145">
        <v>8875.739645</v>
      </c>
      <c r="G65" s="146">
        <v>12426.0355</v>
      </c>
      <c r="H65" s="146">
        <v>14201.18343</v>
      </c>
      <c r="I65" s="146">
        <v>15976.33136</v>
      </c>
      <c r="J65" s="145">
        <v>17751.47929</v>
      </c>
      <c r="K65" s="145">
        <v>15976.33136</v>
      </c>
      <c r="L65" s="145">
        <v>10650.88757</v>
      </c>
      <c r="M65" s="145">
        <v>26627.21894</v>
      </c>
      <c r="N65" s="146">
        <v>8875.739645</v>
      </c>
      <c r="O65" s="146">
        <v>8875.739645</v>
      </c>
      <c r="P65" s="146">
        <v>7100.591716</v>
      </c>
      <c r="Q65" s="146">
        <v>8875.739645</v>
      </c>
      <c r="R65" s="146">
        <v>5325.443787</v>
      </c>
      <c r="S65" s="146">
        <v>15976.33136</v>
      </c>
    </row>
    <row r="66">
      <c r="A66" s="145">
        <v>3.438</v>
      </c>
      <c r="B66" s="145">
        <f t="shared" si="1"/>
        <v>1110.474</v>
      </c>
      <c r="C66" s="145">
        <v>10650.88757</v>
      </c>
      <c r="D66" s="145">
        <v>5325.443787</v>
      </c>
      <c r="E66" s="146">
        <v>12426.0355</v>
      </c>
      <c r="F66" s="145">
        <v>8875.739645</v>
      </c>
      <c r="G66" s="146">
        <v>12426.0355</v>
      </c>
      <c r="H66" s="146">
        <v>15976.33136</v>
      </c>
      <c r="I66" s="146">
        <v>15976.33136</v>
      </c>
      <c r="J66" s="145">
        <v>17751.47929</v>
      </c>
      <c r="K66" s="145">
        <v>15976.33136</v>
      </c>
      <c r="L66" s="145">
        <v>10650.88757</v>
      </c>
      <c r="M66" s="145">
        <v>26627.21894</v>
      </c>
      <c r="N66" s="146">
        <v>8875.739645</v>
      </c>
      <c r="O66" s="146">
        <v>8875.739645</v>
      </c>
      <c r="P66" s="146">
        <v>7100.591716</v>
      </c>
      <c r="Q66" s="146">
        <v>8875.739645</v>
      </c>
      <c r="R66" s="146">
        <v>5325.443787</v>
      </c>
      <c r="S66" s="146">
        <v>15976.33136</v>
      </c>
    </row>
    <row r="67">
      <c r="A67" s="145">
        <v>3.5</v>
      </c>
      <c r="B67" s="145">
        <f t="shared" si="1"/>
        <v>1130.5</v>
      </c>
      <c r="C67" s="145">
        <v>10650.88757</v>
      </c>
      <c r="D67" s="145">
        <v>7100.591716</v>
      </c>
      <c r="E67" s="146">
        <v>12426.0355</v>
      </c>
      <c r="F67" s="145">
        <v>8875.739645</v>
      </c>
      <c r="G67" s="146">
        <v>12426.0355</v>
      </c>
      <c r="H67" s="146">
        <v>15976.33136</v>
      </c>
      <c r="I67" s="146">
        <v>15976.33136</v>
      </c>
      <c r="J67" s="145">
        <v>17751.47929</v>
      </c>
      <c r="K67" s="145">
        <v>15976.33136</v>
      </c>
      <c r="L67" s="145">
        <v>10650.88757</v>
      </c>
      <c r="M67" s="145">
        <v>26627.21894</v>
      </c>
      <c r="N67" s="146">
        <v>8875.739645</v>
      </c>
      <c r="O67" s="146">
        <v>8875.739645</v>
      </c>
      <c r="P67" s="146">
        <v>7100.591716</v>
      </c>
      <c r="Q67" s="146">
        <v>8875.739645</v>
      </c>
      <c r="R67" s="146">
        <v>7100.591716</v>
      </c>
      <c r="S67" s="146">
        <v>15976.33136</v>
      </c>
    </row>
    <row r="68">
      <c r="A68" s="145">
        <v>3.563</v>
      </c>
      <c r="B68" s="145">
        <f t="shared" si="1"/>
        <v>1150.849</v>
      </c>
      <c r="C68" s="145">
        <v>10650.88757</v>
      </c>
      <c r="D68" s="145">
        <v>7100.591716</v>
      </c>
      <c r="E68" s="146">
        <v>12426.0355</v>
      </c>
      <c r="F68" s="145">
        <v>8875.739645</v>
      </c>
      <c r="G68" s="146">
        <v>12426.0355</v>
      </c>
      <c r="H68" s="146">
        <v>15976.33136</v>
      </c>
      <c r="I68" s="146">
        <v>15976.33136</v>
      </c>
      <c r="J68" s="145">
        <v>17751.47929</v>
      </c>
      <c r="K68" s="145">
        <v>15976.33136</v>
      </c>
      <c r="L68" s="145">
        <v>10650.88757</v>
      </c>
      <c r="M68" s="145">
        <v>26627.21894</v>
      </c>
      <c r="N68" s="146">
        <v>8875.739645</v>
      </c>
      <c r="O68" s="146">
        <v>8875.739645</v>
      </c>
      <c r="P68" s="146">
        <v>7100.591716</v>
      </c>
      <c r="Q68" s="146">
        <v>8875.739645</v>
      </c>
      <c r="R68" s="146">
        <v>7100.591716</v>
      </c>
      <c r="S68" s="146">
        <v>15976.33136</v>
      </c>
    </row>
    <row r="69">
      <c r="A69" s="145">
        <v>3.641</v>
      </c>
      <c r="B69" s="145">
        <f t="shared" si="1"/>
        <v>1176.043</v>
      </c>
      <c r="C69" s="145">
        <v>10650.88757</v>
      </c>
      <c r="D69" s="145">
        <v>7100.591716</v>
      </c>
      <c r="E69" s="146">
        <v>12426.0355</v>
      </c>
      <c r="F69" s="145">
        <v>8875.739645</v>
      </c>
      <c r="G69" s="146">
        <v>12426.0355</v>
      </c>
      <c r="H69" s="146">
        <v>15976.33136</v>
      </c>
      <c r="I69" s="146">
        <v>15976.33136</v>
      </c>
      <c r="J69" s="145">
        <v>17751.47929</v>
      </c>
      <c r="K69" s="145">
        <v>15976.33136</v>
      </c>
      <c r="L69" s="145">
        <v>10650.88757</v>
      </c>
      <c r="M69" s="145">
        <v>26627.21894</v>
      </c>
      <c r="N69" s="146">
        <v>8875.739645</v>
      </c>
      <c r="O69" s="146">
        <v>8875.739645</v>
      </c>
      <c r="P69" s="146">
        <v>7100.591716</v>
      </c>
      <c r="Q69" s="146">
        <v>8875.739645</v>
      </c>
      <c r="R69" s="146">
        <v>7100.591716</v>
      </c>
      <c r="S69" s="146">
        <v>15976.33136</v>
      </c>
    </row>
    <row r="70">
      <c r="A70" s="145">
        <v>3.688</v>
      </c>
      <c r="B70" s="145">
        <f t="shared" si="1"/>
        <v>1191.224</v>
      </c>
      <c r="C70" s="145">
        <v>10650.88757</v>
      </c>
      <c r="D70" s="145">
        <v>8875.739645</v>
      </c>
      <c r="E70" s="146">
        <v>12426.0355</v>
      </c>
      <c r="F70" s="145">
        <v>8875.739645</v>
      </c>
      <c r="G70" s="146">
        <v>12426.0355</v>
      </c>
      <c r="H70" s="146">
        <v>15976.33136</v>
      </c>
      <c r="I70" s="146">
        <v>15976.33136</v>
      </c>
      <c r="J70" s="145">
        <v>17751.47929</v>
      </c>
      <c r="K70" s="145">
        <v>15976.33136</v>
      </c>
      <c r="L70" s="145">
        <v>10650.88757</v>
      </c>
      <c r="M70" s="145">
        <v>26627.21894</v>
      </c>
      <c r="N70" s="146">
        <v>8875.739645</v>
      </c>
      <c r="O70" s="146">
        <v>8875.739645</v>
      </c>
      <c r="P70" s="146">
        <v>7100.591716</v>
      </c>
      <c r="Q70" s="146">
        <v>8875.739645</v>
      </c>
      <c r="R70" s="146">
        <v>7100.591716</v>
      </c>
      <c r="S70" s="146">
        <v>15976.33136</v>
      </c>
    </row>
    <row r="71">
      <c r="A71" s="145">
        <v>3.75</v>
      </c>
      <c r="B71" s="145">
        <f t="shared" si="1"/>
        <v>1211.25</v>
      </c>
      <c r="C71" s="145">
        <v>10650.88757</v>
      </c>
      <c r="D71" s="145">
        <v>8875.739645</v>
      </c>
      <c r="E71" s="146">
        <v>12426.0355</v>
      </c>
      <c r="F71" s="145">
        <v>8875.739645</v>
      </c>
      <c r="G71" s="146">
        <v>15976.33136</v>
      </c>
      <c r="H71" s="146">
        <v>15976.33136</v>
      </c>
      <c r="I71" s="146">
        <v>15976.33136</v>
      </c>
      <c r="J71" s="145">
        <v>17751.47929</v>
      </c>
      <c r="K71" s="145">
        <v>15976.33136</v>
      </c>
      <c r="L71" s="145">
        <v>10650.88757</v>
      </c>
      <c r="M71" s="145">
        <v>26627.21894</v>
      </c>
      <c r="N71" s="146">
        <v>8875.739645</v>
      </c>
      <c r="O71" s="146">
        <v>8875.739645</v>
      </c>
      <c r="P71" s="146">
        <v>7100.591716</v>
      </c>
      <c r="Q71" s="146">
        <v>8875.739645</v>
      </c>
      <c r="R71" s="146">
        <v>7100.591716</v>
      </c>
      <c r="S71" s="146">
        <v>17751.47929</v>
      </c>
    </row>
    <row r="72">
      <c r="A72" s="145">
        <v>3.813</v>
      </c>
      <c r="B72" s="145">
        <f t="shared" si="1"/>
        <v>1231.599</v>
      </c>
      <c r="C72" s="145">
        <v>10650.88757</v>
      </c>
      <c r="D72" s="145">
        <v>8875.739645</v>
      </c>
      <c r="E72" s="146">
        <v>12426.0355</v>
      </c>
      <c r="F72" s="145">
        <v>8875.739645</v>
      </c>
      <c r="G72" s="146">
        <v>15976.33136</v>
      </c>
      <c r="H72" s="146">
        <v>15976.33136</v>
      </c>
      <c r="I72" s="146">
        <v>15976.33136</v>
      </c>
      <c r="J72" s="145">
        <v>17751.47929</v>
      </c>
      <c r="K72" s="145">
        <v>15976.33136</v>
      </c>
      <c r="L72" s="145">
        <v>10650.88757</v>
      </c>
      <c r="M72" s="145">
        <v>26627.21894</v>
      </c>
      <c r="N72" s="146">
        <v>8875.739645</v>
      </c>
      <c r="O72" s="146">
        <v>8875.739645</v>
      </c>
      <c r="P72" s="146">
        <v>7100.591716</v>
      </c>
      <c r="Q72" s="146">
        <v>8875.739645</v>
      </c>
      <c r="R72" s="146">
        <v>7100.591716</v>
      </c>
      <c r="S72" s="146">
        <v>17751.47929</v>
      </c>
    </row>
    <row r="73">
      <c r="A73" s="145">
        <v>3.891</v>
      </c>
      <c r="B73" s="145">
        <f t="shared" si="1"/>
        <v>1256.793</v>
      </c>
      <c r="C73" s="145">
        <v>10650.88757</v>
      </c>
      <c r="D73" s="145">
        <v>8875.739645</v>
      </c>
      <c r="E73" s="146">
        <v>12426.0355</v>
      </c>
      <c r="F73" s="145">
        <v>8875.739645</v>
      </c>
      <c r="G73" s="146">
        <v>15976.33136</v>
      </c>
      <c r="H73" s="146">
        <v>15976.33136</v>
      </c>
      <c r="I73" s="146">
        <v>15976.33136</v>
      </c>
      <c r="J73" s="145">
        <v>17751.47929</v>
      </c>
      <c r="K73" s="145">
        <v>15976.33136</v>
      </c>
      <c r="L73" s="145">
        <v>10650.88757</v>
      </c>
      <c r="M73" s="145">
        <v>26627.21894</v>
      </c>
      <c r="N73" s="145">
        <v>8875.739645</v>
      </c>
      <c r="O73" s="145">
        <v>8875.739645</v>
      </c>
      <c r="P73" s="146">
        <v>7100.591716</v>
      </c>
      <c r="Q73" s="146">
        <v>8875.739645</v>
      </c>
      <c r="R73" s="146">
        <v>7100.591716</v>
      </c>
      <c r="S73" s="146">
        <v>17751.47929</v>
      </c>
    </row>
    <row r="74">
      <c r="A74" s="145">
        <v>3.938</v>
      </c>
      <c r="B74" s="145">
        <f t="shared" si="1"/>
        <v>1271.974</v>
      </c>
      <c r="C74" s="145">
        <v>10650.88757</v>
      </c>
      <c r="D74" s="145">
        <v>8875.739645</v>
      </c>
      <c r="E74" s="146">
        <v>12426.0355</v>
      </c>
      <c r="F74" s="145">
        <v>8875.739645</v>
      </c>
      <c r="G74" s="146">
        <v>15976.33136</v>
      </c>
      <c r="H74" s="146">
        <v>15976.33136</v>
      </c>
      <c r="I74" s="146">
        <v>15976.33136</v>
      </c>
      <c r="J74" s="145">
        <v>17751.47929</v>
      </c>
      <c r="K74" s="145">
        <v>17751.47929</v>
      </c>
      <c r="L74" s="145">
        <v>10650.88757</v>
      </c>
      <c r="M74" s="145">
        <v>26627.21894</v>
      </c>
      <c r="N74" s="145">
        <v>8875.739645</v>
      </c>
      <c r="O74" s="145">
        <v>8875.739645</v>
      </c>
      <c r="P74" s="146">
        <v>7100.591716</v>
      </c>
      <c r="Q74" s="146">
        <v>8875.739645</v>
      </c>
      <c r="R74" s="146">
        <v>7100.591716</v>
      </c>
      <c r="S74" s="146">
        <v>17751.47929</v>
      </c>
    </row>
    <row r="75">
      <c r="A75" s="145">
        <v>4.0</v>
      </c>
      <c r="B75" s="145">
        <f t="shared" si="1"/>
        <v>1292</v>
      </c>
      <c r="C75" s="145">
        <v>10650.88757</v>
      </c>
      <c r="D75" s="145">
        <v>8875.739645</v>
      </c>
      <c r="E75" s="146">
        <v>12426.0355</v>
      </c>
      <c r="F75" s="145">
        <v>8875.739645</v>
      </c>
      <c r="G75" s="146">
        <v>15976.33136</v>
      </c>
      <c r="H75" s="146">
        <v>15976.33136</v>
      </c>
      <c r="I75" s="146">
        <v>15976.33136</v>
      </c>
      <c r="J75" s="145">
        <v>17751.47929</v>
      </c>
      <c r="K75" s="145">
        <v>17751.47929</v>
      </c>
      <c r="L75" s="145">
        <v>10650.88757</v>
      </c>
      <c r="M75" s="145">
        <v>26627.21894</v>
      </c>
      <c r="N75" s="145">
        <v>8875.739645</v>
      </c>
      <c r="O75" s="145">
        <v>8875.739645</v>
      </c>
      <c r="P75" s="146">
        <v>8875.739645</v>
      </c>
      <c r="Q75" s="146">
        <v>8875.739645</v>
      </c>
      <c r="R75" s="146">
        <v>8875.739645</v>
      </c>
      <c r="S75" s="146">
        <v>17751.47929</v>
      </c>
    </row>
    <row r="76">
      <c r="A76" s="145">
        <v>4.063</v>
      </c>
      <c r="B76" s="145">
        <f t="shared" si="1"/>
        <v>1312.349</v>
      </c>
      <c r="C76" s="145">
        <v>10650.88757</v>
      </c>
      <c r="D76" s="145">
        <v>8875.739645</v>
      </c>
      <c r="E76" s="146">
        <v>12426.0355</v>
      </c>
      <c r="F76" s="145">
        <v>8875.739645</v>
      </c>
      <c r="G76" s="146">
        <v>15976.33136</v>
      </c>
      <c r="H76" s="146">
        <v>15976.33136</v>
      </c>
      <c r="I76" s="146">
        <v>15976.33136</v>
      </c>
      <c r="J76" s="145">
        <v>17751.47929</v>
      </c>
      <c r="K76" s="145">
        <v>17751.47929</v>
      </c>
      <c r="L76" s="145">
        <v>10650.88757</v>
      </c>
      <c r="M76" s="145">
        <v>26627.21894</v>
      </c>
      <c r="N76" s="145">
        <v>8875.739645</v>
      </c>
      <c r="O76" s="145">
        <v>8875.739645</v>
      </c>
      <c r="P76" s="146">
        <v>8875.739645</v>
      </c>
      <c r="Q76" s="146">
        <v>8875.739645</v>
      </c>
      <c r="R76" s="146">
        <v>8875.739645</v>
      </c>
      <c r="S76" s="146">
        <v>17751.47929</v>
      </c>
    </row>
    <row r="77">
      <c r="A77" s="145">
        <v>4.125</v>
      </c>
      <c r="B77" s="145">
        <f t="shared" si="1"/>
        <v>1332.375</v>
      </c>
      <c r="C77" s="145">
        <v>10650.88757</v>
      </c>
      <c r="D77" s="145">
        <v>8875.739645</v>
      </c>
      <c r="E77" s="146">
        <v>12426.0355</v>
      </c>
      <c r="F77" s="145">
        <v>8875.739645</v>
      </c>
      <c r="G77" s="146">
        <v>15976.33136</v>
      </c>
      <c r="H77" s="146">
        <v>15976.33136</v>
      </c>
      <c r="I77" s="146">
        <v>15976.33136</v>
      </c>
      <c r="J77" s="145">
        <v>17751.47929</v>
      </c>
      <c r="K77" s="145">
        <v>17751.47929</v>
      </c>
      <c r="L77" s="145">
        <v>10650.88757</v>
      </c>
      <c r="M77" s="145">
        <v>26627.21894</v>
      </c>
      <c r="N77" s="145">
        <v>8875.739645</v>
      </c>
      <c r="O77" s="145">
        <v>8875.739645</v>
      </c>
      <c r="P77" s="146">
        <v>8875.739645</v>
      </c>
      <c r="Q77" s="146">
        <v>8875.739645</v>
      </c>
      <c r="R77" s="146">
        <v>8875.739645</v>
      </c>
      <c r="S77" s="146">
        <v>17751.47929</v>
      </c>
    </row>
    <row r="78">
      <c r="A78" s="145">
        <v>4.188</v>
      </c>
      <c r="B78" s="145">
        <f t="shared" si="1"/>
        <v>1352.724</v>
      </c>
      <c r="C78" s="145">
        <v>10650.88757</v>
      </c>
      <c r="D78" s="145">
        <v>8875.739645</v>
      </c>
      <c r="E78" s="146">
        <v>12426.0355</v>
      </c>
      <c r="F78" s="145">
        <v>8875.739645</v>
      </c>
      <c r="G78" s="146">
        <v>15976.33136</v>
      </c>
      <c r="H78" s="146">
        <v>15976.33136</v>
      </c>
      <c r="I78" s="146">
        <v>17751.47929</v>
      </c>
      <c r="J78" s="145">
        <v>17751.47929</v>
      </c>
      <c r="K78" s="145">
        <v>17751.47929</v>
      </c>
      <c r="L78" s="145">
        <v>10650.88757</v>
      </c>
      <c r="M78" s="145">
        <v>26627.21894</v>
      </c>
      <c r="N78" s="145">
        <v>10650.88757</v>
      </c>
      <c r="O78" s="145">
        <v>8875.739645</v>
      </c>
      <c r="P78" s="146">
        <v>8875.739645</v>
      </c>
      <c r="Q78" s="146">
        <v>8875.739645</v>
      </c>
      <c r="R78" s="146">
        <v>8875.739645</v>
      </c>
      <c r="S78" s="146">
        <v>17751.47929</v>
      </c>
    </row>
    <row r="79">
      <c r="A79" s="145">
        <v>4.266</v>
      </c>
      <c r="B79" s="145">
        <f t="shared" si="1"/>
        <v>1377.918</v>
      </c>
      <c r="C79" s="145">
        <v>10650.88757</v>
      </c>
      <c r="D79" s="145">
        <v>8875.739645</v>
      </c>
      <c r="E79" s="146">
        <v>12426.0355</v>
      </c>
      <c r="F79" s="145">
        <v>8875.739645</v>
      </c>
      <c r="G79" s="146">
        <v>15976.33136</v>
      </c>
      <c r="H79" s="146">
        <v>15976.33136</v>
      </c>
      <c r="I79" s="146">
        <v>17751.47929</v>
      </c>
      <c r="J79" s="145">
        <v>19526.62722</v>
      </c>
      <c r="K79" s="145">
        <v>17751.47929</v>
      </c>
      <c r="L79" s="145">
        <v>10650.88757</v>
      </c>
      <c r="M79" s="145">
        <v>26627.21894</v>
      </c>
      <c r="N79" s="145">
        <v>12426.0355</v>
      </c>
      <c r="O79" s="145">
        <v>8875.739645</v>
      </c>
      <c r="P79" s="146">
        <v>8875.739645</v>
      </c>
      <c r="Q79" s="146">
        <v>8875.739645</v>
      </c>
      <c r="R79" s="146">
        <v>8875.739645</v>
      </c>
      <c r="S79" s="146">
        <v>17751.47929</v>
      </c>
    </row>
    <row r="80">
      <c r="A80" s="145">
        <v>4.313</v>
      </c>
      <c r="B80" s="145">
        <f t="shared" si="1"/>
        <v>1393.099</v>
      </c>
      <c r="C80" s="145">
        <v>10650.88757</v>
      </c>
      <c r="D80" s="145">
        <v>10650.88757</v>
      </c>
      <c r="E80" s="146">
        <v>12426.0355</v>
      </c>
      <c r="F80" s="145">
        <v>8875.739645</v>
      </c>
      <c r="G80" s="146">
        <v>15976.33136</v>
      </c>
      <c r="H80" s="146">
        <v>15976.33136</v>
      </c>
      <c r="I80" s="146">
        <v>17751.47929</v>
      </c>
      <c r="J80" s="145">
        <v>19526.62722</v>
      </c>
      <c r="K80" s="145">
        <v>17751.47929</v>
      </c>
      <c r="L80" s="145">
        <v>10650.88757</v>
      </c>
      <c r="M80" s="145">
        <v>26627.21894</v>
      </c>
      <c r="N80" s="145">
        <v>12426.0355</v>
      </c>
      <c r="O80" s="145">
        <v>8875.739645</v>
      </c>
      <c r="P80" s="146">
        <v>8875.739645</v>
      </c>
      <c r="Q80" s="146">
        <v>8875.739645</v>
      </c>
      <c r="R80" s="146">
        <v>8875.739645</v>
      </c>
      <c r="S80" s="146">
        <v>17751.47929</v>
      </c>
    </row>
    <row r="81">
      <c r="A81" s="145">
        <v>4.375</v>
      </c>
      <c r="B81" s="145">
        <f t="shared" si="1"/>
        <v>1413.125</v>
      </c>
      <c r="C81" s="145">
        <v>10650.88757</v>
      </c>
      <c r="D81" s="145">
        <v>10650.88757</v>
      </c>
      <c r="E81" s="146">
        <v>12426.0355</v>
      </c>
      <c r="F81" s="145">
        <v>8875.739645</v>
      </c>
      <c r="G81" s="146">
        <v>15976.33136</v>
      </c>
      <c r="H81" s="146">
        <v>15976.33136</v>
      </c>
      <c r="I81" s="146">
        <v>17751.47929</v>
      </c>
      <c r="J81" s="145">
        <v>19526.62722</v>
      </c>
      <c r="K81" s="145">
        <v>17751.47929</v>
      </c>
      <c r="L81" s="145">
        <v>12426.0355</v>
      </c>
      <c r="M81" s="145">
        <v>26627.21894</v>
      </c>
      <c r="N81" s="145">
        <v>12426.0355</v>
      </c>
      <c r="O81" s="145">
        <v>8875.739645</v>
      </c>
      <c r="P81" s="146">
        <v>8875.739645</v>
      </c>
      <c r="Q81" s="146">
        <v>8875.739645</v>
      </c>
      <c r="R81" s="146">
        <v>8875.739645</v>
      </c>
      <c r="S81" s="146">
        <v>17751.47929</v>
      </c>
    </row>
    <row r="82">
      <c r="A82" s="145">
        <v>4.438</v>
      </c>
      <c r="B82" s="145">
        <f t="shared" si="1"/>
        <v>1433.474</v>
      </c>
      <c r="C82" s="145">
        <v>12426.0355</v>
      </c>
      <c r="D82" s="145">
        <v>10650.88757</v>
      </c>
      <c r="E82" s="146">
        <v>12426.0355</v>
      </c>
      <c r="F82" s="145">
        <v>8875.739645</v>
      </c>
      <c r="G82" s="146">
        <v>15976.33136</v>
      </c>
      <c r="H82" s="146">
        <v>15976.33136</v>
      </c>
      <c r="I82" s="146">
        <v>17751.47929</v>
      </c>
      <c r="J82" s="145">
        <v>19526.62722</v>
      </c>
      <c r="K82" s="145">
        <v>17751.47929</v>
      </c>
      <c r="L82" s="145">
        <v>12426.0355</v>
      </c>
      <c r="M82" s="145">
        <v>30177.51479</v>
      </c>
      <c r="N82" s="145">
        <v>12426.0355</v>
      </c>
      <c r="O82" s="145">
        <v>8875.739645</v>
      </c>
      <c r="P82" s="146">
        <v>8875.739645</v>
      </c>
      <c r="Q82" s="146">
        <v>8875.739645</v>
      </c>
      <c r="R82" s="146">
        <v>8875.739645</v>
      </c>
      <c r="S82" s="146">
        <v>17751.47929</v>
      </c>
    </row>
    <row r="83">
      <c r="A83" s="145">
        <v>4.516</v>
      </c>
      <c r="B83" s="145">
        <f t="shared" si="1"/>
        <v>1458.668</v>
      </c>
      <c r="C83" s="145">
        <v>12426.0355</v>
      </c>
      <c r="D83" s="145">
        <v>10650.88757</v>
      </c>
      <c r="E83" s="146">
        <v>12426.0355</v>
      </c>
      <c r="F83" s="145">
        <v>8875.739645</v>
      </c>
      <c r="G83" s="146">
        <v>15976.33136</v>
      </c>
      <c r="H83" s="146">
        <v>15976.33136</v>
      </c>
      <c r="I83" s="146">
        <v>17751.47929</v>
      </c>
      <c r="J83" s="145">
        <v>19526.62722</v>
      </c>
      <c r="K83" s="145">
        <v>17751.47929</v>
      </c>
      <c r="L83" s="145">
        <v>12426.0355</v>
      </c>
      <c r="M83" s="145">
        <v>30177.51479</v>
      </c>
      <c r="N83" s="145">
        <v>12426.0355</v>
      </c>
      <c r="O83" s="145">
        <v>8875.739645</v>
      </c>
      <c r="P83" s="146">
        <v>8875.739645</v>
      </c>
      <c r="Q83" s="146">
        <v>8875.739645</v>
      </c>
      <c r="R83" s="146">
        <v>8875.739645</v>
      </c>
      <c r="S83" s="146">
        <v>17751.47929</v>
      </c>
    </row>
    <row r="84">
      <c r="A84" s="145">
        <v>4.563</v>
      </c>
      <c r="B84" s="145">
        <f t="shared" si="1"/>
        <v>1473.849</v>
      </c>
      <c r="C84" s="145">
        <v>12426.0355</v>
      </c>
      <c r="D84" s="145">
        <v>10650.88757</v>
      </c>
      <c r="E84" s="146">
        <v>12426.0355</v>
      </c>
      <c r="F84" s="145">
        <v>8875.739645</v>
      </c>
      <c r="G84" s="146">
        <v>15976.33136</v>
      </c>
      <c r="H84" s="146">
        <v>15976.33136</v>
      </c>
      <c r="I84" s="146">
        <v>17751.47929</v>
      </c>
      <c r="J84" s="145">
        <v>21301.77515</v>
      </c>
      <c r="K84" s="145">
        <v>17751.47929</v>
      </c>
      <c r="L84" s="145">
        <v>12426.0355</v>
      </c>
      <c r="M84" s="145">
        <v>30177.51479</v>
      </c>
      <c r="N84" s="145">
        <v>12426.0355</v>
      </c>
      <c r="O84" s="145">
        <v>8875.739645</v>
      </c>
      <c r="P84" s="146">
        <v>8875.739645</v>
      </c>
      <c r="Q84" s="146">
        <v>8875.739645</v>
      </c>
      <c r="R84" s="146">
        <v>8875.739645</v>
      </c>
      <c r="S84" s="146">
        <v>17751.47929</v>
      </c>
    </row>
    <row r="85">
      <c r="A85" s="145">
        <v>4.625</v>
      </c>
      <c r="B85" s="145">
        <f t="shared" si="1"/>
        <v>1493.875</v>
      </c>
      <c r="C85" s="145">
        <v>12426.0355</v>
      </c>
      <c r="D85" s="145">
        <v>10650.88757</v>
      </c>
      <c r="E85" s="146">
        <v>12426.0355</v>
      </c>
      <c r="F85" s="145">
        <v>8875.739645</v>
      </c>
      <c r="G85" s="146">
        <v>15976.33136</v>
      </c>
      <c r="H85" s="146">
        <v>15976.33136</v>
      </c>
      <c r="I85" s="146">
        <v>17751.47929</v>
      </c>
      <c r="J85" s="145">
        <v>21301.77515</v>
      </c>
      <c r="K85" s="145">
        <v>17751.47929</v>
      </c>
      <c r="L85" s="145">
        <v>12426.0355</v>
      </c>
      <c r="M85" s="145">
        <v>30177.51479</v>
      </c>
      <c r="N85" s="145">
        <v>12426.0355</v>
      </c>
      <c r="O85" s="145">
        <v>8875.739645</v>
      </c>
      <c r="P85" s="146">
        <v>8875.739645</v>
      </c>
      <c r="Q85" s="146">
        <v>8875.739645</v>
      </c>
      <c r="R85" s="146">
        <v>8875.739645</v>
      </c>
      <c r="S85" s="146">
        <v>17751.47929</v>
      </c>
    </row>
    <row r="86">
      <c r="A86" s="145">
        <v>4.688</v>
      </c>
      <c r="B86" s="145">
        <f t="shared" si="1"/>
        <v>1514.224</v>
      </c>
      <c r="C86" s="145">
        <v>12426.0355</v>
      </c>
      <c r="D86" s="145">
        <v>10650.88757</v>
      </c>
      <c r="E86" s="146">
        <v>12426.0355</v>
      </c>
      <c r="F86" s="145">
        <v>8875.739645</v>
      </c>
      <c r="G86" s="146">
        <v>15976.33136</v>
      </c>
      <c r="H86" s="146">
        <v>15976.33136</v>
      </c>
      <c r="I86" s="146">
        <v>17751.47929</v>
      </c>
      <c r="J86" s="145">
        <v>21301.77515</v>
      </c>
      <c r="K86" s="145">
        <v>17751.47929</v>
      </c>
      <c r="L86" s="145">
        <v>12426.0355</v>
      </c>
      <c r="M86" s="145">
        <v>30177.51479</v>
      </c>
      <c r="N86" s="145">
        <v>12426.0355</v>
      </c>
      <c r="O86" s="145">
        <v>8875.739645</v>
      </c>
      <c r="P86" s="146">
        <v>8875.739645</v>
      </c>
      <c r="Q86" s="146">
        <v>8875.739645</v>
      </c>
      <c r="R86" s="146">
        <v>8875.739645</v>
      </c>
      <c r="S86" s="146">
        <v>17751.47929</v>
      </c>
    </row>
    <row r="87">
      <c r="A87" s="145">
        <v>4.766</v>
      </c>
      <c r="B87" s="145">
        <f t="shared" si="1"/>
        <v>1539.418</v>
      </c>
      <c r="C87" s="145">
        <v>12426.0355</v>
      </c>
      <c r="D87" s="145">
        <v>10650.88757</v>
      </c>
      <c r="E87" s="146">
        <v>12426.0355</v>
      </c>
      <c r="F87" s="145">
        <v>8875.739645</v>
      </c>
      <c r="G87" s="146">
        <v>15976.33136</v>
      </c>
      <c r="H87" s="146">
        <v>15976.33136</v>
      </c>
      <c r="I87" s="146">
        <v>17751.47929</v>
      </c>
      <c r="J87" s="145">
        <v>21301.77515</v>
      </c>
      <c r="K87" s="145">
        <v>17751.47929</v>
      </c>
      <c r="L87" s="145">
        <v>12426.0355</v>
      </c>
      <c r="M87" s="145">
        <v>30177.51479</v>
      </c>
      <c r="N87" s="145">
        <v>12426.0355</v>
      </c>
      <c r="O87" s="145">
        <v>8875.739645</v>
      </c>
      <c r="P87" s="146">
        <v>8875.739645</v>
      </c>
      <c r="Q87" s="146">
        <v>8875.739645</v>
      </c>
      <c r="R87" s="146">
        <v>8875.739645</v>
      </c>
      <c r="S87" s="146">
        <v>24852.07101</v>
      </c>
    </row>
    <row r="88">
      <c r="A88" s="145">
        <v>4.813</v>
      </c>
      <c r="B88" s="145">
        <f t="shared" si="1"/>
        <v>1554.599</v>
      </c>
      <c r="C88" s="145">
        <v>12426.0355</v>
      </c>
      <c r="D88" s="145">
        <v>12426.0355</v>
      </c>
      <c r="E88" s="146">
        <v>12426.0355</v>
      </c>
      <c r="F88" s="145">
        <v>10650.88757</v>
      </c>
      <c r="G88" s="146">
        <v>15976.33136</v>
      </c>
      <c r="H88" s="146">
        <v>15976.33136</v>
      </c>
      <c r="I88" s="146">
        <v>17751.47929</v>
      </c>
      <c r="J88" s="145">
        <v>21301.77515</v>
      </c>
      <c r="K88" s="145">
        <v>17751.47929</v>
      </c>
      <c r="L88" s="145">
        <v>14201.18343</v>
      </c>
      <c r="M88" s="145">
        <v>30177.51479</v>
      </c>
      <c r="N88" s="145">
        <v>12426.0355</v>
      </c>
      <c r="O88" s="145">
        <v>8875.739645</v>
      </c>
      <c r="P88" s="146">
        <v>8875.739645</v>
      </c>
      <c r="Q88" s="146">
        <v>8875.739645</v>
      </c>
      <c r="R88" s="146">
        <v>8875.739645</v>
      </c>
      <c r="S88" s="146">
        <v>24852.07101</v>
      </c>
    </row>
    <row r="89">
      <c r="A89" s="145">
        <v>4.875</v>
      </c>
      <c r="B89" s="145">
        <f t="shared" si="1"/>
        <v>1574.625</v>
      </c>
      <c r="C89" s="145">
        <v>12426.0355</v>
      </c>
      <c r="D89" s="145">
        <v>12426.0355</v>
      </c>
      <c r="E89" s="146">
        <v>17751.47929</v>
      </c>
      <c r="F89" s="145">
        <v>10650.88757</v>
      </c>
      <c r="G89" s="146">
        <v>15976.33136</v>
      </c>
      <c r="H89" s="146">
        <v>15976.33136</v>
      </c>
      <c r="I89" s="146">
        <v>17751.47929</v>
      </c>
      <c r="J89" s="145">
        <v>23076.92308</v>
      </c>
      <c r="K89" s="145">
        <v>17751.47929</v>
      </c>
      <c r="L89" s="145">
        <v>14201.18343</v>
      </c>
      <c r="M89" s="145">
        <v>30177.51479</v>
      </c>
      <c r="N89" s="145">
        <v>12426.0355</v>
      </c>
      <c r="O89" s="145">
        <v>8875.739645</v>
      </c>
      <c r="P89" s="146">
        <v>8875.739645</v>
      </c>
      <c r="Q89" s="146">
        <v>8875.739645</v>
      </c>
      <c r="R89" s="146">
        <v>8875.739645</v>
      </c>
      <c r="S89" s="146">
        <v>24852.07101</v>
      </c>
    </row>
    <row r="90">
      <c r="A90" s="145">
        <v>4.954</v>
      </c>
      <c r="B90" s="145">
        <f t="shared" si="1"/>
        <v>1600.142</v>
      </c>
      <c r="C90" s="145">
        <v>14201.18343</v>
      </c>
      <c r="D90" s="145">
        <v>12426.0355</v>
      </c>
      <c r="E90" s="146">
        <v>17751.47929</v>
      </c>
      <c r="F90" s="145">
        <v>10650.88757</v>
      </c>
      <c r="G90" s="146">
        <v>15976.33136</v>
      </c>
      <c r="H90" s="146">
        <v>17751.47929</v>
      </c>
      <c r="I90" s="146">
        <v>19526.62722</v>
      </c>
      <c r="J90" s="145">
        <v>23076.92308</v>
      </c>
      <c r="K90" s="145">
        <v>17751.47929</v>
      </c>
      <c r="L90" s="145">
        <v>14201.18343</v>
      </c>
      <c r="M90" s="145">
        <v>30177.51479</v>
      </c>
      <c r="N90" s="145">
        <v>12426.0355</v>
      </c>
      <c r="O90" s="145">
        <v>8875.739645</v>
      </c>
      <c r="P90" s="146">
        <v>8875.739645</v>
      </c>
      <c r="Q90" s="146">
        <v>8875.739645</v>
      </c>
      <c r="R90" s="146">
        <v>8875.739645</v>
      </c>
      <c r="S90" s="146">
        <v>24852.07101</v>
      </c>
    </row>
    <row r="91">
      <c r="A91" s="145">
        <v>5.0</v>
      </c>
      <c r="B91" s="145">
        <f t="shared" si="1"/>
        <v>1615</v>
      </c>
      <c r="C91" s="145">
        <v>14201.18343</v>
      </c>
      <c r="D91" s="145">
        <v>12426.0355</v>
      </c>
      <c r="E91" s="146">
        <v>17751.47929</v>
      </c>
      <c r="F91" s="145">
        <v>10650.88757</v>
      </c>
      <c r="G91" s="146">
        <v>19526.62722</v>
      </c>
      <c r="H91" s="146">
        <v>17751.47929</v>
      </c>
      <c r="I91" s="146">
        <v>19526.62722</v>
      </c>
      <c r="J91" s="145">
        <v>23076.92308</v>
      </c>
      <c r="K91" s="145">
        <v>17751.47929</v>
      </c>
      <c r="L91" s="145">
        <v>14201.18343</v>
      </c>
      <c r="M91" s="145">
        <v>30177.51479</v>
      </c>
      <c r="N91" s="145">
        <v>12426.0355</v>
      </c>
      <c r="O91" s="145">
        <v>10650.88757</v>
      </c>
      <c r="P91" s="146">
        <v>10650.88757</v>
      </c>
      <c r="Q91" s="146">
        <v>8875.739645</v>
      </c>
      <c r="R91" s="146">
        <v>8875.739645</v>
      </c>
      <c r="S91" s="146">
        <v>24852.07101</v>
      </c>
    </row>
    <row r="92">
      <c r="A92" s="145">
        <v>5.063</v>
      </c>
      <c r="B92" s="145">
        <f t="shared" si="1"/>
        <v>1635.349</v>
      </c>
      <c r="C92" s="145">
        <v>14201.18343</v>
      </c>
      <c r="D92" s="145">
        <v>12426.0355</v>
      </c>
      <c r="E92" s="146">
        <v>17751.47929</v>
      </c>
      <c r="F92" s="145">
        <v>12426.0355</v>
      </c>
      <c r="G92" s="146">
        <v>19526.62722</v>
      </c>
      <c r="H92" s="146">
        <v>17751.47929</v>
      </c>
      <c r="I92" s="146">
        <v>19526.62722</v>
      </c>
      <c r="J92" s="145">
        <v>23076.92308</v>
      </c>
      <c r="K92" s="145">
        <v>17751.47929</v>
      </c>
      <c r="L92" s="145">
        <v>14201.18343</v>
      </c>
      <c r="M92" s="145">
        <v>30177.51479</v>
      </c>
      <c r="N92" s="145">
        <v>12426.0355</v>
      </c>
      <c r="O92" s="145">
        <v>10650.88757</v>
      </c>
      <c r="P92" s="146">
        <v>10650.88757</v>
      </c>
      <c r="Q92" s="146">
        <v>8875.739645</v>
      </c>
      <c r="R92" s="146">
        <v>8875.739645</v>
      </c>
      <c r="S92" s="146">
        <v>24852.07101</v>
      </c>
    </row>
    <row r="93">
      <c r="A93" s="145">
        <v>5.125</v>
      </c>
      <c r="B93" s="145">
        <f t="shared" si="1"/>
        <v>1655.375</v>
      </c>
      <c r="C93" s="145">
        <v>14201.18343</v>
      </c>
      <c r="D93" s="145">
        <v>12426.0355</v>
      </c>
      <c r="E93" s="146">
        <v>17751.47929</v>
      </c>
      <c r="F93" s="145">
        <v>12426.0355</v>
      </c>
      <c r="G93" s="146">
        <v>19526.62722</v>
      </c>
      <c r="H93" s="146">
        <v>17751.47929</v>
      </c>
      <c r="I93" s="146">
        <v>19526.62722</v>
      </c>
      <c r="J93" s="145">
        <v>23076.92308</v>
      </c>
      <c r="K93" s="145">
        <v>17751.47929</v>
      </c>
      <c r="L93" s="145">
        <v>14201.18343</v>
      </c>
      <c r="M93" s="145">
        <v>30177.51479</v>
      </c>
      <c r="N93" s="145">
        <v>12426.0355</v>
      </c>
      <c r="O93" s="145">
        <v>10650.88757</v>
      </c>
      <c r="P93" s="146">
        <v>10650.88757</v>
      </c>
      <c r="Q93" s="146">
        <v>8875.739645</v>
      </c>
      <c r="R93" s="146">
        <v>8875.739645</v>
      </c>
      <c r="S93" s="146">
        <v>24852.07101</v>
      </c>
    </row>
    <row r="94">
      <c r="A94" s="145">
        <v>5.204</v>
      </c>
      <c r="B94" s="145">
        <f t="shared" si="1"/>
        <v>1680.892</v>
      </c>
      <c r="C94" s="145">
        <v>14201.18343</v>
      </c>
      <c r="D94" s="145">
        <v>12426.0355</v>
      </c>
      <c r="E94" s="146">
        <v>17751.47929</v>
      </c>
      <c r="F94" s="145">
        <v>12426.0355</v>
      </c>
      <c r="G94" s="146">
        <v>19526.62722</v>
      </c>
      <c r="H94" s="146">
        <v>17751.47929</v>
      </c>
      <c r="I94" s="146">
        <v>19526.62722</v>
      </c>
      <c r="J94" s="145">
        <v>23076.92308</v>
      </c>
      <c r="K94" s="145">
        <v>17751.47929</v>
      </c>
      <c r="L94" s="145">
        <v>15976.33136</v>
      </c>
      <c r="M94" s="145">
        <v>30177.51479</v>
      </c>
      <c r="N94" s="145">
        <v>12426.0355</v>
      </c>
      <c r="O94" s="145">
        <v>10650.88757</v>
      </c>
      <c r="P94" s="146">
        <v>10650.88757</v>
      </c>
      <c r="Q94" s="146">
        <v>8875.739645</v>
      </c>
      <c r="R94" s="146">
        <v>8875.739645</v>
      </c>
      <c r="S94" s="146">
        <v>24852.07101</v>
      </c>
    </row>
    <row r="95">
      <c r="A95" s="145">
        <v>5.25</v>
      </c>
      <c r="B95" s="145">
        <f t="shared" si="1"/>
        <v>1695.75</v>
      </c>
      <c r="C95" s="145">
        <v>14201.18343</v>
      </c>
      <c r="D95" s="145">
        <v>12426.0355</v>
      </c>
      <c r="E95" s="146">
        <v>17751.47929</v>
      </c>
      <c r="F95" s="145">
        <v>12426.0355</v>
      </c>
      <c r="G95" s="146">
        <v>19526.62722</v>
      </c>
      <c r="H95" s="146">
        <v>17751.47929</v>
      </c>
      <c r="I95" s="146">
        <v>19526.62722</v>
      </c>
      <c r="J95" s="145">
        <v>23076.92308</v>
      </c>
      <c r="K95" s="145">
        <v>17751.47929</v>
      </c>
      <c r="L95" s="145">
        <v>15976.33136</v>
      </c>
      <c r="M95" s="145">
        <v>30177.51479</v>
      </c>
      <c r="N95" s="145">
        <v>12426.0355</v>
      </c>
      <c r="O95" s="145">
        <v>10650.88757</v>
      </c>
      <c r="P95" s="146">
        <v>10650.88757</v>
      </c>
      <c r="Q95" s="146">
        <v>8875.739645</v>
      </c>
      <c r="R95" s="146">
        <v>8875.739645</v>
      </c>
      <c r="S95" s="146">
        <v>24852.07101</v>
      </c>
    </row>
    <row r="96">
      <c r="A96" s="145">
        <v>5.313</v>
      </c>
      <c r="B96" s="145">
        <f t="shared" si="1"/>
        <v>1716.099</v>
      </c>
      <c r="C96" s="145">
        <v>14201.18343</v>
      </c>
      <c r="D96" s="145">
        <v>14201.18343</v>
      </c>
      <c r="E96" s="146">
        <v>17751.47929</v>
      </c>
      <c r="F96" s="145">
        <v>12426.0355</v>
      </c>
      <c r="G96" s="146">
        <v>19526.62722</v>
      </c>
      <c r="H96" s="146">
        <v>17751.47929</v>
      </c>
      <c r="I96" s="146">
        <v>19526.62722</v>
      </c>
      <c r="J96" s="145">
        <v>23076.92308</v>
      </c>
      <c r="K96" s="145">
        <v>17751.47929</v>
      </c>
      <c r="L96" s="145">
        <v>15976.33136</v>
      </c>
      <c r="M96" s="145">
        <v>30177.51479</v>
      </c>
      <c r="N96" s="145">
        <v>12426.0355</v>
      </c>
      <c r="O96" s="145">
        <v>10650.88757</v>
      </c>
      <c r="P96" s="146">
        <v>10650.88757</v>
      </c>
      <c r="Q96" s="146">
        <v>8875.739645</v>
      </c>
      <c r="R96" s="146">
        <v>8875.739645</v>
      </c>
      <c r="S96" s="146">
        <v>24852.07101</v>
      </c>
    </row>
    <row r="97">
      <c r="A97" s="145">
        <v>5.375</v>
      </c>
      <c r="B97" s="145">
        <f t="shared" si="1"/>
        <v>1736.125</v>
      </c>
      <c r="C97" s="145">
        <v>14201.18343</v>
      </c>
      <c r="D97" s="145">
        <v>14201.18343</v>
      </c>
      <c r="E97" s="146">
        <v>17751.47929</v>
      </c>
      <c r="F97" s="145">
        <v>12426.0355</v>
      </c>
      <c r="G97" s="146">
        <v>19526.62722</v>
      </c>
      <c r="H97" s="146">
        <v>17751.47929</v>
      </c>
      <c r="I97" s="146">
        <v>19526.62722</v>
      </c>
      <c r="J97" s="145">
        <v>23076.92308</v>
      </c>
      <c r="K97" s="145">
        <v>17751.47929</v>
      </c>
      <c r="L97" s="145">
        <v>15976.33136</v>
      </c>
      <c r="M97" s="145">
        <v>30177.51479</v>
      </c>
      <c r="N97" s="145">
        <v>12426.0355</v>
      </c>
      <c r="O97" s="145">
        <v>10650.88757</v>
      </c>
      <c r="P97" s="146">
        <v>10650.88757</v>
      </c>
      <c r="Q97" s="146">
        <v>8875.739645</v>
      </c>
      <c r="R97" s="146">
        <v>8875.739645</v>
      </c>
      <c r="S97" s="146">
        <v>24852.07101</v>
      </c>
    </row>
    <row r="98">
      <c r="A98" s="145">
        <v>5.438</v>
      </c>
      <c r="B98" s="145">
        <f t="shared" si="1"/>
        <v>1756.474</v>
      </c>
      <c r="C98" s="145">
        <v>14201.18343</v>
      </c>
      <c r="D98" s="145">
        <v>14201.18343</v>
      </c>
      <c r="E98" s="146">
        <v>17751.47929</v>
      </c>
      <c r="F98" s="145">
        <v>12426.0355</v>
      </c>
      <c r="G98" s="146">
        <v>19526.62722</v>
      </c>
      <c r="H98" s="146">
        <v>17751.47929</v>
      </c>
      <c r="I98" s="146">
        <v>19526.62722</v>
      </c>
      <c r="J98" s="145">
        <v>23076.92308</v>
      </c>
      <c r="K98" s="145">
        <v>17751.47929</v>
      </c>
      <c r="L98" s="145">
        <v>15976.33136</v>
      </c>
      <c r="M98" s="145">
        <v>30177.51479</v>
      </c>
      <c r="N98" s="145">
        <v>12426.0355</v>
      </c>
      <c r="O98" s="145">
        <v>10650.88757</v>
      </c>
      <c r="P98" s="146">
        <v>10650.88757</v>
      </c>
      <c r="Q98" s="146">
        <v>8875.739645</v>
      </c>
      <c r="R98" s="146">
        <v>10650.88757</v>
      </c>
      <c r="S98" s="146">
        <v>24852.07101</v>
      </c>
    </row>
    <row r="99">
      <c r="A99" s="145">
        <v>5.5</v>
      </c>
      <c r="B99" s="145">
        <f t="shared" si="1"/>
        <v>1776.5</v>
      </c>
      <c r="C99" s="145">
        <v>14201.18343</v>
      </c>
      <c r="D99" s="145">
        <v>14201.18343</v>
      </c>
      <c r="E99" s="146">
        <v>17751.47929</v>
      </c>
      <c r="F99" s="145">
        <v>12426.0355</v>
      </c>
      <c r="G99" s="146">
        <v>19526.62722</v>
      </c>
      <c r="H99" s="146">
        <v>17751.47929</v>
      </c>
      <c r="I99" s="146">
        <v>19526.62722</v>
      </c>
      <c r="J99" s="145">
        <v>23076.92308</v>
      </c>
      <c r="K99" s="145">
        <v>17751.47929</v>
      </c>
      <c r="L99" s="145">
        <v>17751.47929</v>
      </c>
      <c r="M99" s="145">
        <v>30177.51479</v>
      </c>
      <c r="N99" s="145">
        <v>14201.18343</v>
      </c>
      <c r="O99" s="145">
        <v>10650.88757</v>
      </c>
      <c r="P99" s="146">
        <v>10650.88757</v>
      </c>
      <c r="Q99" s="146">
        <v>8875.739645</v>
      </c>
      <c r="R99" s="146">
        <v>10650.88757</v>
      </c>
      <c r="S99" s="146">
        <v>24852.07101</v>
      </c>
    </row>
    <row r="100">
      <c r="A100" s="145">
        <v>5.579</v>
      </c>
      <c r="B100" s="145">
        <f t="shared" si="1"/>
        <v>1802.017</v>
      </c>
      <c r="C100" s="145">
        <v>14201.18343</v>
      </c>
      <c r="D100" s="145">
        <v>14201.18343</v>
      </c>
      <c r="E100" s="146">
        <v>17751.47929</v>
      </c>
      <c r="F100" s="145">
        <v>12426.0355</v>
      </c>
      <c r="G100" s="146">
        <v>19526.62722</v>
      </c>
      <c r="H100" s="146">
        <v>17751.47929</v>
      </c>
      <c r="I100" s="146">
        <v>19526.62722</v>
      </c>
      <c r="J100" s="145">
        <v>23076.92308</v>
      </c>
      <c r="K100" s="145">
        <v>17751.47929</v>
      </c>
      <c r="L100" s="145">
        <v>17751.47929</v>
      </c>
      <c r="M100" s="145">
        <v>30177.51479</v>
      </c>
      <c r="N100" s="145">
        <v>14201.18343</v>
      </c>
      <c r="O100" s="145">
        <v>10650.88757</v>
      </c>
      <c r="P100" s="146">
        <v>10650.88757</v>
      </c>
      <c r="Q100" s="146">
        <v>10650.88757</v>
      </c>
      <c r="R100" s="146">
        <v>10650.88757</v>
      </c>
      <c r="S100" s="146">
        <v>24852.07101</v>
      </c>
    </row>
    <row r="101">
      <c r="A101" s="145">
        <v>5.625</v>
      </c>
      <c r="B101" s="145">
        <f t="shared" si="1"/>
        <v>1816.875</v>
      </c>
      <c r="C101" s="145">
        <v>15976.33136</v>
      </c>
      <c r="D101" s="145">
        <v>14201.18343</v>
      </c>
      <c r="E101" s="146">
        <v>17751.47929</v>
      </c>
      <c r="F101" s="145">
        <v>12426.0355</v>
      </c>
      <c r="G101" s="146">
        <v>19526.62722</v>
      </c>
      <c r="H101" s="146">
        <v>17751.47929</v>
      </c>
      <c r="I101" s="146">
        <v>19526.62722</v>
      </c>
      <c r="J101" s="145">
        <v>23076.92308</v>
      </c>
      <c r="K101" s="145">
        <v>17751.47929</v>
      </c>
      <c r="L101" s="145">
        <v>17751.47929</v>
      </c>
      <c r="M101" s="145">
        <v>30177.51479</v>
      </c>
      <c r="N101" s="145">
        <v>14201.18343</v>
      </c>
      <c r="O101" s="145">
        <v>10650.88757</v>
      </c>
      <c r="P101" s="146">
        <v>10650.88757</v>
      </c>
      <c r="Q101" s="146">
        <v>10650.88757</v>
      </c>
      <c r="R101" s="146">
        <v>10650.88757</v>
      </c>
      <c r="S101" s="146">
        <v>24852.07101</v>
      </c>
    </row>
    <row r="102">
      <c r="A102" s="145">
        <v>5.688</v>
      </c>
      <c r="B102" s="145">
        <f t="shared" si="1"/>
        <v>1837.224</v>
      </c>
      <c r="C102" s="145">
        <v>15976.33136</v>
      </c>
      <c r="D102" s="145">
        <v>14201.18343</v>
      </c>
      <c r="E102" s="146">
        <v>17751.47929</v>
      </c>
      <c r="F102" s="145">
        <v>12426.0355</v>
      </c>
      <c r="G102" s="146">
        <v>19526.62722</v>
      </c>
      <c r="H102" s="146">
        <v>17751.47929</v>
      </c>
      <c r="I102" s="146">
        <v>19526.62722</v>
      </c>
      <c r="J102" s="145">
        <v>23076.92308</v>
      </c>
      <c r="K102" s="145">
        <v>17751.47929</v>
      </c>
      <c r="L102" s="145">
        <v>17751.47929</v>
      </c>
      <c r="M102" s="145">
        <v>30177.51479</v>
      </c>
      <c r="N102" s="145">
        <v>14201.18343</v>
      </c>
      <c r="O102" s="145">
        <v>10650.88757</v>
      </c>
      <c r="P102" s="146">
        <v>10650.88757</v>
      </c>
      <c r="Q102" s="146">
        <v>10650.88757</v>
      </c>
      <c r="R102" s="146">
        <v>10650.88757</v>
      </c>
      <c r="S102" s="146">
        <v>24852.07101</v>
      </c>
    </row>
    <row r="103">
      <c r="A103" s="145">
        <v>5.766</v>
      </c>
      <c r="B103" s="145">
        <f t="shared" si="1"/>
        <v>1862.418</v>
      </c>
      <c r="C103" s="145">
        <v>15976.33136</v>
      </c>
      <c r="D103" s="145">
        <v>14201.18343</v>
      </c>
      <c r="E103" s="146">
        <v>17751.47929</v>
      </c>
      <c r="F103" s="145">
        <v>12426.0355</v>
      </c>
      <c r="G103" s="146">
        <v>21301.77515</v>
      </c>
      <c r="H103" s="146">
        <v>17751.47929</v>
      </c>
      <c r="I103" s="146">
        <v>19526.62722</v>
      </c>
      <c r="J103" s="145">
        <v>23076.92308</v>
      </c>
      <c r="K103" s="145">
        <v>17751.47929</v>
      </c>
      <c r="L103" s="145">
        <v>17751.47929</v>
      </c>
      <c r="M103" s="145">
        <v>33727.81065</v>
      </c>
      <c r="N103" s="145">
        <v>14201.18343</v>
      </c>
      <c r="O103" s="145">
        <v>12426.0355</v>
      </c>
      <c r="P103" s="146">
        <v>10650.88757</v>
      </c>
      <c r="Q103" s="146">
        <v>10650.88757</v>
      </c>
      <c r="R103" s="146">
        <v>10650.88757</v>
      </c>
      <c r="S103" s="146">
        <v>24852.07101</v>
      </c>
    </row>
    <row r="104">
      <c r="A104" s="145">
        <v>5.813</v>
      </c>
      <c r="B104" s="145">
        <f t="shared" si="1"/>
        <v>1877.599</v>
      </c>
      <c r="C104" s="145">
        <v>15976.33136</v>
      </c>
      <c r="D104" s="145">
        <v>15976.33136</v>
      </c>
      <c r="E104" s="146">
        <v>17751.47929</v>
      </c>
      <c r="F104" s="145">
        <v>12426.0355</v>
      </c>
      <c r="G104" s="146">
        <v>21301.77515</v>
      </c>
      <c r="H104" s="146">
        <v>17751.47929</v>
      </c>
      <c r="I104" s="146">
        <v>21301.77515</v>
      </c>
      <c r="J104" s="145">
        <v>23076.92308</v>
      </c>
      <c r="K104" s="145">
        <v>17751.47929</v>
      </c>
      <c r="L104" s="145">
        <v>17751.47929</v>
      </c>
      <c r="M104" s="145">
        <v>33727.81065</v>
      </c>
      <c r="N104" s="145">
        <v>14201.18343</v>
      </c>
      <c r="O104" s="145">
        <v>12426.0355</v>
      </c>
      <c r="P104" s="146">
        <v>10650.88757</v>
      </c>
      <c r="Q104" s="146">
        <v>10650.88757</v>
      </c>
      <c r="R104" s="146">
        <v>10650.88757</v>
      </c>
      <c r="S104" s="146">
        <v>24852.07101</v>
      </c>
    </row>
    <row r="105">
      <c r="A105" s="145">
        <v>5.875</v>
      </c>
      <c r="B105" s="145">
        <f t="shared" si="1"/>
        <v>1897.625</v>
      </c>
      <c r="C105" s="145">
        <v>15976.33136</v>
      </c>
      <c r="D105" s="145">
        <v>15976.33136</v>
      </c>
      <c r="E105" s="146">
        <v>17751.47929</v>
      </c>
      <c r="F105" s="145">
        <v>12426.0355</v>
      </c>
      <c r="G105" s="146">
        <v>21301.77515</v>
      </c>
      <c r="H105" s="146">
        <v>21301.77515</v>
      </c>
      <c r="I105" s="146">
        <v>21301.77515</v>
      </c>
      <c r="J105" s="145">
        <v>23076.92308</v>
      </c>
      <c r="K105" s="145">
        <v>17751.47929</v>
      </c>
      <c r="L105" s="145">
        <v>17751.47929</v>
      </c>
      <c r="M105" s="145">
        <v>33727.81065</v>
      </c>
      <c r="N105" s="145">
        <v>15976.33136</v>
      </c>
      <c r="O105" s="145">
        <v>12426.0355</v>
      </c>
      <c r="P105" s="146">
        <v>10650.88757</v>
      </c>
      <c r="Q105" s="146">
        <v>10650.88757</v>
      </c>
      <c r="R105" s="146">
        <v>10650.88757</v>
      </c>
      <c r="S105" s="146">
        <v>24852.07101</v>
      </c>
    </row>
    <row r="106">
      <c r="A106" s="145">
        <v>5.938</v>
      </c>
      <c r="B106" s="145">
        <f t="shared" si="1"/>
        <v>1917.974</v>
      </c>
      <c r="C106" s="145">
        <v>15976.33136</v>
      </c>
      <c r="D106" s="145">
        <v>15976.33136</v>
      </c>
      <c r="E106" s="146">
        <v>17751.47929</v>
      </c>
      <c r="F106" s="145">
        <v>12426.0355</v>
      </c>
      <c r="G106" s="146">
        <v>21301.77515</v>
      </c>
      <c r="H106" s="146">
        <v>21301.77515</v>
      </c>
      <c r="I106" s="146">
        <v>21301.77515</v>
      </c>
      <c r="J106" s="145">
        <v>24852.07101</v>
      </c>
      <c r="K106" s="145">
        <v>17751.47929</v>
      </c>
      <c r="L106" s="145">
        <v>17751.47929</v>
      </c>
      <c r="M106" s="145">
        <v>33727.81065</v>
      </c>
      <c r="N106" s="145">
        <v>15976.33136</v>
      </c>
      <c r="O106" s="145">
        <v>12426.0355</v>
      </c>
      <c r="P106" s="146">
        <v>10650.88757</v>
      </c>
      <c r="Q106" s="146">
        <v>12426.0355</v>
      </c>
      <c r="R106" s="146">
        <v>10650.88757</v>
      </c>
      <c r="S106" s="146">
        <v>24852.07101</v>
      </c>
    </row>
    <row r="107">
      <c r="A107" s="145">
        <v>6.0</v>
      </c>
      <c r="B107" s="145">
        <f t="shared" si="1"/>
        <v>1938</v>
      </c>
      <c r="C107" s="145">
        <v>17751.47929</v>
      </c>
      <c r="D107" s="145">
        <v>15976.33136</v>
      </c>
      <c r="E107" s="146">
        <v>17751.47929</v>
      </c>
      <c r="F107" s="145">
        <v>14201.18343</v>
      </c>
      <c r="G107" s="146">
        <v>21301.77515</v>
      </c>
      <c r="H107" s="146">
        <v>21301.77515</v>
      </c>
      <c r="I107" s="146">
        <v>21301.77515</v>
      </c>
      <c r="J107" s="145">
        <v>24852.07101</v>
      </c>
      <c r="K107" s="145">
        <v>28402.36686</v>
      </c>
      <c r="L107" s="145">
        <v>17751.47929</v>
      </c>
      <c r="M107" s="145">
        <v>33727.81065</v>
      </c>
      <c r="N107" s="145">
        <v>15976.33136</v>
      </c>
      <c r="O107" s="145">
        <v>12426.0355</v>
      </c>
      <c r="P107" s="146">
        <v>10650.88757</v>
      </c>
      <c r="Q107" s="146">
        <v>12426.0355</v>
      </c>
      <c r="R107" s="146">
        <v>12426.0355</v>
      </c>
      <c r="S107" s="146">
        <v>24852.07101</v>
      </c>
    </row>
    <row r="108">
      <c r="A108" s="145">
        <v>6.063</v>
      </c>
      <c r="B108" s="145">
        <f t="shared" si="1"/>
        <v>1958.349</v>
      </c>
      <c r="C108" s="145">
        <v>17751.47929</v>
      </c>
      <c r="D108" s="145">
        <v>15976.33136</v>
      </c>
      <c r="E108" s="146">
        <v>17751.47929</v>
      </c>
      <c r="F108" s="145">
        <v>14201.18343</v>
      </c>
      <c r="G108" s="146">
        <v>21301.77515</v>
      </c>
      <c r="H108" s="146">
        <v>21301.77515</v>
      </c>
      <c r="I108" s="146">
        <v>24852.07101</v>
      </c>
      <c r="J108" s="145">
        <v>24852.07101</v>
      </c>
      <c r="K108" s="145">
        <v>28402.36686</v>
      </c>
      <c r="L108" s="145">
        <v>17751.47929</v>
      </c>
      <c r="M108" s="145">
        <v>33727.81065</v>
      </c>
      <c r="N108" s="145">
        <v>15976.33136</v>
      </c>
      <c r="O108" s="145">
        <v>12426.0355</v>
      </c>
      <c r="P108" s="146">
        <v>10650.88757</v>
      </c>
      <c r="Q108" s="146">
        <v>12426.0355</v>
      </c>
      <c r="R108" s="146">
        <v>12426.0355</v>
      </c>
      <c r="S108" s="146">
        <v>24852.07101</v>
      </c>
    </row>
    <row r="109">
      <c r="A109" s="145">
        <v>6.125</v>
      </c>
      <c r="B109" s="145">
        <f t="shared" si="1"/>
        <v>1978.375</v>
      </c>
      <c r="C109" s="145">
        <v>17751.47929</v>
      </c>
      <c r="D109" s="145">
        <v>15976.33136</v>
      </c>
      <c r="E109" s="146">
        <v>17751.47929</v>
      </c>
      <c r="F109" s="145">
        <v>14201.18343</v>
      </c>
      <c r="G109" s="146">
        <v>21301.77515</v>
      </c>
      <c r="H109" s="146">
        <v>23076.92308</v>
      </c>
      <c r="I109" s="146">
        <v>24852.07101</v>
      </c>
      <c r="J109" s="145">
        <v>24852.07101</v>
      </c>
      <c r="K109" s="145">
        <v>28402.36686</v>
      </c>
      <c r="L109" s="145">
        <v>17751.47929</v>
      </c>
      <c r="M109" s="145">
        <v>33727.81065</v>
      </c>
      <c r="N109" s="145">
        <v>15976.33136</v>
      </c>
      <c r="O109" s="145">
        <v>12426.0355</v>
      </c>
      <c r="P109" s="146">
        <v>12426.0355</v>
      </c>
      <c r="Q109" s="146">
        <v>12426.0355</v>
      </c>
      <c r="R109" s="146">
        <v>12426.0355</v>
      </c>
      <c r="S109" s="146">
        <v>24852.07101</v>
      </c>
    </row>
    <row r="110">
      <c r="A110" s="145">
        <v>6.188</v>
      </c>
      <c r="B110" s="145">
        <f t="shared" si="1"/>
        <v>1998.724</v>
      </c>
      <c r="C110" s="145">
        <v>17751.47929</v>
      </c>
      <c r="D110" s="145">
        <v>15976.33136</v>
      </c>
      <c r="E110" s="146">
        <v>17751.47929</v>
      </c>
      <c r="F110" s="145">
        <v>14201.18343</v>
      </c>
      <c r="G110" s="146">
        <v>21301.77515</v>
      </c>
      <c r="H110" s="146">
        <v>23076.92308</v>
      </c>
      <c r="I110" s="146">
        <v>24852.07101</v>
      </c>
      <c r="J110" s="145">
        <v>24852.07101</v>
      </c>
      <c r="K110" s="145">
        <v>28402.36686</v>
      </c>
      <c r="L110" s="145">
        <v>17751.47929</v>
      </c>
      <c r="M110" s="145">
        <v>33727.81065</v>
      </c>
      <c r="N110" s="145">
        <v>15976.33136</v>
      </c>
      <c r="O110" s="145">
        <v>12426.0355</v>
      </c>
      <c r="P110" s="146">
        <v>12426.0355</v>
      </c>
      <c r="Q110" s="146">
        <v>12426.0355</v>
      </c>
      <c r="R110" s="146">
        <v>12426.0355</v>
      </c>
      <c r="S110" s="146">
        <v>24852.07101</v>
      </c>
    </row>
    <row r="111">
      <c r="A111" s="145">
        <v>6.25</v>
      </c>
      <c r="B111" s="145">
        <f t="shared" si="1"/>
        <v>2018.75</v>
      </c>
      <c r="C111" s="145">
        <v>17751.47929</v>
      </c>
      <c r="D111" s="145">
        <v>15976.33136</v>
      </c>
      <c r="E111" s="146">
        <v>17751.47929</v>
      </c>
      <c r="F111" s="145">
        <v>14201.18343</v>
      </c>
      <c r="G111" s="146">
        <v>21301.77515</v>
      </c>
      <c r="H111" s="146">
        <v>23076.92308</v>
      </c>
      <c r="I111" s="146">
        <v>24852.07101</v>
      </c>
      <c r="J111" s="145">
        <v>24852.07101</v>
      </c>
      <c r="K111" s="145">
        <v>28402.36686</v>
      </c>
      <c r="L111" s="145">
        <v>19526.62722</v>
      </c>
      <c r="M111" s="145">
        <v>33727.81065</v>
      </c>
      <c r="N111" s="145">
        <v>15976.33136</v>
      </c>
      <c r="O111" s="145">
        <v>12426.0355</v>
      </c>
      <c r="P111" s="146">
        <v>12426.0355</v>
      </c>
      <c r="Q111" s="146">
        <v>12426.0355</v>
      </c>
      <c r="R111" s="146">
        <v>12426.0355</v>
      </c>
      <c r="S111" s="146">
        <v>24852.07101</v>
      </c>
    </row>
    <row r="112">
      <c r="A112" s="145">
        <v>6.313</v>
      </c>
      <c r="B112" s="145">
        <f t="shared" si="1"/>
        <v>2039.099</v>
      </c>
      <c r="C112" s="145">
        <v>17751.47929</v>
      </c>
      <c r="D112" s="145">
        <v>15976.33136</v>
      </c>
      <c r="E112" s="146">
        <v>19526.62722</v>
      </c>
      <c r="F112" s="145">
        <v>14201.18343</v>
      </c>
      <c r="G112" s="146">
        <v>21301.77515</v>
      </c>
      <c r="H112" s="146">
        <v>23076.92308</v>
      </c>
      <c r="I112" s="146">
        <v>24852.07101</v>
      </c>
      <c r="J112" s="145">
        <v>24852.07101</v>
      </c>
      <c r="K112" s="145">
        <v>28402.36686</v>
      </c>
      <c r="L112" s="145">
        <v>19526.62722</v>
      </c>
      <c r="M112" s="145">
        <v>33727.81065</v>
      </c>
      <c r="N112" s="145">
        <v>15976.33136</v>
      </c>
      <c r="O112" s="145">
        <v>12426.0355</v>
      </c>
      <c r="P112" s="146">
        <v>12426.0355</v>
      </c>
      <c r="Q112" s="146">
        <v>12426.0355</v>
      </c>
      <c r="R112" s="146">
        <v>12426.0355</v>
      </c>
      <c r="S112" s="146">
        <v>24852.07101</v>
      </c>
    </row>
    <row r="113">
      <c r="A113" s="145">
        <v>6.391</v>
      </c>
      <c r="B113" s="145">
        <f t="shared" si="1"/>
        <v>2064.293</v>
      </c>
      <c r="C113" s="145">
        <v>17751.47929</v>
      </c>
      <c r="D113" s="145">
        <v>15976.33136</v>
      </c>
      <c r="E113" s="146">
        <v>19526.62722</v>
      </c>
      <c r="F113" s="145">
        <v>14201.18343</v>
      </c>
      <c r="G113" s="146">
        <v>21301.77515</v>
      </c>
      <c r="H113" s="146">
        <v>23076.92308</v>
      </c>
      <c r="I113" s="146">
        <v>24852.07101</v>
      </c>
      <c r="J113" s="145">
        <v>24852.07101</v>
      </c>
      <c r="K113" s="145">
        <v>28402.36686</v>
      </c>
      <c r="L113" s="145">
        <v>19526.62722</v>
      </c>
      <c r="M113" s="145">
        <v>33727.81065</v>
      </c>
      <c r="N113" s="145">
        <v>15976.33136</v>
      </c>
      <c r="O113" s="145">
        <v>14201.18343</v>
      </c>
      <c r="P113" s="146">
        <v>12426.0355</v>
      </c>
      <c r="Q113" s="146">
        <v>12426.0355</v>
      </c>
      <c r="R113" s="146">
        <v>12426.0355</v>
      </c>
      <c r="S113" s="146">
        <v>24852.07101</v>
      </c>
    </row>
    <row r="114">
      <c r="A114" s="145">
        <v>6.438</v>
      </c>
      <c r="B114" s="145">
        <f t="shared" si="1"/>
        <v>2079.474</v>
      </c>
      <c r="C114" s="145">
        <v>17751.47929</v>
      </c>
      <c r="D114" s="145">
        <v>15976.33136</v>
      </c>
      <c r="E114" s="146">
        <v>21301.77515</v>
      </c>
      <c r="F114" s="145">
        <v>14201.18343</v>
      </c>
      <c r="G114" s="146">
        <v>21301.77515</v>
      </c>
      <c r="H114" s="146">
        <v>23076.92308</v>
      </c>
      <c r="I114" s="146">
        <v>24852.07101</v>
      </c>
      <c r="J114" s="145">
        <v>24852.07101</v>
      </c>
      <c r="K114" s="145">
        <v>28402.36686</v>
      </c>
      <c r="L114" s="145">
        <v>19526.62722</v>
      </c>
      <c r="M114" s="145">
        <v>33727.81065</v>
      </c>
      <c r="N114" s="145">
        <v>15976.33136</v>
      </c>
      <c r="O114" s="145">
        <v>14201.18343</v>
      </c>
      <c r="P114" s="146">
        <v>12426.0355</v>
      </c>
      <c r="Q114" s="146">
        <v>12426.0355</v>
      </c>
      <c r="R114" s="146">
        <v>12426.0355</v>
      </c>
      <c r="S114" s="146">
        <v>24852.07101</v>
      </c>
    </row>
    <row r="115">
      <c r="A115" s="145">
        <v>6.5</v>
      </c>
      <c r="B115" s="145">
        <f t="shared" si="1"/>
        <v>2099.5</v>
      </c>
      <c r="C115" s="145">
        <v>17751.47929</v>
      </c>
      <c r="D115" s="145">
        <v>17751.47929</v>
      </c>
      <c r="E115" s="146">
        <v>21301.77515</v>
      </c>
      <c r="F115" s="145">
        <v>14201.18343</v>
      </c>
      <c r="G115" s="146">
        <v>21301.77515</v>
      </c>
      <c r="H115" s="146">
        <v>23076.92308</v>
      </c>
      <c r="I115" s="146">
        <v>24852.07101</v>
      </c>
      <c r="J115" s="145">
        <v>24852.07101</v>
      </c>
      <c r="K115" s="145">
        <v>28402.36686</v>
      </c>
      <c r="L115" s="145">
        <v>19526.62722</v>
      </c>
      <c r="M115" s="145">
        <v>33727.81065</v>
      </c>
      <c r="N115" s="145">
        <v>15976.33136</v>
      </c>
      <c r="O115" s="145">
        <v>14201.18343</v>
      </c>
      <c r="P115" s="146">
        <v>12426.0355</v>
      </c>
      <c r="Q115" s="146">
        <v>12426.0355</v>
      </c>
      <c r="R115" s="146">
        <v>12426.0355</v>
      </c>
      <c r="S115" s="146">
        <v>26627.21894</v>
      </c>
    </row>
    <row r="116">
      <c r="A116" s="145">
        <v>6.579</v>
      </c>
      <c r="B116" s="145">
        <f t="shared" si="1"/>
        <v>2125.017</v>
      </c>
      <c r="C116" s="145">
        <v>17751.47929</v>
      </c>
      <c r="D116" s="145">
        <v>17751.47929</v>
      </c>
      <c r="E116" s="146">
        <v>21301.77515</v>
      </c>
      <c r="F116" s="145">
        <v>14201.18343</v>
      </c>
      <c r="G116" s="146">
        <v>21301.77515</v>
      </c>
      <c r="H116" s="146">
        <v>23076.92308</v>
      </c>
      <c r="I116" s="146">
        <v>24852.07101</v>
      </c>
      <c r="J116" s="145">
        <v>24852.07101</v>
      </c>
      <c r="K116" s="145">
        <v>28402.36686</v>
      </c>
      <c r="L116" s="145">
        <v>19526.62722</v>
      </c>
      <c r="M116" s="145">
        <v>33727.81065</v>
      </c>
      <c r="N116" s="145">
        <v>15976.33136</v>
      </c>
      <c r="O116" s="145">
        <v>14201.18343</v>
      </c>
      <c r="P116" s="146">
        <v>12426.0355</v>
      </c>
      <c r="Q116" s="146">
        <v>12426.0355</v>
      </c>
      <c r="R116" s="146">
        <v>12426.0355</v>
      </c>
      <c r="S116" s="146">
        <v>26627.21894</v>
      </c>
    </row>
    <row r="117">
      <c r="A117" s="145">
        <v>6.625</v>
      </c>
      <c r="B117" s="145">
        <f t="shared" si="1"/>
        <v>2139.875</v>
      </c>
      <c r="C117" s="145">
        <v>17751.47929</v>
      </c>
      <c r="D117" s="145">
        <v>17751.47929</v>
      </c>
      <c r="E117" s="146">
        <v>23076.92308</v>
      </c>
      <c r="F117" s="145">
        <v>14201.18343</v>
      </c>
      <c r="G117" s="146">
        <v>21301.77515</v>
      </c>
      <c r="H117" s="146">
        <v>23076.92308</v>
      </c>
      <c r="I117" s="146">
        <v>24852.07101</v>
      </c>
      <c r="J117" s="145">
        <v>24852.07101</v>
      </c>
      <c r="K117" s="145">
        <v>28402.36686</v>
      </c>
      <c r="L117" s="145">
        <v>19526.62722</v>
      </c>
      <c r="M117" s="145">
        <v>33727.81065</v>
      </c>
      <c r="N117" s="145">
        <v>15976.33136</v>
      </c>
      <c r="O117" s="145">
        <v>14201.18343</v>
      </c>
      <c r="P117" s="146">
        <v>12426.0355</v>
      </c>
      <c r="Q117" s="146">
        <v>12426.0355</v>
      </c>
      <c r="R117" s="146">
        <v>12426.0355</v>
      </c>
      <c r="S117" s="146">
        <v>26627.21894</v>
      </c>
    </row>
    <row r="118">
      <c r="A118" s="145">
        <v>6.688</v>
      </c>
      <c r="B118" s="145">
        <f t="shared" si="1"/>
        <v>2160.224</v>
      </c>
      <c r="C118" s="145">
        <v>17751.47929</v>
      </c>
      <c r="D118" s="145">
        <v>17751.47929</v>
      </c>
      <c r="E118" s="146">
        <v>23076.92308</v>
      </c>
      <c r="F118" s="145">
        <v>14201.18343</v>
      </c>
      <c r="G118" s="146">
        <v>21301.77515</v>
      </c>
      <c r="H118" s="146">
        <v>23076.92308</v>
      </c>
      <c r="I118" s="146">
        <v>24852.07101</v>
      </c>
      <c r="J118" s="145">
        <v>24852.07101</v>
      </c>
      <c r="K118" s="145">
        <v>28402.36686</v>
      </c>
      <c r="L118" s="145">
        <v>23076.92308</v>
      </c>
      <c r="M118" s="145">
        <v>33727.81065</v>
      </c>
      <c r="N118" s="145">
        <v>15976.33136</v>
      </c>
      <c r="O118" s="145">
        <v>14201.18343</v>
      </c>
      <c r="P118" s="146">
        <v>12426.0355</v>
      </c>
      <c r="Q118" s="146">
        <v>12426.0355</v>
      </c>
      <c r="R118" s="146">
        <v>12426.0355</v>
      </c>
      <c r="S118" s="146">
        <v>26627.21894</v>
      </c>
    </row>
    <row r="119">
      <c r="A119" s="145">
        <v>6.75</v>
      </c>
      <c r="B119" s="145">
        <f t="shared" si="1"/>
        <v>2180.25</v>
      </c>
      <c r="C119" s="145">
        <v>17751.47929</v>
      </c>
      <c r="D119" s="145">
        <v>17751.47929</v>
      </c>
      <c r="E119" s="146">
        <v>23076.92308</v>
      </c>
      <c r="F119" s="145">
        <v>14201.18343</v>
      </c>
      <c r="G119" s="146">
        <v>24852.07101</v>
      </c>
      <c r="H119" s="146">
        <v>23076.92308</v>
      </c>
      <c r="I119" s="146">
        <v>24852.07101</v>
      </c>
      <c r="J119" s="145">
        <v>24852.07101</v>
      </c>
      <c r="K119" s="145">
        <v>30177.51479</v>
      </c>
      <c r="L119" s="145">
        <v>23076.92308</v>
      </c>
      <c r="M119" s="145">
        <v>33727.81065</v>
      </c>
      <c r="N119" s="145">
        <v>15976.33136</v>
      </c>
      <c r="O119" s="145">
        <v>14201.18343</v>
      </c>
      <c r="P119" s="146">
        <v>12426.0355</v>
      </c>
      <c r="Q119" s="146">
        <v>12426.0355</v>
      </c>
      <c r="R119" s="146">
        <v>12426.0355</v>
      </c>
      <c r="S119" s="146">
        <v>26627.21894</v>
      </c>
    </row>
    <row r="120">
      <c r="A120" s="145">
        <v>6.813</v>
      </c>
      <c r="B120" s="145">
        <f t="shared" si="1"/>
        <v>2200.599</v>
      </c>
      <c r="C120" s="145">
        <v>17751.47929</v>
      </c>
      <c r="D120" s="145">
        <v>17751.47929</v>
      </c>
      <c r="E120" s="146">
        <v>23076.92308</v>
      </c>
      <c r="F120" s="145">
        <v>17751.47929</v>
      </c>
      <c r="G120" s="146">
        <v>24852.07101</v>
      </c>
      <c r="H120" s="146">
        <v>23076.92308</v>
      </c>
      <c r="I120" s="146">
        <v>24852.07101</v>
      </c>
      <c r="J120" s="145">
        <v>24852.07101</v>
      </c>
      <c r="K120" s="145">
        <v>30177.51479</v>
      </c>
      <c r="L120" s="145">
        <v>23076.92308</v>
      </c>
      <c r="M120" s="145">
        <v>33727.81065</v>
      </c>
      <c r="N120" s="145">
        <v>17751.47929</v>
      </c>
      <c r="O120" s="145">
        <v>14201.18343</v>
      </c>
      <c r="P120" s="146">
        <v>12426.0355</v>
      </c>
      <c r="Q120" s="146">
        <v>12426.0355</v>
      </c>
      <c r="R120" s="146">
        <v>12426.0355</v>
      </c>
      <c r="S120" s="146">
        <v>26627.21894</v>
      </c>
    </row>
    <row r="121">
      <c r="A121" s="145">
        <v>6.875</v>
      </c>
      <c r="B121" s="145">
        <f t="shared" si="1"/>
        <v>2220.625</v>
      </c>
      <c r="C121" s="145">
        <v>17751.47929</v>
      </c>
      <c r="D121" s="145">
        <v>17751.47929</v>
      </c>
      <c r="E121" s="146">
        <v>23076.92308</v>
      </c>
      <c r="F121" s="145">
        <v>17751.47929</v>
      </c>
      <c r="G121" s="146">
        <v>24852.07101</v>
      </c>
      <c r="H121" s="146">
        <v>24852.07101</v>
      </c>
      <c r="I121" s="146">
        <v>24852.07101</v>
      </c>
      <c r="J121" s="145">
        <v>24852.07101</v>
      </c>
      <c r="K121" s="145">
        <v>33727.81065</v>
      </c>
      <c r="L121" s="145">
        <v>23076.92308</v>
      </c>
      <c r="M121" s="145">
        <v>33727.81065</v>
      </c>
      <c r="N121" s="145">
        <v>17751.47929</v>
      </c>
      <c r="O121" s="145">
        <v>14201.18343</v>
      </c>
      <c r="P121" s="146">
        <v>12426.0355</v>
      </c>
      <c r="Q121" s="146">
        <v>12426.0355</v>
      </c>
      <c r="R121" s="146">
        <v>12426.0355</v>
      </c>
      <c r="S121" s="146">
        <v>26627.21894</v>
      </c>
    </row>
    <row r="122">
      <c r="A122" s="145">
        <v>6.938</v>
      </c>
      <c r="B122" s="145">
        <f t="shared" si="1"/>
        <v>2240.974</v>
      </c>
      <c r="C122" s="145">
        <v>17751.47929</v>
      </c>
      <c r="D122" s="145">
        <v>17751.47929</v>
      </c>
      <c r="E122" s="146">
        <v>23076.92308</v>
      </c>
      <c r="F122" s="145">
        <v>17751.47929</v>
      </c>
      <c r="G122" s="146">
        <v>24852.07101</v>
      </c>
      <c r="H122" s="146">
        <v>24852.07101</v>
      </c>
      <c r="I122" s="146">
        <v>24852.07101</v>
      </c>
      <c r="J122" s="145">
        <v>24852.07101</v>
      </c>
      <c r="K122" s="145">
        <v>33727.81065</v>
      </c>
      <c r="L122" s="145">
        <v>24852.07101</v>
      </c>
      <c r="M122" s="145">
        <v>33727.81065</v>
      </c>
      <c r="N122" s="145">
        <v>17751.47929</v>
      </c>
      <c r="O122" s="145">
        <v>14201.18343</v>
      </c>
      <c r="P122" s="146">
        <v>12426.0355</v>
      </c>
      <c r="Q122" s="146">
        <v>12426.0355</v>
      </c>
      <c r="R122" s="146">
        <v>12426.0355</v>
      </c>
      <c r="S122" s="146">
        <v>26627.21894</v>
      </c>
    </row>
    <row r="123">
      <c r="A123" s="145">
        <v>7.0</v>
      </c>
      <c r="B123" s="145">
        <f t="shared" si="1"/>
        <v>2261</v>
      </c>
      <c r="C123" s="145">
        <v>17751.47929</v>
      </c>
      <c r="D123" s="145">
        <v>17751.47929</v>
      </c>
      <c r="E123" s="146">
        <v>23076.92308</v>
      </c>
      <c r="F123" s="145">
        <v>17751.47929</v>
      </c>
      <c r="G123" s="146">
        <v>24852.07101</v>
      </c>
      <c r="H123" s="146">
        <v>24852.07101</v>
      </c>
      <c r="I123" s="146">
        <v>24852.07101</v>
      </c>
      <c r="J123" s="145">
        <v>24852.07101</v>
      </c>
      <c r="K123" s="145">
        <v>33727.81065</v>
      </c>
      <c r="L123" s="145">
        <v>24852.07101</v>
      </c>
      <c r="M123" s="145">
        <v>35502.95858</v>
      </c>
      <c r="N123" s="145">
        <v>17751.47929</v>
      </c>
      <c r="O123" s="145">
        <v>15976.33136</v>
      </c>
      <c r="P123" s="146">
        <v>12426.0355</v>
      </c>
      <c r="Q123" s="146">
        <v>12426.0355</v>
      </c>
      <c r="R123" s="146">
        <v>12426.0355</v>
      </c>
      <c r="S123" s="146">
        <v>26627.21894</v>
      </c>
    </row>
    <row r="124">
      <c r="A124" s="145">
        <v>7.063</v>
      </c>
      <c r="B124" s="145">
        <f t="shared" si="1"/>
        <v>2281.349</v>
      </c>
      <c r="C124" s="145">
        <v>17751.47929</v>
      </c>
      <c r="D124" s="145">
        <v>17751.47929</v>
      </c>
      <c r="E124" s="146">
        <v>23076.92308</v>
      </c>
      <c r="F124" s="145">
        <v>17751.47929</v>
      </c>
      <c r="G124" s="146">
        <v>24852.07101</v>
      </c>
      <c r="H124" s="146">
        <v>24852.07101</v>
      </c>
      <c r="I124" s="146">
        <v>24852.07101</v>
      </c>
      <c r="J124" s="145">
        <v>26627.21894</v>
      </c>
      <c r="K124" s="145">
        <v>33727.81065</v>
      </c>
      <c r="L124" s="145">
        <v>24852.07101</v>
      </c>
      <c r="M124" s="145">
        <v>35502.95858</v>
      </c>
      <c r="N124" s="145">
        <v>17751.47929</v>
      </c>
      <c r="O124" s="145">
        <v>15976.33136</v>
      </c>
      <c r="P124" s="146">
        <v>12426.0355</v>
      </c>
      <c r="Q124" s="146">
        <v>12426.0355</v>
      </c>
      <c r="R124" s="146">
        <v>12426.0355</v>
      </c>
      <c r="S124" s="146">
        <v>26627.21894</v>
      </c>
    </row>
    <row r="125">
      <c r="A125" s="145">
        <v>7.125</v>
      </c>
      <c r="B125" s="145">
        <f t="shared" si="1"/>
        <v>2301.375</v>
      </c>
      <c r="C125" s="145">
        <v>17751.47929</v>
      </c>
      <c r="D125" s="145">
        <v>17751.47929</v>
      </c>
      <c r="E125" s="146">
        <v>23076.92308</v>
      </c>
      <c r="F125" s="145">
        <v>17751.47929</v>
      </c>
      <c r="G125" s="146">
        <v>24852.07101</v>
      </c>
      <c r="H125" s="146">
        <v>24852.07101</v>
      </c>
      <c r="I125" s="146">
        <v>24852.07101</v>
      </c>
      <c r="J125" s="145">
        <v>26627.21894</v>
      </c>
      <c r="K125" s="145">
        <v>33727.81065</v>
      </c>
      <c r="L125" s="145">
        <v>24852.07101</v>
      </c>
      <c r="M125" s="145">
        <v>35502.95858</v>
      </c>
      <c r="N125" s="145">
        <v>17751.47929</v>
      </c>
      <c r="O125" s="145">
        <v>15976.33136</v>
      </c>
      <c r="P125" s="146">
        <v>12426.0355</v>
      </c>
      <c r="Q125" s="146">
        <v>12426.0355</v>
      </c>
      <c r="R125" s="146">
        <v>12426.0355</v>
      </c>
      <c r="S125" s="146">
        <v>26627.21894</v>
      </c>
    </row>
    <row r="126">
      <c r="A126" s="145">
        <v>7.204</v>
      </c>
      <c r="B126" s="145">
        <f t="shared" si="1"/>
        <v>2326.892</v>
      </c>
      <c r="C126" s="145">
        <v>17751.47929</v>
      </c>
      <c r="D126" s="145">
        <v>17751.47929</v>
      </c>
      <c r="E126" s="146">
        <v>23076.92308</v>
      </c>
      <c r="F126" s="145">
        <v>17751.47929</v>
      </c>
      <c r="G126" s="146">
        <v>24852.07101</v>
      </c>
      <c r="H126" s="146">
        <v>24852.07101</v>
      </c>
      <c r="I126" s="146">
        <v>24852.07101</v>
      </c>
      <c r="J126" s="145">
        <v>26627.21894</v>
      </c>
      <c r="K126" s="145">
        <v>33727.81065</v>
      </c>
      <c r="L126" s="145">
        <v>24852.07101</v>
      </c>
      <c r="M126" s="145">
        <v>35502.95858</v>
      </c>
      <c r="N126" s="145">
        <v>17751.47929</v>
      </c>
      <c r="O126" s="145">
        <v>15976.33136</v>
      </c>
      <c r="P126" s="146">
        <v>12426.0355</v>
      </c>
      <c r="Q126" s="146">
        <v>12426.0355</v>
      </c>
      <c r="R126" s="146">
        <v>14201.18343</v>
      </c>
      <c r="S126" s="146">
        <v>26627.21894</v>
      </c>
    </row>
    <row r="127">
      <c r="A127" s="145">
        <v>7.25</v>
      </c>
      <c r="B127" s="145">
        <f t="shared" si="1"/>
        <v>2341.75</v>
      </c>
      <c r="C127" s="145">
        <v>17751.47929</v>
      </c>
      <c r="D127" s="145">
        <v>17751.47929</v>
      </c>
      <c r="E127" s="146">
        <v>23076.92308</v>
      </c>
      <c r="F127" s="145">
        <v>17751.47929</v>
      </c>
      <c r="G127" s="146">
        <v>24852.07101</v>
      </c>
      <c r="H127" s="146">
        <v>24852.07101</v>
      </c>
      <c r="I127" s="146">
        <v>24852.07101</v>
      </c>
      <c r="J127" s="145">
        <v>30177.51479</v>
      </c>
      <c r="K127" s="145">
        <v>33727.81065</v>
      </c>
      <c r="L127" s="145">
        <v>24852.07101</v>
      </c>
      <c r="M127" s="145">
        <v>35502.95858</v>
      </c>
      <c r="N127" s="145">
        <v>17751.47929</v>
      </c>
      <c r="O127" s="145">
        <v>15976.33136</v>
      </c>
      <c r="P127" s="146">
        <v>12426.0355</v>
      </c>
      <c r="Q127" s="146">
        <v>12426.0355</v>
      </c>
      <c r="R127" s="146">
        <v>14201.18343</v>
      </c>
      <c r="S127" s="146">
        <v>26627.21894</v>
      </c>
    </row>
    <row r="128">
      <c r="A128" s="145">
        <v>7.313</v>
      </c>
      <c r="B128" s="145">
        <f t="shared" si="1"/>
        <v>2362.099</v>
      </c>
      <c r="C128" s="145">
        <v>17751.47929</v>
      </c>
      <c r="D128" s="145">
        <v>17751.47929</v>
      </c>
      <c r="E128" s="146">
        <v>23076.92308</v>
      </c>
      <c r="F128" s="145">
        <v>17751.47929</v>
      </c>
      <c r="G128" s="146">
        <v>24852.07101</v>
      </c>
      <c r="H128" s="146">
        <v>24852.07101</v>
      </c>
      <c r="I128" s="146">
        <v>24852.07101</v>
      </c>
      <c r="J128" s="145">
        <v>30177.51479</v>
      </c>
      <c r="K128" s="145">
        <v>33727.81065</v>
      </c>
      <c r="L128" s="145">
        <v>24852.07101</v>
      </c>
      <c r="M128" s="145">
        <v>35502.95858</v>
      </c>
      <c r="N128" s="145">
        <v>17751.47929</v>
      </c>
      <c r="O128" s="145">
        <v>15976.33136</v>
      </c>
      <c r="P128" s="146">
        <v>12426.0355</v>
      </c>
      <c r="Q128" s="146">
        <v>12426.0355</v>
      </c>
      <c r="R128" s="146">
        <v>14201.18343</v>
      </c>
      <c r="S128" s="146">
        <v>26627.21894</v>
      </c>
    </row>
    <row r="129">
      <c r="A129" s="145">
        <v>7.391</v>
      </c>
      <c r="B129" s="145">
        <f t="shared" si="1"/>
        <v>2387.293</v>
      </c>
      <c r="C129" s="145">
        <v>17751.47929</v>
      </c>
      <c r="D129" s="145">
        <v>17751.47929</v>
      </c>
      <c r="E129" s="146">
        <v>24852.07101</v>
      </c>
      <c r="F129" s="145">
        <v>17751.47929</v>
      </c>
      <c r="G129" s="146">
        <v>24852.07101</v>
      </c>
      <c r="H129" s="146">
        <v>24852.07101</v>
      </c>
      <c r="I129" s="146">
        <v>24852.07101</v>
      </c>
      <c r="J129" s="145">
        <v>30177.51479</v>
      </c>
      <c r="K129" s="145">
        <v>33727.81065</v>
      </c>
      <c r="L129" s="145">
        <v>24852.07101</v>
      </c>
      <c r="M129" s="145">
        <v>35502.95858</v>
      </c>
      <c r="N129" s="145">
        <v>17751.47929</v>
      </c>
      <c r="O129" s="145">
        <v>15976.33136</v>
      </c>
      <c r="P129" s="146">
        <v>12426.0355</v>
      </c>
      <c r="Q129" s="146">
        <v>12426.0355</v>
      </c>
      <c r="R129" s="146">
        <v>14201.18343</v>
      </c>
      <c r="S129" s="146">
        <v>26627.21894</v>
      </c>
    </row>
    <row r="130">
      <c r="A130" s="145">
        <v>7.438</v>
      </c>
      <c r="B130" s="145">
        <f t="shared" si="1"/>
        <v>2402.474</v>
      </c>
      <c r="C130" s="145">
        <v>19526.62722</v>
      </c>
      <c r="D130" s="145">
        <v>19526.62722</v>
      </c>
      <c r="E130" s="146">
        <v>24852.07101</v>
      </c>
      <c r="F130" s="145">
        <v>17751.47929</v>
      </c>
      <c r="G130" s="146">
        <v>24852.07101</v>
      </c>
      <c r="H130" s="146">
        <v>24852.07101</v>
      </c>
      <c r="I130" s="146">
        <v>24852.07101</v>
      </c>
      <c r="J130" s="145">
        <v>30177.51479</v>
      </c>
      <c r="K130" s="145">
        <v>33727.81065</v>
      </c>
      <c r="L130" s="145">
        <v>26627.21894</v>
      </c>
      <c r="M130" s="145">
        <v>35502.95858</v>
      </c>
      <c r="N130" s="145">
        <v>17751.47929</v>
      </c>
      <c r="O130" s="145">
        <v>15976.33136</v>
      </c>
      <c r="P130" s="146">
        <v>12426.0355</v>
      </c>
      <c r="Q130" s="146">
        <v>12426.0355</v>
      </c>
      <c r="R130" s="146">
        <v>14201.18343</v>
      </c>
      <c r="S130" s="146">
        <v>26627.21894</v>
      </c>
    </row>
    <row r="131">
      <c r="A131" s="145">
        <v>7.5</v>
      </c>
      <c r="B131" s="145">
        <f t="shared" si="1"/>
        <v>2422.5</v>
      </c>
      <c r="C131" s="145">
        <v>19526.62722</v>
      </c>
      <c r="D131" s="145">
        <v>19526.62722</v>
      </c>
      <c r="E131" s="146">
        <v>24852.07101</v>
      </c>
      <c r="F131" s="145">
        <v>17751.47929</v>
      </c>
      <c r="G131" s="146">
        <v>24852.07101</v>
      </c>
      <c r="H131" s="146">
        <v>24852.07101</v>
      </c>
      <c r="I131" s="146">
        <v>24852.07101</v>
      </c>
      <c r="J131" s="145">
        <v>30177.51479</v>
      </c>
      <c r="K131" s="145">
        <v>33727.81065</v>
      </c>
      <c r="L131" s="145">
        <v>26627.21894</v>
      </c>
      <c r="M131" s="145">
        <v>35502.95858</v>
      </c>
      <c r="N131" s="145">
        <v>17751.47929</v>
      </c>
      <c r="O131" s="145">
        <v>15976.33136</v>
      </c>
      <c r="P131" s="146">
        <v>14201.18343</v>
      </c>
      <c r="Q131" s="146">
        <v>12426.0355</v>
      </c>
      <c r="R131" s="146">
        <v>14201.18343</v>
      </c>
      <c r="S131" s="146">
        <v>26627.21894</v>
      </c>
    </row>
    <row r="132">
      <c r="A132" s="145">
        <v>7.563</v>
      </c>
      <c r="B132" s="145">
        <f t="shared" si="1"/>
        <v>2442.849</v>
      </c>
      <c r="C132" s="145">
        <v>19526.62722</v>
      </c>
      <c r="D132" s="145">
        <v>19526.62722</v>
      </c>
      <c r="E132" s="146">
        <v>24852.07101</v>
      </c>
      <c r="F132" s="145">
        <v>17751.47929</v>
      </c>
      <c r="G132" s="146">
        <v>24852.07101</v>
      </c>
      <c r="H132" s="146">
        <v>24852.07101</v>
      </c>
      <c r="I132" s="146">
        <v>24852.07101</v>
      </c>
      <c r="J132" s="145">
        <v>30177.51479</v>
      </c>
      <c r="K132" s="145">
        <v>33727.81065</v>
      </c>
      <c r="L132" s="145">
        <v>26627.21894</v>
      </c>
      <c r="M132" s="145">
        <v>35502.95858</v>
      </c>
      <c r="N132" s="145">
        <v>17751.47929</v>
      </c>
      <c r="O132" s="145">
        <v>17751.47929</v>
      </c>
      <c r="P132" s="146">
        <v>14201.18343</v>
      </c>
      <c r="Q132" s="146">
        <v>12426.0355</v>
      </c>
      <c r="R132" s="146">
        <v>14201.18343</v>
      </c>
      <c r="S132" s="146">
        <v>26627.21894</v>
      </c>
    </row>
    <row r="133">
      <c r="A133" s="145">
        <v>7.625</v>
      </c>
      <c r="B133" s="145">
        <f t="shared" si="1"/>
        <v>2462.875</v>
      </c>
      <c r="C133" s="145">
        <v>19526.62722</v>
      </c>
      <c r="D133" s="145">
        <v>19526.62722</v>
      </c>
      <c r="E133" s="146">
        <v>24852.07101</v>
      </c>
      <c r="F133" s="145">
        <v>17751.47929</v>
      </c>
      <c r="G133" s="146">
        <v>24852.07101</v>
      </c>
      <c r="H133" s="146">
        <v>24852.07101</v>
      </c>
      <c r="I133" s="146">
        <v>24852.07101</v>
      </c>
      <c r="J133" s="145">
        <v>30177.51479</v>
      </c>
      <c r="K133" s="145">
        <v>33727.81065</v>
      </c>
      <c r="L133" s="145">
        <v>26627.21894</v>
      </c>
      <c r="M133" s="145">
        <v>35502.95858</v>
      </c>
      <c r="N133" s="145">
        <v>17751.47929</v>
      </c>
      <c r="O133" s="145">
        <v>17751.47929</v>
      </c>
      <c r="P133" s="146">
        <v>14201.18343</v>
      </c>
      <c r="Q133" s="146">
        <v>12426.0355</v>
      </c>
      <c r="R133" s="146">
        <v>14201.18343</v>
      </c>
      <c r="S133" s="146">
        <v>26627.21894</v>
      </c>
    </row>
    <row r="134">
      <c r="A134" s="145">
        <v>7.688</v>
      </c>
      <c r="B134" s="145">
        <f t="shared" si="1"/>
        <v>2483.224</v>
      </c>
      <c r="C134" s="145">
        <v>19526.62722</v>
      </c>
      <c r="D134" s="145">
        <v>19526.62722</v>
      </c>
      <c r="E134" s="146">
        <v>24852.07101</v>
      </c>
      <c r="F134" s="145">
        <v>17751.47929</v>
      </c>
      <c r="G134" s="146">
        <v>24852.07101</v>
      </c>
      <c r="H134" s="146">
        <v>24852.07101</v>
      </c>
      <c r="I134" s="146">
        <v>24852.07101</v>
      </c>
      <c r="J134" s="145">
        <v>30177.51479</v>
      </c>
      <c r="K134" s="145">
        <v>33727.81065</v>
      </c>
      <c r="L134" s="145">
        <v>30177.51479</v>
      </c>
      <c r="M134" s="145">
        <v>35502.95858</v>
      </c>
      <c r="N134" s="145">
        <v>17751.47929</v>
      </c>
      <c r="O134" s="145">
        <v>17751.47929</v>
      </c>
      <c r="P134" s="146">
        <v>14201.18343</v>
      </c>
      <c r="Q134" s="146">
        <v>14201.18343</v>
      </c>
      <c r="R134" s="146">
        <v>15976.33136</v>
      </c>
      <c r="S134" s="146">
        <v>26627.21894</v>
      </c>
    </row>
    <row r="135">
      <c r="A135" s="145">
        <v>7.75</v>
      </c>
      <c r="B135" s="145">
        <f t="shared" si="1"/>
        <v>2503.25</v>
      </c>
      <c r="C135" s="145">
        <v>19526.62722</v>
      </c>
      <c r="D135" s="145">
        <v>19526.62722</v>
      </c>
      <c r="E135" s="146">
        <v>24852.07101</v>
      </c>
      <c r="F135" s="145">
        <v>17751.47929</v>
      </c>
      <c r="G135" s="146">
        <v>24852.07101</v>
      </c>
      <c r="H135" s="146">
        <v>24852.07101</v>
      </c>
      <c r="I135" s="146">
        <v>28402.36686</v>
      </c>
      <c r="J135" s="145">
        <v>30177.51479</v>
      </c>
      <c r="K135" s="145">
        <v>33727.81065</v>
      </c>
      <c r="L135" s="145">
        <v>30177.51479</v>
      </c>
      <c r="M135" s="145">
        <v>35502.95858</v>
      </c>
      <c r="N135" s="145">
        <v>17751.47929</v>
      </c>
      <c r="O135" s="145">
        <v>17751.47929</v>
      </c>
      <c r="P135" s="146">
        <v>14201.18343</v>
      </c>
      <c r="Q135" s="146">
        <v>14201.18343</v>
      </c>
      <c r="R135" s="146">
        <v>15976.33136</v>
      </c>
      <c r="S135" s="146">
        <v>26627.21894</v>
      </c>
    </row>
    <row r="136">
      <c r="A136" s="145">
        <v>7.813</v>
      </c>
      <c r="B136" s="145">
        <f t="shared" si="1"/>
        <v>2523.599</v>
      </c>
      <c r="C136" s="145">
        <v>19526.62722</v>
      </c>
      <c r="D136" s="145">
        <v>21301.77515</v>
      </c>
      <c r="E136" s="146">
        <v>24852.07101</v>
      </c>
      <c r="F136" s="145">
        <v>17751.47929</v>
      </c>
      <c r="G136" s="146">
        <v>24852.07101</v>
      </c>
      <c r="H136" s="146">
        <v>24852.07101</v>
      </c>
      <c r="I136" s="146">
        <v>28402.36686</v>
      </c>
      <c r="J136" s="145">
        <v>30177.51479</v>
      </c>
      <c r="K136" s="145">
        <v>33727.81065</v>
      </c>
      <c r="L136" s="145">
        <v>30177.51479</v>
      </c>
      <c r="M136" s="145">
        <v>35502.95858</v>
      </c>
      <c r="N136" s="145">
        <v>17751.47929</v>
      </c>
      <c r="O136" s="145">
        <v>17751.47929</v>
      </c>
      <c r="P136" s="146">
        <v>14201.18343</v>
      </c>
      <c r="Q136" s="146">
        <v>14201.18343</v>
      </c>
      <c r="R136" s="146">
        <v>15976.33136</v>
      </c>
      <c r="S136" s="146">
        <v>26627.21894</v>
      </c>
    </row>
    <row r="137">
      <c r="A137" s="145">
        <v>7.891</v>
      </c>
      <c r="B137" s="145">
        <f t="shared" si="1"/>
        <v>2548.793</v>
      </c>
      <c r="C137" s="145">
        <v>19526.62722</v>
      </c>
      <c r="D137" s="145">
        <v>21301.77515</v>
      </c>
      <c r="E137" s="146">
        <v>24852.07101</v>
      </c>
      <c r="F137" s="145">
        <v>17751.47929</v>
      </c>
      <c r="G137" s="146">
        <v>24852.07101</v>
      </c>
      <c r="H137" s="146">
        <v>28402.36686</v>
      </c>
      <c r="I137" s="146">
        <v>28402.36686</v>
      </c>
      <c r="J137" s="145">
        <v>30177.51479</v>
      </c>
      <c r="K137" s="145">
        <v>33727.81065</v>
      </c>
      <c r="L137" s="145">
        <v>30177.51479</v>
      </c>
      <c r="M137" s="145">
        <v>35502.95858</v>
      </c>
      <c r="N137" s="145">
        <v>17751.47929</v>
      </c>
      <c r="O137" s="145">
        <v>17751.47929</v>
      </c>
      <c r="P137" s="146">
        <v>14201.18343</v>
      </c>
      <c r="Q137" s="146">
        <v>14201.18343</v>
      </c>
      <c r="R137" s="146">
        <v>15976.33136</v>
      </c>
      <c r="S137" s="146">
        <v>28402.36686</v>
      </c>
    </row>
    <row r="138">
      <c r="A138" s="145">
        <v>7.938</v>
      </c>
      <c r="B138" s="145">
        <f t="shared" si="1"/>
        <v>2563.974</v>
      </c>
      <c r="C138" s="145">
        <v>19526.62722</v>
      </c>
      <c r="D138" s="145">
        <v>21301.77515</v>
      </c>
      <c r="E138" s="146">
        <v>24852.07101</v>
      </c>
      <c r="F138" s="145">
        <v>19526.62722</v>
      </c>
      <c r="G138" s="146">
        <v>24852.07101</v>
      </c>
      <c r="H138" s="146">
        <v>28402.36686</v>
      </c>
      <c r="I138" s="146">
        <v>28402.36686</v>
      </c>
      <c r="J138" s="145">
        <v>30177.51479</v>
      </c>
      <c r="K138" s="145">
        <v>33727.81065</v>
      </c>
      <c r="L138" s="145">
        <v>30177.51479</v>
      </c>
      <c r="M138" s="145">
        <v>35502.95858</v>
      </c>
      <c r="N138" s="145">
        <v>17751.47929</v>
      </c>
      <c r="O138" s="145">
        <v>17751.47929</v>
      </c>
      <c r="P138" s="146">
        <v>14201.18343</v>
      </c>
      <c r="Q138" s="146">
        <v>14201.18343</v>
      </c>
      <c r="R138" s="146">
        <v>15976.33136</v>
      </c>
      <c r="S138" s="146">
        <v>28402.36686</v>
      </c>
    </row>
    <row r="139">
      <c r="A139" s="145">
        <v>8.0</v>
      </c>
      <c r="B139" s="145">
        <f t="shared" si="1"/>
        <v>2584</v>
      </c>
      <c r="C139" s="145">
        <v>19526.62722</v>
      </c>
      <c r="D139" s="145">
        <v>21301.77515</v>
      </c>
      <c r="E139" s="146">
        <v>24852.07101</v>
      </c>
      <c r="F139" s="145">
        <v>19526.62722</v>
      </c>
      <c r="G139" s="146">
        <v>24852.07101</v>
      </c>
      <c r="H139" s="146">
        <v>28402.36686</v>
      </c>
      <c r="I139" s="146">
        <v>28402.36686</v>
      </c>
      <c r="J139" s="145">
        <v>30177.51479</v>
      </c>
      <c r="K139" s="145">
        <v>33727.81065</v>
      </c>
      <c r="L139" s="145">
        <v>31952.66272</v>
      </c>
      <c r="M139" s="145">
        <v>35502.95858</v>
      </c>
      <c r="N139" s="145">
        <v>17751.47929</v>
      </c>
      <c r="O139" s="145">
        <v>17751.47929</v>
      </c>
      <c r="P139" s="146">
        <v>14201.18343</v>
      </c>
      <c r="Q139" s="146">
        <v>14201.18343</v>
      </c>
      <c r="R139" s="146">
        <v>15976.33136</v>
      </c>
      <c r="S139" s="146">
        <v>28402.36686</v>
      </c>
    </row>
    <row r="140">
      <c r="A140" s="145">
        <v>8.063</v>
      </c>
      <c r="B140" s="145">
        <f t="shared" si="1"/>
        <v>2604.349</v>
      </c>
      <c r="C140" s="145">
        <v>21301.77515</v>
      </c>
      <c r="D140" s="145">
        <v>21301.77515</v>
      </c>
      <c r="E140" s="146">
        <v>24852.07101</v>
      </c>
      <c r="F140" s="145">
        <v>19526.62722</v>
      </c>
      <c r="G140" s="146">
        <v>30177.51479</v>
      </c>
      <c r="H140" s="146">
        <v>28402.36686</v>
      </c>
      <c r="I140" s="146">
        <v>28402.36686</v>
      </c>
      <c r="J140" s="145">
        <v>30177.51479</v>
      </c>
      <c r="K140" s="145">
        <v>33727.81065</v>
      </c>
      <c r="L140" s="145">
        <v>31952.66272</v>
      </c>
      <c r="M140" s="145">
        <v>35502.95858</v>
      </c>
      <c r="N140" s="145">
        <v>17751.47929</v>
      </c>
      <c r="O140" s="145">
        <v>17751.47929</v>
      </c>
      <c r="P140" s="146">
        <v>15976.33136</v>
      </c>
      <c r="Q140" s="146">
        <v>14201.18343</v>
      </c>
      <c r="R140" s="146">
        <v>15976.33136</v>
      </c>
      <c r="S140" s="146">
        <v>28402.36686</v>
      </c>
    </row>
    <row r="141">
      <c r="A141" s="145">
        <v>8.125</v>
      </c>
      <c r="B141" s="145">
        <f t="shared" si="1"/>
        <v>2624.375</v>
      </c>
      <c r="C141" s="145">
        <v>21301.77515</v>
      </c>
      <c r="D141" s="145">
        <v>21301.77515</v>
      </c>
      <c r="E141" s="146">
        <v>24852.07101</v>
      </c>
      <c r="F141" s="145">
        <v>19526.62722</v>
      </c>
      <c r="G141" s="146">
        <v>30177.51479</v>
      </c>
      <c r="H141" s="146">
        <v>28402.36686</v>
      </c>
      <c r="I141" s="146">
        <v>28402.36686</v>
      </c>
      <c r="J141" s="145">
        <v>30177.51479</v>
      </c>
      <c r="K141" s="145">
        <v>33727.81065</v>
      </c>
      <c r="L141" s="145">
        <v>31952.66272</v>
      </c>
      <c r="M141" s="145">
        <v>35502.95858</v>
      </c>
      <c r="N141" s="145">
        <v>17751.47929</v>
      </c>
      <c r="O141" s="145">
        <v>17751.47929</v>
      </c>
      <c r="P141" s="146">
        <v>15976.33136</v>
      </c>
      <c r="Q141" s="146">
        <v>14201.18343</v>
      </c>
      <c r="R141" s="146">
        <v>15976.33136</v>
      </c>
      <c r="S141" s="146">
        <v>28402.36686</v>
      </c>
    </row>
    <row r="142">
      <c r="A142" s="145">
        <v>8.188</v>
      </c>
      <c r="B142" s="145">
        <f t="shared" si="1"/>
        <v>2644.724</v>
      </c>
      <c r="C142" s="145">
        <v>21301.77515</v>
      </c>
      <c r="D142" s="145">
        <v>21301.77515</v>
      </c>
      <c r="E142" s="146">
        <v>24852.07101</v>
      </c>
      <c r="F142" s="145">
        <v>19526.62722</v>
      </c>
      <c r="G142" s="146">
        <v>30177.51479</v>
      </c>
      <c r="H142" s="146">
        <v>28402.36686</v>
      </c>
      <c r="I142" s="146">
        <v>28402.36686</v>
      </c>
      <c r="J142" s="145">
        <v>30177.51479</v>
      </c>
      <c r="K142" s="145">
        <v>33727.81065</v>
      </c>
      <c r="L142" s="145">
        <v>31952.66272</v>
      </c>
      <c r="M142" s="145">
        <v>35502.95858</v>
      </c>
      <c r="N142" s="145">
        <v>17751.47929</v>
      </c>
      <c r="O142" s="145">
        <v>17751.47929</v>
      </c>
      <c r="P142" s="146">
        <v>15976.33136</v>
      </c>
      <c r="Q142" s="146">
        <v>14201.18343</v>
      </c>
      <c r="R142" s="146">
        <v>15976.33136</v>
      </c>
      <c r="S142" s="146">
        <v>28402.36686</v>
      </c>
    </row>
    <row r="143">
      <c r="A143" s="145">
        <v>8.25</v>
      </c>
      <c r="B143" s="145">
        <f t="shared" si="1"/>
        <v>2664.75</v>
      </c>
      <c r="C143" s="145">
        <v>21301.77515</v>
      </c>
      <c r="D143" s="145">
        <v>21301.77515</v>
      </c>
      <c r="E143" s="146">
        <v>24852.07101</v>
      </c>
      <c r="F143" s="145">
        <v>19526.62722</v>
      </c>
      <c r="G143" s="146">
        <v>30177.51479</v>
      </c>
      <c r="H143" s="146">
        <v>28402.36686</v>
      </c>
      <c r="I143" s="146">
        <v>28402.36686</v>
      </c>
      <c r="J143" s="145">
        <v>30177.51479</v>
      </c>
      <c r="K143" s="145">
        <v>33727.81065</v>
      </c>
      <c r="L143" s="145">
        <v>31952.66272</v>
      </c>
      <c r="M143" s="145">
        <v>35502.95858</v>
      </c>
      <c r="N143" s="145">
        <v>17751.47929</v>
      </c>
      <c r="O143" s="145">
        <v>17751.47929</v>
      </c>
      <c r="P143" s="146">
        <v>15976.33136</v>
      </c>
      <c r="Q143" s="146">
        <v>14201.18343</v>
      </c>
      <c r="R143" s="146">
        <v>15976.33136</v>
      </c>
      <c r="S143" s="146">
        <v>28402.36686</v>
      </c>
    </row>
    <row r="144">
      <c r="A144" s="145">
        <v>8.313</v>
      </c>
      <c r="B144" s="145">
        <f t="shared" si="1"/>
        <v>2685.099</v>
      </c>
      <c r="C144" s="145">
        <v>21301.77515</v>
      </c>
      <c r="D144" s="145">
        <v>21301.77515</v>
      </c>
      <c r="E144" s="146">
        <v>24852.07101</v>
      </c>
      <c r="F144" s="145">
        <v>19526.62722</v>
      </c>
      <c r="G144" s="146">
        <v>30177.51479</v>
      </c>
      <c r="H144" s="146">
        <v>28402.36686</v>
      </c>
      <c r="I144" s="146">
        <v>28402.36686</v>
      </c>
      <c r="J144" s="145">
        <v>30177.51479</v>
      </c>
      <c r="K144" s="145">
        <v>33727.81065</v>
      </c>
      <c r="L144" s="145">
        <v>33727.81065</v>
      </c>
      <c r="M144" s="145">
        <v>37278.10651</v>
      </c>
      <c r="N144" s="145">
        <v>17751.47929</v>
      </c>
      <c r="O144" s="145">
        <v>17751.47929</v>
      </c>
      <c r="P144" s="146">
        <v>15976.33136</v>
      </c>
      <c r="Q144" s="146">
        <v>14201.18343</v>
      </c>
      <c r="R144" s="146">
        <v>17751.47929</v>
      </c>
      <c r="S144" s="146">
        <v>28402.36686</v>
      </c>
    </row>
    <row r="145">
      <c r="A145" s="145">
        <v>8.375</v>
      </c>
      <c r="B145" s="145">
        <f t="shared" si="1"/>
        <v>2705.125</v>
      </c>
      <c r="C145" s="145">
        <v>21301.77515</v>
      </c>
      <c r="D145" s="145">
        <v>21301.77515</v>
      </c>
      <c r="E145" s="146">
        <v>24852.07101</v>
      </c>
      <c r="F145" s="145">
        <v>19526.62722</v>
      </c>
      <c r="G145" s="146">
        <v>30177.51479</v>
      </c>
      <c r="H145" s="146">
        <v>28402.36686</v>
      </c>
      <c r="I145" s="146">
        <v>28402.36686</v>
      </c>
      <c r="J145" s="145">
        <v>30177.51479</v>
      </c>
      <c r="K145" s="145">
        <v>33727.81065</v>
      </c>
      <c r="L145" s="145">
        <v>33727.81065</v>
      </c>
      <c r="M145" s="145">
        <v>37278.10651</v>
      </c>
      <c r="N145" s="145">
        <v>17751.47929</v>
      </c>
      <c r="O145" s="145">
        <v>17751.47929</v>
      </c>
      <c r="P145" s="146">
        <v>15976.33136</v>
      </c>
      <c r="Q145" s="146">
        <v>14201.18343</v>
      </c>
      <c r="R145" s="146">
        <v>17751.47929</v>
      </c>
      <c r="S145" s="146">
        <v>28402.36686</v>
      </c>
    </row>
    <row r="146">
      <c r="A146" s="145">
        <v>8.438</v>
      </c>
      <c r="B146" s="145">
        <f t="shared" si="1"/>
        <v>2725.474</v>
      </c>
      <c r="C146" s="145">
        <v>21301.77515</v>
      </c>
      <c r="D146" s="145">
        <v>21301.77515</v>
      </c>
      <c r="E146" s="146">
        <v>24852.07101</v>
      </c>
      <c r="F146" s="145">
        <v>19526.62722</v>
      </c>
      <c r="G146" s="146">
        <v>30177.51479</v>
      </c>
      <c r="H146" s="146">
        <v>28402.36686</v>
      </c>
      <c r="I146" s="146">
        <v>28402.36686</v>
      </c>
      <c r="J146" s="145">
        <v>30177.51479</v>
      </c>
      <c r="K146" s="145">
        <v>33727.81065</v>
      </c>
      <c r="L146" s="145">
        <v>33727.81065</v>
      </c>
      <c r="M146" s="145">
        <v>39053.25444</v>
      </c>
      <c r="N146" s="145">
        <v>17751.47929</v>
      </c>
      <c r="O146" s="145">
        <v>17751.47929</v>
      </c>
      <c r="P146" s="146">
        <v>15976.33136</v>
      </c>
      <c r="Q146" s="146">
        <v>14201.18343</v>
      </c>
      <c r="R146" s="146">
        <v>17751.47929</v>
      </c>
      <c r="S146" s="146">
        <v>28402.36686</v>
      </c>
    </row>
    <row r="147">
      <c r="A147" s="145">
        <v>8.5</v>
      </c>
      <c r="B147" s="145">
        <f t="shared" si="1"/>
        <v>2745.5</v>
      </c>
      <c r="C147" s="145">
        <v>21301.77515</v>
      </c>
      <c r="D147" s="145">
        <v>21301.77515</v>
      </c>
      <c r="E147" s="146">
        <v>24852.07101</v>
      </c>
      <c r="F147" s="145">
        <v>19526.62722</v>
      </c>
      <c r="G147" s="146">
        <v>30177.51479</v>
      </c>
      <c r="H147" s="146">
        <v>28402.36686</v>
      </c>
      <c r="I147" s="146">
        <v>28402.36686</v>
      </c>
      <c r="J147" s="145">
        <v>30177.51479</v>
      </c>
      <c r="K147" s="145">
        <v>33727.81065</v>
      </c>
      <c r="L147" s="145">
        <v>33727.81065</v>
      </c>
      <c r="M147" s="145">
        <v>39053.25444</v>
      </c>
      <c r="N147" s="145">
        <v>17751.47929</v>
      </c>
      <c r="O147" s="145">
        <v>17751.47929</v>
      </c>
      <c r="P147" s="146">
        <v>15976.33136</v>
      </c>
      <c r="Q147" s="146">
        <v>14201.18343</v>
      </c>
      <c r="R147" s="146">
        <v>17751.47929</v>
      </c>
      <c r="S147" s="146">
        <v>28402.36686</v>
      </c>
    </row>
    <row r="148">
      <c r="A148" s="145">
        <v>8.579</v>
      </c>
      <c r="B148" s="145">
        <f t="shared" si="1"/>
        <v>2771.017</v>
      </c>
      <c r="C148" s="145">
        <v>21301.77515</v>
      </c>
      <c r="D148" s="145">
        <v>21301.77515</v>
      </c>
      <c r="E148" s="146">
        <v>24852.07101</v>
      </c>
      <c r="F148" s="145">
        <v>19526.62722</v>
      </c>
      <c r="G148" s="146">
        <v>30177.51479</v>
      </c>
      <c r="H148" s="146">
        <v>28402.36686</v>
      </c>
      <c r="I148" s="146">
        <v>28402.36686</v>
      </c>
      <c r="J148" s="145">
        <v>33727.81065</v>
      </c>
      <c r="K148" s="145">
        <v>33727.81065</v>
      </c>
      <c r="L148" s="145">
        <v>33727.81065</v>
      </c>
      <c r="M148" s="145">
        <v>39053.25444</v>
      </c>
      <c r="N148" s="145">
        <v>17751.47929</v>
      </c>
      <c r="O148" s="145">
        <v>17751.47929</v>
      </c>
      <c r="P148" s="146">
        <v>15976.33136</v>
      </c>
      <c r="Q148" s="146">
        <v>14201.18343</v>
      </c>
      <c r="R148" s="146">
        <v>17751.47929</v>
      </c>
      <c r="S148" s="146">
        <v>30177.51479</v>
      </c>
    </row>
    <row r="149">
      <c r="A149" s="145">
        <v>8.625</v>
      </c>
      <c r="B149" s="145">
        <f t="shared" si="1"/>
        <v>2785.875</v>
      </c>
      <c r="C149" s="145">
        <v>21301.77515</v>
      </c>
      <c r="D149" s="145">
        <v>21301.77515</v>
      </c>
      <c r="E149" s="146">
        <v>24852.07101</v>
      </c>
      <c r="F149" s="145">
        <v>21301.77515</v>
      </c>
      <c r="G149" s="146">
        <v>30177.51479</v>
      </c>
      <c r="H149" s="146">
        <v>28402.36686</v>
      </c>
      <c r="I149" s="146">
        <v>30177.51479</v>
      </c>
      <c r="J149" s="145">
        <v>33727.81065</v>
      </c>
      <c r="K149" s="145">
        <v>33727.81065</v>
      </c>
      <c r="L149" s="145">
        <v>33727.81065</v>
      </c>
      <c r="M149" s="145">
        <v>39053.25444</v>
      </c>
      <c r="N149" s="145">
        <v>17751.47929</v>
      </c>
      <c r="O149" s="145">
        <v>17751.47929</v>
      </c>
      <c r="P149" s="146">
        <v>15976.33136</v>
      </c>
      <c r="Q149" s="146">
        <v>14201.18343</v>
      </c>
      <c r="R149" s="146">
        <v>17751.47929</v>
      </c>
      <c r="S149" s="146">
        <v>30177.51479</v>
      </c>
    </row>
    <row r="150">
      <c r="A150" s="145">
        <v>8.688</v>
      </c>
      <c r="B150" s="145">
        <f t="shared" si="1"/>
        <v>2806.224</v>
      </c>
      <c r="C150" s="145">
        <v>23076.92308</v>
      </c>
      <c r="D150" s="145">
        <v>21301.77515</v>
      </c>
      <c r="E150" s="146">
        <v>24852.07101</v>
      </c>
      <c r="F150" s="145">
        <v>21301.77515</v>
      </c>
      <c r="G150" s="146">
        <v>30177.51479</v>
      </c>
      <c r="H150" s="146">
        <v>28402.36686</v>
      </c>
      <c r="I150" s="146">
        <v>30177.51479</v>
      </c>
      <c r="J150" s="145">
        <v>33727.81065</v>
      </c>
      <c r="K150" s="145">
        <v>33727.81065</v>
      </c>
      <c r="L150" s="145">
        <v>35502.95858</v>
      </c>
      <c r="M150" s="145">
        <v>39053.25444</v>
      </c>
      <c r="N150" s="145">
        <v>19526.62722</v>
      </c>
      <c r="O150" s="145">
        <v>17751.47929</v>
      </c>
      <c r="P150" s="146">
        <v>15976.33136</v>
      </c>
      <c r="Q150" s="146">
        <v>14201.18343</v>
      </c>
      <c r="R150" s="146">
        <v>17751.47929</v>
      </c>
      <c r="S150" s="146">
        <v>30177.51479</v>
      </c>
    </row>
    <row r="151">
      <c r="A151" s="145">
        <v>8.766</v>
      </c>
      <c r="B151" s="145">
        <f t="shared" si="1"/>
        <v>2831.418</v>
      </c>
      <c r="C151" s="145">
        <v>23076.92308</v>
      </c>
      <c r="D151" s="145">
        <v>21301.77515</v>
      </c>
      <c r="E151" s="146">
        <v>24852.07101</v>
      </c>
      <c r="F151" s="145">
        <v>21301.77515</v>
      </c>
      <c r="G151" s="146">
        <v>31952.66272</v>
      </c>
      <c r="H151" s="146">
        <v>28402.36686</v>
      </c>
      <c r="I151" s="146">
        <v>30177.51479</v>
      </c>
      <c r="J151" s="145">
        <v>33727.81065</v>
      </c>
      <c r="K151" s="145">
        <v>33727.81065</v>
      </c>
      <c r="L151" s="145">
        <v>35502.95858</v>
      </c>
      <c r="M151" s="145">
        <v>39053.25444</v>
      </c>
      <c r="N151" s="145">
        <v>19526.62722</v>
      </c>
      <c r="O151" s="145">
        <v>17751.47929</v>
      </c>
      <c r="P151" s="146">
        <v>15976.33136</v>
      </c>
      <c r="Q151" s="146">
        <v>14201.18343</v>
      </c>
      <c r="R151" s="146">
        <v>17751.47929</v>
      </c>
      <c r="S151" s="146">
        <v>30177.51479</v>
      </c>
    </row>
    <row r="152">
      <c r="A152" s="145">
        <v>8.813</v>
      </c>
      <c r="B152" s="145">
        <f t="shared" si="1"/>
        <v>2846.599</v>
      </c>
      <c r="C152" s="145">
        <v>23076.92308</v>
      </c>
      <c r="D152" s="145">
        <v>23076.92308</v>
      </c>
      <c r="E152" s="146">
        <v>24852.07101</v>
      </c>
      <c r="F152" s="145">
        <v>24852.07101</v>
      </c>
      <c r="G152" s="146">
        <v>31952.66272</v>
      </c>
      <c r="H152" s="146">
        <v>28402.36686</v>
      </c>
      <c r="I152" s="146">
        <v>30177.51479</v>
      </c>
      <c r="J152" s="145">
        <v>33727.81065</v>
      </c>
      <c r="K152" s="145">
        <v>33727.81065</v>
      </c>
      <c r="L152" s="145">
        <v>35502.95858</v>
      </c>
      <c r="M152" s="145">
        <v>39053.25444</v>
      </c>
      <c r="N152" s="145">
        <v>19526.62722</v>
      </c>
      <c r="O152" s="145">
        <v>17751.47929</v>
      </c>
      <c r="P152" s="146">
        <v>15976.33136</v>
      </c>
      <c r="Q152" s="146">
        <v>14201.18343</v>
      </c>
      <c r="R152" s="146">
        <v>17751.47929</v>
      </c>
      <c r="S152" s="146">
        <v>30177.51479</v>
      </c>
    </row>
    <row r="153">
      <c r="A153" s="145">
        <v>8.875</v>
      </c>
      <c r="B153" s="145">
        <f t="shared" si="1"/>
        <v>2866.625</v>
      </c>
      <c r="C153" s="145">
        <v>23076.92308</v>
      </c>
      <c r="D153" s="145">
        <v>23076.92308</v>
      </c>
      <c r="E153" s="146">
        <v>24852.07101</v>
      </c>
      <c r="F153" s="145">
        <v>24852.07101</v>
      </c>
      <c r="G153" s="146">
        <v>31952.66272</v>
      </c>
      <c r="H153" s="146">
        <v>28402.36686</v>
      </c>
      <c r="I153" s="146">
        <v>30177.51479</v>
      </c>
      <c r="J153" s="145">
        <v>33727.81065</v>
      </c>
      <c r="K153" s="145">
        <v>33727.81065</v>
      </c>
      <c r="L153" s="145">
        <v>35502.95858</v>
      </c>
      <c r="M153" s="145">
        <v>39053.25444</v>
      </c>
      <c r="N153" s="145">
        <v>19526.62722</v>
      </c>
      <c r="O153" s="145">
        <v>19526.62722</v>
      </c>
      <c r="P153" s="146">
        <v>15976.33136</v>
      </c>
      <c r="Q153" s="146">
        <v>14201.18343</v>
      </c>
      <c r="R153" s="146">
        <v>17751.47929</v>
      </c>
      <c r="S153" s="146">
        <v>30177.51479</v>
      </c>
    </row>
    <row r="154">
      <c r="A154" s="145">
        <v>8.938</v>
      </c>
      <c r="B154" s="145">
        <f t="shared" si="1"/>
        <v>2886.974</v>
      </c>
      <c r="C154" s="145">
        <v>23076.92308</v>
      </c>
      <c r="D154" s="145">
        <v>23076.92308</v>
      </c>
      <c r="E154" s="146">
        <v>24852.07101</v>
      </c>
      <c r="F154" s="145">
        <v>24852.07101</v>
      </c>
      <c r="G154" s="146">
        <v>31952.66272</v>
      </c>
      <c r="H154" s="146">
        <v>28402.36686</v>
      </c>
      <c r="I154" s="146">
        <v>30177.51479</v>
      </c>
      <c r="J154" s="145">
        <v>33727.81065</v>
      </c>
      <c r="K154" s="145">
        <v>33727.81065</v>
      </c>
      <c r="L154" s="145">
        <v>35502.95858</v>
      </c>
      <c r="M154" s="145">
        <v>39053.25444</v>
      </c>
      <c r="N154" s="145">
        <v>19526.62722</v>
      </c>
      <c r="O154" s="145">
        <v>19526.62722</v>
      </c>
      <c r="P154" s="146">
        <v>15976.33136</v>
      </c>
      <c r="Q154" s="146">
        <v>14201.18343</v>
      </c>
      <c r="R154" s="146">
        <v>17751.47929</v>
      </c>
      <c r="S154" s="146">
        <v>30177.51479</v>
      </c>
    </row>
    <row r="155">
      <c r="A155" s="145">
        <v>9.0</v>
      </c>
      <c r="B155" s="145">
        <f t="shared" si="1"/>
        <v>2907</v>
      </c>
      <c r="C155" s="145">
        <v>23076.92308</v>
      </c>
      <c r="D155" s="145">
        <v>23076.92308</v>
      </c>
      <c r="E155" s="146">
        <v>24852.07101</v>
      </c>
      <c r="F155" s="145">
        <v>24852.07101</v>
      </c>
      <c r="G155" s="146">
        <v>31952.66272</v>
      </c>
      <c r="H155" s="146">
        <v>30177.51479</v>
      </c>
      <c r="I155" s="146">
        <v>30177.51479</v>
      </c>
      <c r="J155" s="145">
        <v>33727.81065</v>
      </c>
      <c r="K155" s="145">
        <v>33727.81065</v>
      </c>
      <c r="L155" s="145">
        <v>35502.95858</v>
      </c>
      <c r="M155" s="145">
        <v>39053.25444</v>
      </c>
      <c r="N155" s="145">
        <v>19526.62722</v>
      </c>
      <c r="O155" s="145">
        <v>19526.62722</v>
      </c>
      <c r="P155" s="146">
        <v>15976.33136</v>
      </c>
      <c r="Q155" s="146">
        <v>14201.18343</v>
      </c>
      <c r="R155" s="146">
        <v>17751.47929</v>
      </c>
      <c r="S155" s="146">
        <v>30177.51479</v>
      </c>
    </row>
    <row r="156">
      <c r="A156" s="145">
        <v>9.063</v>
      </c>
      <c r="B156" s="145">
        <f t="shared" si="1"/>
        <v>2927.349</v>
      </c>
      <c r="C156" s="145">
        <v>23076.92308</v>
      </c>
      <c r="D156" s="145">
        <v>23076.92308</v>
      </c>
      <c r="E156" s="146">
        <v>24852.07101</v>
      </c>
      <c r="F156" s="145">
        <v>24852.07101</v>
      </c>
      <c r="G156" s="146">
        <v>31952.66272</v>
      </c>
      <c r="H156" s="146">
        <v>30177.51479</v>
      </c>
      <c r="I156" s="146">
        <v>30177.51479</v>
      </c>
      <c r="J156" s="145">
        <v>33727.81065</v>
      </c>
      <c r="K156" s="145">
        <v>33727.81065</v>
      </c>
      <c r="L156" s="145">
        <v>35502.95858</v>
      </c>
      <c r="M156" s="145">
        <v>39053.25444</v>
      </c>
      <c r="N156" s="145">
        <v>19526.62722</v>
      </c>
      <c r="O156" s="145">
        <v>19526.62722</v>
      </c>
      <c r="P156" s="146">
        <v>15976.33136</v>
      </c>
      <c r="Q156" s="146">
        <v>14201.18343</v>
      </c>
      <c r="R156" s="146">
        <v>17751.47929</v>
      </c>
      <c r="S156" s="146">
        <v>30177.51479</v>
      </c>
    </row>
    <row r="157">
      <c r="A157" s="145">
        <v>9.125</v>
      </c>
      <c r="B157" s="145">
        <f t="shared" si="1"/>
        <v>2947.375</v>
      </c>
      <c r="C157" s="145">
        <v>23076.92308</v>
      </c>
      <c r="D157" s="145">
        <v>23076.92308</v>
      </c>
      <c r="E157" s="146">
        <v>24852.07101</v>
      </c>
      <c r="F157" s="145">
        <v>24852.07101</v>
      </c>
      <c r="G157" s="146">
        <v>31952.66272</v>
      </c>
      <c r="H157" s="146">
        <v>30177.51479</v>
      </c>
      <c r="I157" s="146">
        <v>30177.51479</v>
      </c>
      <c r="J157" s="145">
        <v>33727.81065</v>
      </c>
      <c r="K157" s="145">
        <v>33727.81065</v>
      </c>
      <c r="L157" s="145">
        <v>35502.95858</v>
      </c>
      <c r="M157" s="145">
        <v>39053.25444</v>
      </c>
      <c r="N157" s="145">
        <v>19526.62722</v>
      </c>
      <c r="O157" s="145">
        <v>19526.62722</v>
      </c>
      <c r="P157" s="146">
        <v>15976.33136</v>
      </c>
      <c r="Q157" s="146">
        <v>14201.18343</v>
      </c>
      <c r="R157" s="146">
        <v>17751.47929</v>
      </c>
      <c r="S157" s="146">
        <v>30177.51479</v>
      </c>
    </row>
    <row r="158">
      <c r="A158" s="145">
        <v>9.188</v>
      </c>
      <c r="B158" s="145">
        <f t="shared" si="1"/>
        <v>2967.724</v>
      </c>
      <c r="C158" s="145">
        <v>24852.07101</v>
      </c>
      <c r="D158" s="145">
        <v>23076.92308</v>
      </c>
      <c r="E158" s="146">
        <v>26627.21894</v>
      </c>
      <c r="F158" s="145">
        <v>24852.07101</v>
      </c>
      <c r="G158" s="146">
        <v>31952.66272</v>
      </c>
      <c r="H158" s="146">
        <v>30177.51479</v>
      </c>
      <c r="I158" s="146">
        <v>30177.51479</v>
      </c>
      <c r="J158" s="145">
        <v>33727.81065</v>
      </c>
      <c r="K158" s="145">
        <v>33727.81065</v>
      </c>
      <c r="L158" s="145">
        <v>35502.95858</v>
      </c>
      <c r="M158" s="145">
        <v>39053.25444</v>
      </c>
      <c r="N158" s="145">
        <v>21301.77515</v>
      </c>
      <c r="O158" s="145">
        <v>19526.62722</v>
      </c>
      <c r="P158" s="146">
        <v>15976.33136</v>
      </c>
      <c r="Q158" s="146">
        <v>14201.18343</v>
      </c>
      <c r="R158" s="146">
        <v>17751.47929</v>
      </c>
      <c r="S158" s="146">
        <v>30177.51479</v>
      </c>
    </row>
    <row r="159">
      <c r="A159" s="145">
        <v>9.266</v>
      </c>
      <c r="B159" s="145">
        <f t="shared" si="1"/>
        <v>2992.918</v>
      </c>
      <c r="C159" s="145">
        <v>24852.07101</v>
      </c>
      <c r="D159" s="145">
        <v>23076.92308</v>
      </c>
      <c r="E159" s="146">
        <v>26627.21894</v>
      </c>
      <c r="F159" s="145">
        <v>24852.07101</v>
      </c>
      <c r="G159" s="146">
        <v>31952.66272</v>
      </c>
      <c r="H159" s="146">
        <v>30177.51479</v>
      </c>
      <c r="I159" s="146">
        <v>30177.51479</v>
      </c>
      <c r="J159" s="145">
        <v>33727.81065</v>
      </c>
      <c r="K159" s="145">
        <v>33727.81065</v>
      </c>
      <c r="L159" s="145">
        <v>35502.95858</v>
      </c>
      <c r="M159" s="145">
        <v>39053.25444</v>
      </c>
      <c r="N159" s="145">
        <v>23076.92308</v>
      </c>
      <c r="O159" s="145">
        <v>19526.62722</v>
      </c>
      <c r="P159" s="146">
        <v>15976.33136</v>
      </c>
      <c r="Q159" s="146">
        <v>14201.18343</v>
      </c>
      <c r="R159" s="146">
        <v>17751.47929</v>
      </c>
      <c r="S159" s="146">
        <v>30177.51479</v>
      </c>
    </row>
    <row r="160">
      <c r="A160" s="145">
        <v>9.313</v>
      </c>
      <c r="B160" s="145">
        <f t="shared" si="1"/>
        <v>3008.099</v>
      </c>
      <c r="C160" s="145">
        <v>24852.07101</v>
      </c>
      <c r="D160" s="145">
        <v>23076.92308</v>
      </c>
      <c r="E160" s="146">
        <v>26627.21894</v>
      </c>
      <c r="F160" s="145">
        <v>24852.07101</v>
      </c>
      <c r="G160" s="146">
        <v>31952.66272</v>
      </c>
      <c r="H160" s="146">
        <v>30177.51479</v>
      </c>
      <c r="I160" s="146">
        <v>30177.51479</v>
      </c>
      <c r="J160" s="145">
        <v>33727.81065</v>
      </c>
      <c r="K160" s="145">
        <v>33727.81065</v>
      </c>
      <c r="L160" s="145">
        <v>35502.95858</v>
      </c>
      <c r="M160" s="145">
        <v>40828.40237</v>
      </c>
      <c r="N160" s="145">
        <v>23076.92308</v>
      </c>
      <c r="O160" s="145">
        <v>19526.62722</v>
      </c>
      <c r="P160" s="146">
        <v>17751.47929</v>
      </c>
      <c r="Q160" s="146">
        <v>15976.33136</v>
      </c>
      <c r="R160" s="146">
        <v>17751.47929</v>
      </c>
      <c r="S160" s="146">
        <v>30177.51479</v>
      </c>
    </row>
    <row r="161">
      <c r="A161" s="145">
        <v>9.375</v>
      </c>
      <c r="B161" s="145">
        <f t="shared" si="1"/>
        <v>3028.125</v>
      </c>
      <c r="C161" s="145">
        <v>24852.07101</v>
      </c>
      <c r="D161" s="145">
        <v>23076.92308</v>
      </c>
      <c r="E161" s="146">
        <v>28402.36686</v>
      </c>
      <c r="F161" s="145">
        <v>24852.07101</v>
      </c>
      <c r="G161" s="146">
        <v>31952.66272</v>
      </c>
      <c r="H161" s="146">
        <v>30177.51479</v>
      </c>
      <c r="I161" s="146">
        <v>30177.51479</v>
      </c>
      <c r="J161" s="145">
        <v>33727.81065</v>
      </c>
      <c r="K161" s="145">
        <v>33727.81065</v>
      </c>
      <c r="L161" s="145">
        <v>35502.95858</v>
      </c>
      <c r="M161" s="145">
        <v>40828.40237</v>
      </c>
      <c r="N161" s="145">
        <v>23076.92308</v>
      </c>
      <c r="O161" s="145">
        <v>19526.62722</v>
      </c>
      <c r="P161" s="146">
        <v>17751.47929</v>
      </c>
      <c r="Q161" s="146">
        <v>15976.33136</v>
      </c>
      <c r="R161" s="146">
        <v>17751.47929</v>
      </c>
      <c r="S161" s="146">
        <v>30177.51479</v>
      </c>
    </row>
    <row r="162">
      <c r="A162" s="145">
        <v>9.438</v>
      </c>
      <c r="B162" s="145">
        <f t="shared" si="1"/>
        <v>3048.474</v>
      </c>
      <c r="C162" s="145">
        <v>24852.07101</v>
      </c>
      <c r="D162" s="145">
        <v>23076.92308</v>
      </c>
      <c r="E162" s="146">
        <v>28402.36686</v>
      </c>
      <c r="F162" s="145">
        <v>24852.07101</v>
      </c>
      <c r="G162" s="146">
        <v>31952.66272</v>
      </c>
      <c r="H162" s="146">
        <v>31952.66272</v>
      </c>
      <c r="I162" s="146">
        <v>30177.51479</v>
      </c>
      <c r="J162" s="145">
        <v>33727.81065</v>
      </c>
      <c r="K162" s="145">
        <v>33727.81065</v>
      </c>
      <c r="L162" s="145">
        <v>35502.95858</v>
      </c>
      <c r="M162" s="145">
        <v>40828.40237</v>
      </c>
      <c r="N162" s="145">
        <v>23076.92308</v>
      </c>
      <c r="O162" s="145">
        <v>19526.62722</v>
      </c>
      <c r="P162" s="146">
        <v>17751.47929</v>
      </c>
      <c r="Q162" s="146">
        <v>15976.33136</v>
      </c>
      <c r="R162" s="146">
        <v>17751.47929</v>
      </c>
      <c r="S162" s="146">
        <v>30177.51479</v>
      </c>
    </row>
    <row r="163">
      <c r="A163" s="145">
        <v>9.5</v>
      </c>
      <c r="B163" s="145">
        <f t="shared" si="1"/>
        <v>3068.5</v>
      </c>
      <c r="C163" s="145">
        <v>24852.07101</v>
      </c>
      <c r="D163" s="145">
        <v>23076.92308</v>
      </c>
      <c r="E163" s="146">
        <v>28402.36686</v>
      </c>
      <c r="F163" s="145">
        <v>24852.07101</v>
      </c>
      <c r="G163" s="146">
        <v>31952.66272</v>
      </c>
      <c r="H163" s="146">
        <v>31952.66272</v>
      </c>
      <c r="I163" s="146">
        <v>30177.51479</v>
      </c>
      <c r="J163" s="145">
        <v>33727.81065</v>
      </c>
      <c r="K163" s="145">
        <v>37278.10651</v>
      </c>
      <c r="L163" s="145">
        <v>35502.95858</v>
      </c>
      <c r="M163" s="145">
        <v>40828.40237</v>
      </c>
      <c r="N163" s="145">
        <v>23076.92308</v>
      </c>
      <c r="O163" s="145">
        <v>19526.62722</v>
      </c>
      <c r="P163" s="146">
        <v>17751.47929</v>
      </c>
      <c r="Q163" s="146">
        <v>15976.33136</v>
      </c>
      <c r="R163" s="146">
        <v>17751.47929</v>
      </c>
      <c r="S163" s="146">
        <v>30177.51479</v>
      </c>
    </row>
    <row r="164">
      <c r="A164" s="145">
        <v>9.579</v>
      </c>
      <c r="B164" s="145">
        <f t="shared" si="1"/>
        <v>3094.017</v>
      </c>
      <c r="C164" s="145">
        <v>24852.07101</v>
      </c>
      <c r="D164" s="145">
        <v>23076.92308</v>
      </c>
      <c r="E164" s="146">
        <v>28402.36686</v>
      </c>
      <c r="F164" s="145">
        <v>24852.07101</v>
      </c>
      <c r="G164" s="146">
        <v>31952.66272</v>
      </c>
      <c r="H164" s="146">
        <v>31952.66272</v>
      </c>
      <c r="I164" s="146">
        <v>30177.51479</v>
      </c>
      <c r="J164" s="145">
        <v>33727.81065</v>
      </c>
      <c r="K164" s="145">
        <v>37278.10651</v>
      </c>
      <c r="L164" s="145">
        <v>35502.95858</v>
      </c>
      <c r="M164" s="145">
        <v>40828.40237</v>
      </c>
      <c r="N164" s="145">
        <v>23076.92308</v>
      </c>
      <c r="O164" s="145">
        <v>19526.62722</v>
      </c>
      <c r="P164" s="146">
        <v>17751.47929</v>
      </c>
      <c r="Q164" s="146">
        <v>15976.33136</v>
      </c>
      <c r="R164" s="146">
        <v>17751.47929</v>
      </c>
      <c r="S164" s="146">
        <v>30177.51479</v>
      </c>
    </row>
    <row r="165">
      <c r="A165" s="145">
        <v>9.625</v>
      </c>
      <c r="B165" s="145">
        <f t="shared" si="1"/>
        <v>3108.875</v>
      </c>
      <c r="C165" s="145">
        <v>24852.07101</v>
      </c>
      <c r="D165" s="145">
        <v>24852.07101</v>
      </c>
      <c r="E165" s="146">
        <v>28402.36686</v>
      </c>
      <c r="F165" s="145">
        <v>24852.07101</v>
      </c>
      <c r="G165" s="146">
        <v>35502.95858</v>
      </c>
      <c r="H165" s="146">
        <v>31952.66272</v>
      </c>
      <c r="I165" s="146">
        <v>30177.51479</v>
      </c>
      <c r="J165" s="145">
        <v>33727.81065</v>
      </c>
      <c r="K165" s="145">
        <v>37278.10651</v>
      </c>
      <c r="L165" s="145">
        <v>35502.95858</v>
      </c>
      <c r="M165" s="145">
        <v>40828.40237</v>
      </c>
      <c r="N165" s="145">
        <v>23076.92308</v>
      </c>
      <c r="O165" s="145">
        <v>19526.62722</v>
      </c>
      <c r="P165" s="146">
        <v>17751.47929</v>
      </c>
      <c r="Q165" s="146">
        <v>15976.33136</v>
      </c>
      <c r="R165" s="146">
        <v>17751.47929</v>
      </c>
      <c r="S165" s="146">
        <v>31952.66272</v>
      </c>
    </row>
    <row r="166">
      <c r="A166" s="145">
        <v>9.688</v>
      </c>
      <c r="B166" s="145">
        <f t="shared" si="1"/>
        <v>3129.224</v>
      </c>
      <c r="C166" s="145">
        <v>24852.07101</v>
      </c>
      <c r="D166" s="145">
        <v>24852.07101</v>
      </c>
      <c r="E166" s="146">
        <v>28402.36686</v>
      </c>
      <c r="F166" s="145">
        <v>24852.07101</v>
      </c>
      <c r="G166" s="146">
        <v>35502.95858</v>
      </c>
      <c r="H166" s="146">
        <v>31952.66272</v>
      </c>
      <c r="I166" s="146">
        <v>30177.51479</v>
      </c>
      <c r="J166" s="145">
        <v>33727.81065</v>
      </c>
      <c r="K166" s="145">
        <v>37278.10651</v>
      </c>
      <c r="L166" s="145">
        <v>35502.95858</v>
      </c>
      <c r="M166" s="145">
        <v>40828.40237</v>
      </c>
      <c r="N166" s="145">
        <v>23076.92308</v>
      </c>
      <c r="O166" s="145">
        <v>19526.62722</v>
      </c>
      <c r="P166" s="146">
        <v>17751.47929</v>
      </c>
      <c r="Q166" s="146">
        <v>15976.33136</v>
      </c>
      <c r="R166" s="146">
        <v>17751.47929</v>
      </c>
      <c r="S166" s="146">
        <v>31952.66272</v>
      </c>
    </row>
    <row r="167">
      <c r="A167" s="145">
        <v>9.75</v>
      </c>
      <c r="B167" s="145">
        <f t="shared" si="1"/>
        <v>3149.25</v>
      </c>
      <c r="C167" s="145">
        <v>24852.07101</v>
      </c>
      <c r="D167" s="145">
        <v>24852.07101</v>
      </c>
      <c r="E167" s="146">
        <v>28402.36686</v>
      </c>
      <c r="F167" s="145">
        <v>24852.07101</v>
      </c>
      <c r="G167" s="146">
        <v>35502.95858</v>
      </c>
      <c r="H167" s="146">
        <v>31952.66272</v>
      </c>
      <c r="I167" s="146">
        <v>30177.51479</v>
      </c>
      <c r="J167" s="145">
        <v>33727.81065</v>
      </c>
      <c r="K167" s="145">
        <v>37278.10651</v>
      </c>
      <c r="L167" s="145">
        <v>35502.95858</v>
      </c>
      <c r="M167" s="145">
        <v>42603.5503</v>
      </c>
      <c r="N167" s="145">
        <v>23076.92308</v>
      </c>
      <c r="O167" s="145">
        <v>19526.62722</v>
      </c>
      <c r="P167" s="146">
        <v>17751.47929</v>
      </c>
      <c r="Q167" s="146">
        <v>15976.33136</v>
      </c>
      <c r="R167" s="146">
        <v>17751.47929</v>
      </c>
      <c r="S167" s="146">
        <v>31952.66272</v>
      </c>
    </row>
    <row r="168">
      <c r="A168" s="145">
        <v>9.813</v>
      </c>
      <c r="B168" s="145">
        <f t="shared" si="1"/>
        <v>3169.599</v>
      </c>
      <c r="C168" s="145">
        <v>24852.07101</v>
      </c>
      <c r="D168" s="145">
        <v>24852.07101</v>
      </c>
      <c r="E168" s="146">
        <v>28402.36686</v>
      </c>
      <c r="F168" s="145">
        <v>24852.07101</v>
      </c>
      <c r="G168" s="146">
        <v>35502.95858</v>
      </c>
      <c r="H168" s="146">
        <v>31952.66272</v>
      </c>
      <c r="I168" s="146">
        <v>30177.51479</v>
      </c>
      <c r="J168" s="145">
        <v>33727.81065</v>
      </c>
      <c r="K168" s="145">
        <v>37278.10651</v>
      </c>
      <c r="L168" s="145">
        <v>35502.95858</v>
      </c>
      <c r="M168" s="145">
        <v>42603.5503</v>
      </c>
      <c r="N168" s="145">
        <v>23076.92308</v>
      </c>
      <c r="O168" s="145">
        <v>19526.62722</v>
      </c>
      <c r="P168" s="146">
        <v>17751.47929</v>
      </c>
      <c r="Q168" s="146">
        <v>15976.33136</v>
      </c>
      <c r="R168" s="146">
        <v>17751.47929</v>
      </c>
      <c r="S168" s="146">
        <v>31952.66272</v>
      </c>
    </row>
    <row r="169">
      <c r="A169" s="145">
        <v>9.875</v>
      </c>
      <c r="B169" s="145">
        <f t="shared" si="1"/>
        <v>3189.625</v>
      </c>
      <c r="C169" s="145">
        <v>24852.07101</v>
      </c>
      <c r="D169" s="145">
        <v>24852.07101</v>
      </c>
      <c r="E169" s="146">
        <v>28402.36686</v>
      </c>
      <c r="F169" s="145">
        <v>24852.07101</v>
      </c>
      <c r="G169" s="146">
        <v>35502.95858</v>
      </c>
      <c r="H169" s="146">
        <v>33727.81065</v>
      </c>
      <c r="I169" s="146">
        <v>30177.51479</v>
      </c>
      <c r="J169" s="145">
        <v>33727.81065</v>
      </c>
      <c r="K169" s="145">
        <v>37278.10651</v>
      </c>
      <c r="L169" s="145">
        <v>35502.95858</v>
      </c>
      <c r="M169" s="145">
        <v>42603.5503</v>
      </c>
      <c r="N169" s="145">
        <v>23076.92308</v>
      </c>
      <c r="O169" s="145">
        <v>19526.62722</v>
      </c>
      <c r="P169" s="146">
        <v>17751.47929</v>
      </c>
      <c r="Q169" s="146">
        <v>17751.47929</v>
      </c>
      <c r="R169" s="146">
        <v>17751.47929</v>
      </c>
      <c r="S169" s="146">
        <v>31952.66272</v>
      </c>
    </row>
    <row r="170">
      <c r="A170" s="145">
        <v>9.938</v>
      </c>
      <c r="B170" s="145">
        <f t="shared" si="1"/>
        <v>3209.974</v>
      </c>
      <c r="C170" s="145">
        <v>24852.07101</v>
      </c>
      <c r="D170" s="145">
        <v>24852.07101</v>
      </c>
      <c r="E170" s="146">
        <v>28402.36686</v>
      </c>
      <c r="F170" s="145">
        <v>24852.07101</v>
      </c>
      <c r="G170" s="146">
        <v>35502.95858</v>
      </c>
      <c r="H170" s="146">
        <v>33727.81065</v>
      </c>
      <c r="I170" s="146">
        <v>30177.51479</v>
      </c>
      <c r="J170" s="145">
        <v>33727.81065</v>
      </c>
      <c r="K170" s="145">
        <v>37278.10651</v>
      </c>
      <c r="L170" s="145">
        <v>35502.95858</v>
      </c>
      <c r="M170" s="145">
        <v>42603.5503</v>
      </c>
      <c r="N170" s="145">
        <v>23076.92308</v>
      </c>
      <c r="O170" s="145">
        <v>21301.77515</v>
      </c>
      <c r="P170" s="146">
        <v>17751.47929</v>
      </c>
      <c r="Q170" s="146">
        <v>17751.47929</v>
      </c>
      <c r="R170" s="146">
        <v>17751.47929</v>
      </c>
      <c r="S170" s="146">
        <v>31952.66272</v>
      </c>
    </row>
    <row r="171">
      <c r="A171" s="145">
        <v>10.016</v>
      </c>
      <c r="B171" s="145">
        <f t="shared" si="1"/>
        <v>3235.168</v>
      </c>
      <c r="C171" s="145">
        <v>24852.07101</v>
      </c>
      <c r="D171" s="145">
        <v>24852.07101</v>
      </c>
      <c r="E171" s="146">
        <v>28402.36686</v>
      </c>
      <c r="F171" s="145">
        <v>24852.07101</v>
      </c>
      <c r="G171" s="146">
        <v>35502.95858</v>
      </c>
      <c r="H171" s="146">
        <v>33727.81065</v>
      </c>
      <c r="I171" s="146">
        <v>30177.51479</v>
      </c>
      <c r="J171" s="145">
        <v>33727.81065</v>
      </c>
      <c r="K171" s="145">
        <v>39053.25444</v>
      </c>
      <c r="L171" s="145">
        <v>35502.95858</v>
      </c>
      <c r="M171" s="145">
        <v>42603.5503</v>
      </c>
      <c r="N171" s="145">
        <v>23076.92308</v>
      </c>
      <c r="O171" s="145">
        <v>21301.77515</v>
      </c>
      <c r="P171" s="146">
        <v>17751.47929</v>
      </c>
      <c r="Q171" s="146">
        <v>17751.47929</v>
      </c>
      <c r="R171" s="146">
        <v>17751.47929</v>
      </c>
      <c r="S171" s="146">
        <v>31952.66272</v>
      </c>
    </row>
    <row r="172">
      <c r="A172" s="145">
        <v>10.063</v>
      </c>
      <c r="B172" s="145">
        <f t="shared" si="1"/>
        <v>3250.349</v>
      </c>
      <c r="C172" s="145">
        <v>24852.07101</v>
      </c>
      <c r="D172" s="145">
        <v>24852.07101</v>
      </c>
      <c r="E172" s="146">
        <v>30177.51479</v>
      </c>
      <c r="F172" s="145">
        <v>24852.07101</v>
      </c>
      <c r="G172" s="146">
        <v>35502.95858</v>
      </c>
      <c r="H172" s="146">
        <v>33727.81065</v>
      </c>
      <c r="I172" s="146">
        <v>30177.51479</v>
      </c>
      <c r="J172" s="145">
        <v>33727.81065</v>
      </c>
      <c r="K172" s="145">
        <v>39053.25444</v>
      </c>
      <c r="L172" s="145">
        <v>35502.95858</v>
      </c>
      <c r="M172" s="145">
        <v>42603.5503</v>
      </c>
      <c r="N172" s="145">
        <v>23076.92308</v>
      </c>
      <c r="O172" s="145">
        <v>21301.77515</v>
      </c>
      <c r="P172" s="146">
        <v>17751.47929</v>
      </c>
      <c r="Q172" s="146">
        <v>17751.47929</v>
      </c>
      <c r="R172" s="146">
        <v>17751.47929</v>
      </c>
      <c r="S172" s="146">
        <v>31952.66272</v>
      </c>
    </row>
    <row r="173">
      <c r="A173" s="145">
        <v>10.125</v>
      </c>
      <c r="B173" s="145">
        <f t="shared" si="1"/>
        <v>3270.375</v>
      </c>
      <c r="C173" s="145">
        <v>24852.07101</v>
      </c>
      <c r="D173" s="145">
        <v>24852.07101</v>
      </c>
      <c r="E173" s="146">
        <v>30177.51479</v>
      </c>
      <c r="F173" s="145">
        <v>24852.07101</v>
      </c>
      <c r="G173" s="146">
        <v>35502.95858</v>
      </c>
      <c r="H173" s="146">
        <v>33727.81065</v>
      </c>
      <c r="I173" s="146">
        <v>30177.51479</v>
      </c>
      <c r="J173" s="145">
        <v>33727.81065</v>
      </c>
      <c r="K173" s="145">
        <v>39053.25444</v>
      </c>
      <c r="L173" s="145">
        <v>35502.95858</v>
      </c>
      <c r="M173" s="145">
        <v>42603.5503</v>
      </c>
      <c r="N173" s="145">
        <v>23076.92308</v>
      </c>
      <c r="O173" s="145">
        <v>21301.77515</v>
      </c>
      <c r="P173" s="146">
        <v>17751.47929</v>
      </c>
      <c r="Q173" s="146">
        <v>17751.47929</v>
      </c>
      <c r="R173" s="146">
        <v>17751.47929</v>
      </c>
      <c r="S173" s="146">
        <v>31952.66272</v>
      </c>
    </row>
    <row r="174">
      <c r="A174" s="145">
        <v>10.188</v>
      </c>
      <c r="B174" s="145">
        <f t="shared" si="1"/>
        <v>3290.724</v>
      </c>
      <c r="C174" s="145">
        <v>24852.07101</v>
      </c>
      <c r="D174" s="145">
        <v>24852.07101</v>
      </c>
      <c r="E174" s="146">
        <v>30177.51479</v>
      </c>
      <c r="F174" s="145">
        <v>24852.07101</v>
      </c>
      <c r="G174" s="146">
        <v>35502.95858</v>
      </c>
      <c r="H174" s="146">
        <v>33727.81065</v>
      </c>
      <c r="I174" s="146">
        <v>30177.51479</v>
      </c>
      <c r="J174" s="145">
        <v>33727.81065</v>
      </c>
      <c r="K174" s="145">
        <v>39053.25444</v>
      </c>
      <c r="L174" s="145">
        <v>35502.95858</v>
      </c>
      <c r="M174" s="145">
        <v>42603.5503</v>
      </c>
      <c r="N174" s="145">
        <v>23076.92308</v>
      </c>
      <c r="O174" s="145">
        <v>21301.77515</v>
      </c>
      <c r="P174" s="146">
        <v>17751.47929</v>
      </c>
      <c r="Q174" s="146">
        <v>17751.47929</v>
      </c>
      <c r="R174" s="146">
        <v>17751.47929</v>
      </c>
      <c r="S174" s="146">
        <v>31952.66272</v>
      </c>
    </row>
    <row r="175">
      <c r="A175" s="145">
        <v>10.266</v>
      </c>
      <c r="B175" s="145">
        <f t="shared" si="1"/>
        <v>3315.918</v>
      </c>
      <c r="C175" s="145">
        <v>24852.07101</v>
      </c>
      <c r="D175" s="145">
        <v>24852.07101</v>
      </c>
      <c r="E175" s="146">
        <v>30177.51479</v>
      </c>
      <c r="F175" s="145">
        <v>24852.07101</v>
      </c>
      <c r="G175" s="146">
        <v>35502.95858</v>
      </c>
      <c r="H175" s="146">
        <v>33727.81065</v>
      </c>
      <c r="I175" s="146">
        <v>30177.51479</v>
      </c>
      <c r="J175" s="145">
        <v>33727.81065</v>
      </c>
      <c r="K175" s="145">
        <v>39053.25444</v>
      </c>
      <c r="L175" s="145">
        <v>35502.95858</v>
      </c>
      <c r="M175" s="145">
        <v>42603.5503</v>
      </c>
      <c r="N175" s="145">
        <v>23076.92308</v>
      </c>
      <c r="O175" s="145">
        <v>21301.77515</v>
      </c>
      <c r="P175" s="146">
        <v>17751.47929</v>
      </c>
      <c r="Q175" s="146">
        <v>17751.47929</v>
      </c>
      <c r="R175" s="146">
        <v>19526.62722</v>
      </c>
      <c r="S175" s="146">
        <v>31952.66272</v>
      </c>
    </row>
    <row r="176">
      <c r="A176" s="145">
        <v>10.313</v>
      </c>
      <c r="B176" s="145">
        <f t="shared" si="1"/>
        <v>3331.099</v>
      </c>
      <c r="C176" s="145">
        <v>24852.07101</v>
      </c>
      <c r="D176" s="145">
        <v>24852.07101</v>
      </c>
      <c r="E176" s="146">
        <v>30177.51479</v>
      </c>
      <c r="F176" s="145">
        <v>24852.07101</v>
      </c>
      <c r="G176" s="146">
        <v>35502.95858</v>
      </c>
      <c r="H176" s="146">
        <v>35502.95858</v>
      </c>
      <c r="I176" s="146">
        <v>30177.51479</v>
      </c>
      <c r="J176" s="145">
        <v>33727.81065</v>
      </c>
      <c r="K176" s="145">
        <v>39053.25444</v>
      </c>
      <c r="L176" s="145">
        <v>35502.95858</v>
      </c>
      <c r="M176" s="145">
        <v>42603.5503</v>
      </c>
      <c r="N176" s="145">
        <v>23076.92308</v>
      </c>
      <c r="O176" s="145">
        <v>21301.77515</v>
      </c>
      <c r="P176" s="146">
        <v>17751.47929</v>
      </c>
      <c r="Q176" s="146">
        <v>17751.47929</v>
      </c>
      <c r="R176" s="146">
        <v>19526.62722</v>
      </c>
      <c r="S176" s="146">
        <v>31952.66272</v>
      </c>
    </row>
    <row r="177">
      <c r="A177" s="145">
        <v>10.375</v>
      </c>
      <c r="B177" s="145">
        <f t="shared" si="1"/>
        <v>3351.125</v>
      </c>
      <c r="C177" s="145">
        <v>24852.07101</v>
      </c>
      <c r="D177" s="145">
        <v>24852.07101</v>
      </c>
      <c r="E177" s="146">
        <v>30177.51479</v>
      </c>
      <c r="F177" s="145">
        <v>24852.07101</v>
      </c>
      <c r="G177" s="146">
        <v>35502.95858</v>
      </c>
      <c r="H177" s="146">
        <v>35502.95858</v>
      </c>
      <c r="I177" s="146">
        <v>30177.51479</v>
      </c>
      <c r="J177" s="145">
        <v>33727.81065</v>
      </c>
      <c r="K177" s="145">
        <v>39053.25444</v>
      </c>
      <c r="L177" s="145">
        <v>35502.95858</v>
      </c>
      <c r="M177" s="145">
        <v>42603.5503</v>
      </c>
      <c r="N177" s="145">
        <v>23076.92308</v>
      </c>
      <c r="O177" s="145">
        <v>21301.77515</v>
      </c>
      <c r="P177" s="146">
        <v>17751.47929</v>
      </c>
      <c r="Q177" s="146">
        <v>17751.47929</v>
      </c>
      <c r="R177" s="146">
        <v>19526.62722</v>
      </c>
      <c r="S177" s="146">
        <v>31952.66272</v>
      </c>
    </row>
    <row r="178">
      <c r="A178" s="145">
        <v>10.438</v>
      </c>
      <c r="B178" s="145">
        <f t="shared" si="1"/>
        <v>3371.474</v>
      </c>
      <c r="C178" s="145">
        <v>24852.07101</v>
      </c>
      <c r="D178" s="145">
        <v>24852.07101</v>
      </c>
      <c r="E178" s="146">
        <v>30177.51479</v>
      </c>
      <c r="F178" s="145">
        <v>24852.07101</v>
      </c>
      <c r="G178" s="146">
        <v>35502.95858</v>
      </c>
      <c r="H178" s="146">
        <v>35502.95858</v>
      </c>
      <c r="I178" s="146">
        <v>30177.51479</v>
      </c>
      <c r="J178" s="145">
        <v>33727.81065</v>
      </c>
      <c r="K178" s="145">
        <v>39053.25444</v>
      </c>
      <c r="L178" s="145">
        <v>35502.95858</v>
      </c>
      <c r="M178" s="145">
        <v>42603.5503</v>
      </c>
      <c r="N178" s="145">
        <v>23076.92308</v>
      </c>
      <c r="O178" s="145">
        <v>21301.77515</v>
      </c>
      <c r="P178" s="146">
        <v>17751.47929</v>
      </c>
      <c r="Q178" s="146">
        <v>17751.47929</v>
      </c>
      <c r="R178" s="146">
        <v>19526.62722</v>
      </c>
      <c r="S178" s="146">
        <v>31952.66272</v>
      </c>
    </row>
    <row r="179">
      <c r="A179" s="145">
        <v>10.5</v>
      </c>
      <c r="B179" s="145">
        <f t="shared" si="1"/>
        <v>3391.5</v>
      </c>
      <c r="C179" s="145">
        <v>24852.07101</v>
      </c>
      <c r="D179" s="145">
        <v>24852.07101</v>
      </c>
      <c r="E179" s="146">
        <v>31952.66272</v>
      </c>
      <c r="F179" s="145">
        <v>24852.07101</v>
      </c>
      <c r="G179" s="146">
        <v>35502.95858</v>
      </c>
      <c r="H179" s="146">
        <v>35502.95858</v>
      </c>
      <c r="I179" s="146">
        <v>30177.51479</v>
      </c>
      <c r="J179" s="145">
        <v>33727.81065</v>
      </c>
      <c r="K179" s="145">
        <v>39053.25444</v>
      </c>
      <c r="L179" s="145">
        <v>35502.95858</v>
      </c>
      <c r="M179" s="145">
        <v>42603.5503</v>
      </c>
      <c r="N179" s="145">
        <v>23076.92308</v>
      </c>
      <c r="O179" s="145">
        <v>23076.92308</v>
      </c>
      <c r="P179" s="146">
        <v>17751.47929</v>
      </c>
      <c r="Q179" s="146">
        <v>17751.47929</v>
      </c>
      <c r="R179" s="146">
        <v>19526.62722</v>
      </c>
      <c r="S179" s="146">
        <v>31952.66272</v>
      </c>
    </row>
    <row r="180">
      <c r="A180" s="145">
        <v>10.563</v>
      </c>
      <c r="B180" s="145">
        <f t="shared" si="1"/>
        <v>3411.849</v>
      </c>
      <c r="C180" s="145">
        <v>26627.21894</v>
      </c>
      <c r="D180" s="145">
        <v>24852.07101</v>
      </c>
      <c r="E180" s="146">
        <v>31952.66272</v>
      </c>
      <c r="F180" s="145">
        <v>24852.07101</v>
      </c>
      <c r="G180" s="146">
        <v>35502.95858</v>
      </c>
      <c r="H180" s="146">
        <v>35502.95858</v>
      </c>
      <c r="I180" s="146">
        <v>30177.51479</v>
      </c>
      <c r="J180" s="145">
        <v>33727.81065</v>
      </c>
      <c r="K180" s="145">
        <v>39053.25444</v>
      </c>
      <c r="L180" s="145">
        <v>35502.95858</v>
      </c>
      <c r="M180" s="145">
        <v>42603.5503</v>
      </c>
      <c r="N180" s="145">
        <v>24852.07101</v>
      </c>
      <c r="O180" s="145">
        <v>23076.92308</v>
      </c>
      <c r="P180" s="146">
        <v>17751.47929</v>
      </c>
      <c r="Q180" s="146">
        <v>17751.47929</v>
      </c>
      <c r="R180" s="146">
        <v>19526.62722</v>
      </c>
      <c r="S180" s="146">
        <v>31952.66272</v>
      </c>
    </row>
    <row r="181">
      <c r="A181" s="145">
        <v>10.641</v>
      </c>
      <c r="B181" s="145">
        <f t="shared" si="1"/>
        <v>3437.043</v>
      </c>
      <c r="C181" s="145">
        <v>26627.21894</v>
      </c>
      <c r="D181" s="145">
        <v>24852.07101</v>
      </c>
      <c r="E181" s="146">
        <v>31952.66272</v>
      </c>
      <c r="F181" s="145">
        <v>28402.36686</v>
      </c>
      <c r="G181" s="146">
        <v>35502.95858</v>
      </c>
      <c r="H181" s="146">
        <v>35502.95858</v>
      </c>
      <c r="I181" s="146">
        <v>30177.51479</v>
      </c>
      <c r="J181" s="145">
        <v>33727.81065</v>
      </c>
      <c r="K181" s="145">
        <v>39053.25444</v>
      </c>
      <c r="L181" s="145">
        <v>35502.95858</v>
      </c>
      <c r="M181" s="145">
        <v>42603.5503</v>
      </c>
      <c r="N181" s="145">
        <v>24852.07101</v>
      </c>
      <c r="O181" s="145">
        <v>23076.92308</v>
      </c>
      <c r="P181" s="146">
        <v>17751.47929</v>
      </c>
      <c r="Q181" s="146">
        <v>17751.47929</v>
      </c>
      <c r="R181" s="146">
        <v>19526.62722</v>
      </c>
      <c r="S181" s="146">
        <v>31952.66272</v>
      </c>
    </row>
    <row r="182">
      <c r="A182" s="145">
        <v>10.688</v>
      </c>
      <c r="B182" s="145">
        <f t="shared" si="1"/>
        <v>3452.224</v>
      </c>
      <c r="C182" s="145">
        <v>26627.21894</v>
      </c>
      <c r="D182" s="145">
        <v>24852.07101</v>
      </c>
      <c r="E182" s="146">
        <v>31952.66272</v>
      </c>
      <c r="F182" s="145">
        <v>28402.36686</v>
      </c>
      <c r="G182" s="146">
        <v>35502.95858</v>
      </c>
      <c r="H182" s="146">
        <v>35502.95858</v>
      </c>
      <c r="I182" s="146">
        <v>30177.51479</v>
      </c>
      <c r="J182" s="145">
        <v>33727.81065</v>
      </c>
      <c r="K182" s="145">
        <v>39053.25444</v>
      </c>
      <c r="L182" s="145">
        <v>35502.95858</v>
      </c>
      <c r="M182" s="145">
        <v>42603.5503</v>
      </c>
      <c r="N182" s="145">
        <v>24852.07101</v>
      </c>
      <c r="O182" s="145">
        <v>23076.92308</v>
      </c>
      <c r="P182" s="146">
        <v>17751.47929</v>
      </c>
      <c r="Q182" s="146">
        <v>17751.47929</v>
      </c>
      <c r="R182" s="146">
        <v>19526.62722</v>
      </c>
      <c r="S182" s="146">
        <v>31952.66272</v>
      </c>
    </row>
    <row r="183">
      <c r="A183" s="145">
        <v>10.75</v>
      </c>
      <c r="B183" s="145">
        <f t="shared" si="1"/>
        <v>3472.25</v>
      </c>
      <c r="C183" s="145">
        <v>26627.21894</v>
      </c>
      <c r="D183" s="145">
        <v>24852.07101</v>
      </c>
      <c r="E183" s="146">
        <v>31952.66272</v>
      </c>
      <c r="F183" s="145">
        <v>28402.36686</v>
      </c>
      <c r="G183" s="146">
        <v>35502.95858</v>
      </c>
      <c r="H183" s="146">
        <v>35502.95858</v>
      </c>
      <c r="I183" s="146">
        <v>30177.51479</v>
      </c>
      <c r="J183" s="145">
        <v>33727.81065</v>
      </c>
      <c r="K183" s="145">
        <v>39053.25444</v>
      </c>
      <c r="L183" s="145">
        <v>35502.95858</v>
      </c>
      <c r="M183" s="145">
        <v>42603.5503</v>
      </c>
      <c r="N183" s="145">
        <v>24852.07101</v>
      </c>
      <c r="O183" s="145">
        <v>23076.92308</v>
      </c>
      <c r="P183" s="146">
        <v>17751.47929</v>
      </c>
      <c r="Q183" s="146">
        <v>17751.47929</v>
      </c>
      <c r="R183" s="146">
        <v>19526.62722</v>
      </c>
      <c r="S183" s="146">
        <v>31952.66272</v>
      </c>
    </row>
    <row r="184">
      <c r="A184" s="145">
        <v>10.813</v>
      </c>
      <c r="B184" s="145">
        <f t="shared" si="1"/>
        <v>3492.599</v>
      </c>
      <c r="C184" s="145">
        <v>26627.21894</v>
      </c>
      <c r="D184" s="145">
        <v>24852.07101</v>
      </c>
      <c r="E184" s="146">
        <v>31952.66272</v>
      </c>
      <c r="F184" s="145">
        <v>28402.36686</v>
      </c>
      <c r="G184" s="146">
        <v>35502.95858</v>
      </c>
      <c r="H184" s="146">
        <v>35502.95858</v>
      </c>
      <c r="I184" s="146">
        <v>30177.51479</v>
      </c>
      <c r="J184" s="145">
        <v>33727.81065</v>
      </c>
      <c r="K184" s="145">
        <v>39053.25444</v>
      </c>
      <c r="L184" s="145">
        <v>35502.95858</v>
      </c>
      <c r="M184" s="145">
        <v>42603.5503</v>
      </c>
      <c r="N184" s="145">
        <v>24852.07101</v>
      </c>
      <c r="O184" s="145">
        <v>23076.92308</v>
      </c>
      <c r="P184" s="146">
        <v>17751.47929</v>
      </c>
      <c r="Q184" s="146">
        <v>17751.47929</v>
      </c>
      <c r="R184" s="146">
        <v>19526.62722</v>
      </c>
      <c r="S184" s="146">
        <v>31952.66272</v>
      </c>
    </row>
    <row r="185">
      <c r="A185" s="145">
        <v>10.875</v>
      </c>
      <c r="B185" s="145">
        <f t="shared" si="1"/>
        <v>3512.625</v>
      </c>
      <c r="C185" s="145">
        <v>26627.21894</v>
      </c>
      <c r="D185" s="145">
        <v>26627.21894</v>
      </c>
      <c r="E185" s="146">
        <v>31952.66272</v>
      </c>
      <c r="F185" s="145">
        <v>28402.36686</v>
      </c>
      <c r="G185" s="146">
        <v>35502.95858</v>
      </c>
      <c r="H185" s="146">
        <v>35502.95858</v>
      </c>
      <c r="I185" s="146">
        <v>30177.51479</v>
      </c>
      <c r="J185" s="145">
        <v>33727.81065</v>
      </c>
      <c r="K185" s="145">
        <v>39053.25444</v>
      </c>
      <c r="L185" s="145">
        <v>35502.95858</v>
      </c>
      <c r="M185" s="145">
        <v>42603.5503</v>
      </c>
      <c r="N185" s="145">
        <v>24852.07101</v>
      </c>
      <c r="O185" s="145">
        <v>23076.92308</v>
      </c>
      <c r="P185" s="146">
        <v>17751.47929</v>
      </c>
      <c r="Q185" s="146">
        <v>17751.47929</v>
      </c>
      <c r="R185" s="146">
        <v>19526.62722</v>
      </c>
      <c r="S185" s="146">
        <v>31952.66272</v>
      </c>
    </row>
    <row r="186">
      <c r="A186" s="145">
        <v>10.938</v>
      </c>
      <c r="B186" s="145">
        <f t="shared" si="1"/>
        <v>3532.974</v>
      </c>
      <c r="C186" s="145">
        <v>26627.21894</v>
      </c>
      <c r="D186" s="145">
        <v>26627.21894</v>
      </c>
      <c r="E186" s="146">
        <v>31952.66272</v>
      </c>
      <c r="F186" s="145">
        <v>28402.36686</v>
      </c>
      <c r="G186" s="146">
        <v>40828.40237</v>
      </c>
      <c r="H186" s="146">
        <v>35502.95858</v>
      </c>
      <c r="I186" s="146">
        <v>30177.51479</v>
      </c>
      <c r="J186" s="145">
        <v>33727.81065</v>
      </c>
      <c r="K186" s="145">
        <v>42603.5503</v>
      </c>
      <c r="L186" s="145">
        <v>37278.10651</v>
      </c>
      <c r="M186" s="145">
        <v>42603.5503</v>
      </c>
      <c r="N186" s="145">
        <v>24852.07101</v>
      </c>
      <c r="O186" s="145">
        <v>23076.92308</v>
      </c>
      <c r="P186" s="146">
        <v>17751.47929</v>
      </c>
      <c r="Q186" s="146">
        <v>17751.47929</v>
      </c>
      <c r="R186" s="146">
        <v>19526.62722</v>
      </c>
      <c r="S186" s="146">
        <v>31952.66272</v>
      </c>
    </row>
    <row r="187">
      <c r="A187" s="145">
        <v>11.0</v>
      </c>
      <c r="B187" s="145">
        <f t="shared" si="1"/>
        <v>3553</v>
      </c>
      <c r="C187" s="145">
        <v>26627.21894</v>
      </c>
      <c r="D187" s="145">
        <v>26627.21894</v>
      </c>
      <c r="E187" s="146">
        <v>31952.66272</v>
      </c>
      <c r="F187" s="145">
        <v>28402.36686</v>
      </c>
      <c r="G187" s="146">
        <v>40828.40237</v>
      </c>
      <c r="H187" s="146">
        <v>35502.95858</v>
      </c>
      <c r="I187" s="146">
        <v>30177.51479</v>
      </c>
      <c r="J187" s="145">
        <v>33727.81065</v>
      </c>
      <c r="K187" s="145">
        <v>42603.5503</v>
      </c>
      <c r="L187" s="145">
        <v>37278.10651</v>
      </c>
      <c r="M187" s="145">
        <v>42603.5503</v>
      </c>
      <c r="N187" s="145">
        <v>24852.07101</v>
      </c>
      <c r="O187" s="145">
        <v>23076.92308</v>
      </c>
      <c r="P187" s="146">
        <v>17751.47929</v>
      </c>
      <c r="Q187" s="146">
        <v>17751.47929</v>
      </c>
      <c r="R187" s="146">
        <v>19526.62722</v>
      </c>
      <c r="S187" s="146">
        <v>31952.66272</v>
      </c>
    </row>
    <row r="188">
      <c r="A188" s="145">
        <v>11.063</v>
      </c>
      <c r="B188" s="145">
        <f t="shared" si="1"/>
        <v>3573.349</v>
      </c>
      <c r="C188" s="145">
        <v>28402.36686</v>
      </c>
      <c r="D188" s="145">
        <v>26627.21894</v>
      </c>
      <c r="E188" s="146">
        <v>31952.66272</v>
      </c>
      <c r="F188" s="145">
        <v>28402.36686</v>
      </c>
      <c r="G188" s="146">
        <v>40828.40237</v>
      </c>
      <c r="H188" s="146">
        <v>35502.95858</v>
      </c>
      <c r="I188" s="146">
        <v>31952.66272</v>
      </c>
      <c r="J188" s="145">
        <v>33727.81065</v>
      </c>
      <c r="K188" s="145">
        <v>42603.5503</v>
      </c>
      <c r="L188" s="145">
        <v>37278.10651</v>
      </c>
      <c r="M188" s="145">
        <v>42603.5503</v>
      </c>
      <c r="N188" s="145">
        <v>24852.07101</v>
      </c>
      <c r="O188" s="145">
        <v>23076.92308</v>
      </c>
      <c r="P188" s="146">
        <v>17751.47929</v>
      </c>
      <c r="Q188" s="146">
        <v>17751.47929</v>
      </c>
      <c r="R188" s="146">
        <v>19526.62722</v>
      </c>
      <c r="S188" s="146">
        <v>31952.66272</v>
      </c>
    </row>
    <row r="189">
      <c r="A189" s="145">
        <v>11.125</v>
      </c>
      <c r="B189" s="145">
        <f t="shared" si="1"/>
        <v>3593.375</v>
      </c>
      <c r="C189" s="145">
        <v>28402.36686</v>
      </c>
      <c r="D189" s="145">
        <v>26627.21894</v>
      </c>
      <c r="E189" s="146">
        <v>31952.66272</v>
      </c>
      <c r="F189" s="145">
        <v>28402.36686</v>
      </c>
      <c r="G189" s="146">
        <v>40828.40237</v>
      </c>
      <c r="H189" s="146">
        <v>35502.95858</v>
      </c>
      <c r="I189" s="146">
        <v>31952.66272</v>
      </c>
      <c r="J189" s="145">
        <v>33727.81065</v>
      </c>
      <c r="K189" s="145">
        <v>42603.5503</v>
      </c>
      <c r="L189" s="145">
        <v>37278.10651</v>
      </c>
      <c r="M189" s="145">
        <v>44378.69823</v>
      </c>
      <c r="N189" s="145">
        <v>24852.07101</v>
      </c>
      <c r="O189" s="145">
        <v>23076.92308</v>
      </c>
      <c r="P189" s="146">
        <v>17751.47929</v>
      </c>
      <c r="Q189" s="146">
        <v>17751.47929</v>
      </c>
      <c r="R189" s="146">
        <v>19526.62722</v>
      </c>
      <c r="S189" s="146">
        <v>31952.66272</v>
      </c>
    </row>
    <row r="190">
      <c r="A190" s="145">
        <v>11.188</v>
      </c>
      <c r="B190" s="145">
        <f t="shared" si="1"/>
        <v>3613.724</v>
      </c>
      <c r="C190" s="145">
        <v>28402.36686</v>
      </c>
      <c r="D190" s="145">
        <v>26627.21894</v>
      </c>
      <c r="E190" s="146">
        <v>33727.81065</v>
      </c>
      <c r="F190" s="145">
        <v>28402.36686</v>
      </c>
      <c r="G190" s="146">
        <v>40828.40237</v>
      </c>
      <c r="H190" s="146">
        <v>35502.95858</v>
      </c>
      <c r="I190" s="146">
        <v>31952.66272</v>
      </c>
      <c r="J190" s="145">
        <v>37278.10651</v>
      </c>
      <c r="K190" s="145">
        <v>42603.5503</v>
      </c>
      <c r="L190" s="145">
        <v>37278.10651</v>
      </c>
      <c r="M190" s="145">
        <v>44378.69823</v>
      </c>
      <c r="N190" s="145">
        <v>24852.07101</v>
      </c>
      <c r="O190" s="145">
        <v>23076.92308</v>
      </c>
      <c r="P190" s="146">
        <v>17751.47929</v>
      </c>
      <c r="Q190" s="146">
        <v>17751.47929</v>
      </c>
      <c r="R190" s="146">
        <v>19526.62722</v>
      </c>
      <c r="S190" s="146">
        <v>31952.66272</v>
      </c>
    </row>
    <row r="191">
      <c r="A191" s="145">
        <v>11.25</v>
      </c>
      <c r="B191" s="145">
        <f t="shared" si="1"/>
        <v>3633.75</v>
      </c>
      <c r="C191" s="145">
        <v>28402.36686</v>
      </c>
      <c r="D191" s="145">
        <v>26627.21894</v>
      </c>
      <c r="E191" s="146">
        <v>33727.81065</v>
      </c>
      <c r="F191" s="145">
        <v>28402.36686</v>
      </c>
      <c r="G191" s="146">
        <v>40828.40237</v>
      </c>
      <c r="H191" s="146">
        <v>35502.95858</v>
      </c>
      <c r="I191" s="146">
        <v>31952.66272</v>
      </c>
      <c r="J191" s="145">
        <v>37278.10651</v>
      </c>
      <c r="K191" s="145">
        <v>42603.5503</v>
      </c>
      <c r="L191" s="145">
        <v>37278.10651</v>
      </c>
      <c r="M191" s="145">
        <v>44378.69823</v>
      </c>
      <c r="N191" s="145">
        <v>24852.07101</v>
      </c>
      <c r="O191" s="145">
        <v>23076.92308</v>
      </c>
      <c r="P191" s="146">
        <v>17751.47929</v>
      </c>
      <c r="Q191" s="146">
        <v>17751.47929</v>
      </c>
      <c r="R191" s="146">
        <v>19526.62722</v>
      </c>
      <c r="S191" s="146">
        <v>31952.66272</v>
      </c>
    </row>
    <row r="192">
      <c r="A192" s="145">
        <v>11.313</v>
      </c>
      <c r="B192" s="145">
        <f t="shared" si="1"/>
        <v>3654.099</v>
      </c>
      <c r="C192" s="145">
        <v>28402.36686</v>
      </c>
      <c r="D192" s="145">
        <v>26627.21894</v>
      </c>
      <c r="E192" s="146">
        <v>33727.81065</v>
      </c>
      <c r="F192" s="145">
        <v>28402.36686</v>
      </c>
      <c r="G192" s="146">
        <v>40828.40237</v>
      </c>
      <c r="H192" s="146">
        <v>35502.95858</v>
      </c>
      <c r="I192" s="146">
        <v>31952.66272</v>
      </c>
      <c r="J192" s="145">
        <v>37278.10651</v>
      </c>
      <c r="K192" s="145">
        <v>42603.5503</v>
      </c>
      <c r="L192" s="145">
        <v>37278.10651</v>
      </c>
      <c r="M192" s="145">
        <v>44378.69823</v>
      </c>
      <c r="N192" s="145">
        <v>24852.07101</v>
      </c>
      <c r="O192" s="145">
        <v>23076.92308</v>
      </c>
      <c r="P192" s="146">
        <v>19526.62722</v>
      </c>
      <c r="Q192" s="146">
        <v>17751.47929</v>
      </c>
      <c r="R192" s="146">
        <v>21301.77515</v>
      </c>
      <c r="S192" s="146">
        <v>31952.66272</v>
      </c>
    </row>
    <row r="193">
      <c r="A193" s="145">
        <v>11.375</v>
      </c>
      <c r="B193" s="145">
        <f t="shared" si="1"/>
        <v>3674.125</v>
      </c>
      <c r="C193" s="145">
        <v>28402.36686</v>
      </c>
      <c r="D193" s="145">
        <v>26627.21894</v>
      </c>
      <c r="E193" s="146">
        <v>33727.81065</v>
      </c>
      <c r="F193" s="145">
        <v>28402.36686</v>
      </c>
      <c r="G193" s="146">
        <v>40828.40237</v>
      </c>
      <c r="H193" s="146">
        <v>35502.95858</v>
      </c>
      <c r="I193" s="146">
        <v>31952.66272</v>
      </c>
      <c r="J193" s="145">
        <v>37278.10651</v>
      </c>
      <c r="K193" s="145">
        <v>42603.5503</v>
      </c>
      <c r="L193" s="145">
        <v>37278.10651</v>
      </c>
      <c r="M193" s="145">
        <v>44378.69823</v>
      </c>
      <c r="N193" s="145">
        <v>24852.07101</v>
      </c>
      <c r="O193" s="145">
        <v>23076.92308</v>
      </c>
      <c r="P193" s="146">
        <v>19526.62722</v>
      </c>
      <c r="Q193" s="146">
        <v>17751.47929</v>
      </c>
      <c r="R193" s="146">
        <v>21301.77515</v>
      </c>
      <c r="S193" s="146">
        <v>31952.66272</v>
      </c>
    </row>
    <row r="194">
      <c r="A194" s="145">
        <v>11.438</v>
      </c>
      <c r="B194" s="145">
        <f t="shared" si="1"/>
        <v>3694.474</v>
      </c>
      <c r="C194" s="145">
        <v>28402.36686</v>
      </c>
      <c r="D194" s="145">
        <v>26627.21894</v>
      </c>
      <c r="E194" s="146">
        <v>33727.81065</v>
      </c>
      <c r="F194" s="145">
        <v>28402.36686</v>
      </c>
      <c r="G194" s="146">
        <v>40828.40237</v>
      </c>
      <c r="H194" s="146">
        <v>39053.25444</v>
      </c>
      <c r="I194" s="146">
        <v>31952.66272</v>
      </c>
      <c r="J194" s="145">
        <v>37278.10651</v>
      </c>
      <c r="K194" s="145">
        <v>42603.5503</v>
      </c>
      <c r="L194" s="145">
        <v>37278.10651</v>
      </c>
      <c r="M194" s="145">
        <v>44378.69823</v>
      </c>
      <c r="N194" s="145">
        <v>24852.07101</v>
      </c>
      <c r="O194" s="145">
        <v>23076.92308</v>
      </c>
      <c r="P194" s="146">
        <v>19526.62722</v>
      </c>
      <c r="Q194" s="146">
        <v>17751.47929</v>
      </c>
      <c r="R194" s="146">
        <v>21301.77515</v>
      </c>
      <c r="S194" s="146">
        <v>31952.66272</v>
      </c>
    </row>
    <row r="195">
      <c r="A195" s="145">
        <v>11.5</v>
      </c>
      <c r="B195" s="145">
        <f t="shared" si="1"/>
        <v>3714.5</v>
      </c>
      <c r="C195" s="145">
        <v>30177.51479</v>
      </c>
      <c r="D195" s="145">
        <v>26627.21894</v>
      </c>
      <c r="E195" s="146">
        <v>33727.81065</v>
      </c>
      <c r="F195" s="145">
        <v>28402.36686</v>
      </c>
      <c r="G195" s="146">
        <v>42603.5503</v>
      </c>
      <c r="H195" s="146">
        <v>39053.25444</v>
      </c>
      <c r="I195" s="146">
        <v>31952.66272</v>
      </c>
      <c r="J195" s="145">
        <v>37278.10651</v>
      </c>
      <c r="K195" s="145">
        <v>42603.5503</v>
      </c>
      <c r="L195" s="145">
        <v>39053.25444</v>
      </c>
      <c r="M195" s="145">
        <v>44378.69823</v>
      </c>
      <c r="N195" s="145">
        <v>24852.07101</v>
      </c>
      <c r="O195" s="145">
        <v>24852.07101</v>
      </c>
      <c r="P195" s="146">
        <v>19526.62722</v>
      </c>
      <c r="Q195" s="146">
        <v>17751.47929</v>
      </c>
      <c r="R195" s="146">
        <v>21301.77515</v>
      </c>
      <c r="S195" s="146">
        <v>31952.66272</v>
      </c>
    </row>
    <row r="196">
      <c r="A196" s="145">
        <v>11.563</v>
      </c>
      <c r="B196" s="145">
        <f t="shared" si="1"/>
        <v>3734.849</v>
      </c>
      <c r="C196" s="145">
        <v>30177.51479</v>
      </c>
      <c r="D196" s="145">
        <v>26627.21894</v>
      </c>
      <c r="E196" s="146">
        <v>33727.81065</v>
      </c>
      <c r="F196" s="145">
        <v>28402.36686</v>
      </c>
      <c r="G196" s="146">
        <v>42603.5503</v>
      </c>
      <c r="H196" s="146">
        <v>39053.25444</v>
      </c>
      <c r="I196" s="146">
        <v>35502.95858</v>
      </c>
      <c r="J196" s="145">
        <v>37278.10651</v>
      </c>
      <c r="K196" s="145">
        <v>42603.5503</v>
      </c>
      <c r="L196" s="145">
        <v>39053.25444</v>
      </c>
      <c r="M196" s="145">
        <v>44378.69823</v>
      </c>
      <c r="N196" s="145">
        <v>24852.07101</v>
      </c>
      <c r="O196" s="145">
        <v>24852.07101</v>
      </c>
      <c r="P196" s="146">
        <v>19526.62722</v>
      </c>
      <c r="Q196" s="146">
        <v>17751.47929</v>
      </c>
      <c r="R196" s="146">
        <v>21301.77515</v>
      </c>
      <c r="S196" s="146">
        <v>39053.25444</v>
      </c>
    </row>
    <row r="197">
      <c r="A197" s="145">
        <v>11.641</v>
      </c>
      <c r="B197" s="145">
        <f t="shared" si="1"/>
        <v>3760.043</v>
      </c>
      <c r="C197" s="145">
        <v>30177.51479</v>
      </c>
      <c r="D197" s="145">
        <v>28402.36686</v>
      </c>
      <c r="E197" s="146">
        <v>33727.81065</v>
      </c>
      <c r="F197" s="145">
        <v>28402.36686</v>
      </c>
      <c r="G197" s="146">
        <v>42603.5503</v>
      </c>
      <c r="H197" s="146">
        <v>39053.25444</v>
      </c>
      <c r="I197" s="146">
        <v>35502.95858</v>
      </c>
      <c r="J197" s="145">
        <v>37278.10651</v>
      </c>
      <c r="K197" s="145">
        <v>42603.5503</v>
      </c>
      <c r="L197" s="145">
        <v>39053.25444</v>
      </c>
      <c r="M197" s="145">
        <v>44378.69823</v>
      </c>
      <c r="N197" s="145">
        <v>24852.07101</v>
      </c>
      <c r="O197" s="145">
        <v>24852.07101</v>
      </c>
      <c r="P197" s="146">
        <v>19526.62722</v>
      </c>
      <c r="Q197" s="146">
        <v>17751.47929</v>
      </c>
      <c r="R197" s="146">
        <v>21301.77515</v>
      </c>
      <c r="S197" s="146">
        <v>39053.25444</v>
      </c>
    </row>
    <row r="198">
      <c r="A198" s="145">
        <v>11.688</v>
      </c>
      <c r="B198" s="145">
        <f t="shared" si="1"/>
        <v>3775.224</v>
      </c>
      <c r="C198" s="145">
        <v>30177.51479</v>
      </c>
      <c r="D198" s="145">
        <v>28402.36686</v>
      </c>
      <c r="E198" s="146">
        <v>33727.81065</v>
      </c>
      <c r="F198" s="145">
        <v>28402.36686</v>
      </c>
      <c r="G198" s="146">
        <v>42603.5503</v>
      </c>
      <c r="H198" s="146">
        <v>39053.25444</v>
      </c>
      <c r="I198" s="146">
        <v>35502.95858</v>
      </c>
      <c r="J198" s="145">
        <v>37278.10651</v>
      </c>
      <c r="K198" s="145">
        <v>42603.5503</v>
      </c>
      <c r="L198" s="145">
        <v>39053.25444</v>
      </c>
      <c r="M198" s="145">
        <v>44378.69823</v>
      </c>
      <c r="N198" s="145">
        <v>24852.07101</v>
      </c>
      <c r="O198" s="145">
        <v>24852.07101</v>
      </c>
      <c r="P198" s="146">
        <v>19526.62722</v>
      </c>
      <c r="Q198" s="146">
        <v>17751.47929</v>
      </c>
      <c r="R198" s="146">
        <v>21301.77515</v>
      </c>
      <c r="S198" s="146">
        <v>39053.25444</v>
      </c>
    </row>
    <row r="199">
      <c r="A199" s="145">
        <v>11.75</v>
      </c>
      <c r="B199" s="145">
        <f t="shared" si="1"/>
        <v>3795.25</v>
      </c>
      <c r="C199" s="145">
        <v>30177.51479</v>
      </c>
      <c r="D199" s="145">
        <v>28402.36686</v>
      </c>
      <c r="E199" s="146">
        <v>33727.81065</v>
      </c>
      <c r="F199" s="145">
        <v>28402.36686</v>
      </c>
      <c r="G199" s="146">
        <v>42603.5503</v>
      </c>
      <c r="H199" s="146">
        <v>39053.25444</v>
      </c>
      <c r="I199" s="146">
        <v>35502.95858</v>
      </c>
      <c r="J199" s="145">
        <v>37278.10651</v>
      </c>
      <c r="K199" s="145">
        <v>42603.5503</v>
      </c>
      <c r="L199" s="145">
        <v>39053.25444</v>
      </c>
      <c r="M199" s="145">
        <v>46153.84615</v>
      </c>
      <c r="N199" s="145">
        <v>24852.07101</v>
      </c>
      <c r="O199" s="145">
        <v>24852.07101</v>
      </c>
      <c r="P199" s="146">
        <v>19526.62722</v>
      </c>
      <c r="Q199" s="146">
        <v>17751.47929</v>
      </c>
      <c r="R199" s="146">
        <v>21301.77515</v>
      </c>
      <c r="S199" s="146">
        <v>39053.25444</v>
      </c>
    </row>
    <row r="200">
      <c r="A200" s="145">
        <v>11.813</v>
      </c>
      <c r="B200" s="145">
        <f t="shared" si="1"/>
        <v>3815.599</v>
      </c>
      <c r="C200" s="145">
        <v>30177.51479</v>
      </c>
      <c r="D200" s="145">
        <v>28402.36686</v>
      </c>
      <c r="E200" s="146">
        <v>33727.81065</v>
      </c>
      <c r="F200" s="145">
        <v>28402.36686</v>
      </c>
      <c r="G200" s="146">
        <v>42603.5503</v>
      </c>
      <c r="H200" s="146">
        <v>39053.25444</v>
      </c>
      <c r="I200" s="146">
        <v>35502.95858</v>
      </c>
      <c r="J200" s="145">
        <v>37278.10651</v>
      </c>
      <c r="K200" s="145">
        <v>42603.5503</v>
      </c>
      <c r="L200" s="145">
        <v>39053.25444</v>
      </c>
      <c r="M200" s="145">
        <v>46153.84615</v>
      </c>
      <c r="N200" s="145">
        <v>26627.21894</v>
      </c>
      <c r="O200" s="145">
        <v>24852.07101</v>
      </c>
      <c r="P200" s="146">
        <v>19526.62722</v>
      </c>
      <c r="Q200" s="146">
        <v>19526.62722</v>
      </c>
      <c r="R200" s="146">
        <v>21301.77515</v>
      </c>
      <c r="S200" s="146">
        <v>39053.25444</v>
      </c>
    </row>
    <row r="201">
      <c r="A201" s="145">
        <v>11.875</v>
      </c>
      <c r="B201" s="145">
        <f t="shared" si="1"/>
        <v>3835.625</v>
      </c>
      <c r="C201" s="145">
        <v>30177.51479</v>
      </c>
      <c r="D201" s="145">
        <v>28402.36686</v>
      </c>
      <c r="E201" s="146">
        <v>33727.81065</v>
      </c>
      <c r="F201" s="145">
        <v>30177.51479</v>
      </c>
      <c r="G201" s="146">
        <v>42603.5503</v>
      </c>
      <c r="H201" s="146">
        <v>40828.40237</v>
      </c>
      <c r="I201" s="146">
        <v>35502.95858</v>
      </c>
      <c r="J201" s="145">
        <v>37278.10651</v>
      </c>
      <c r="K201" s="145">
        <v>42603.5503</v>
      </c>
      <c r="L201" s="145">
        <v>39053.25444</v>
      </c>
      <c r="M201" s="145">
        <v>46153.84615</v>
      </c>
      <c r="N201" s="145">
        <v>26627.21894</v>
      </c>
      <c r="O201" s="145">
        <v>24852.07101</v>
      </c>
      <c r="P201" s="146">
        <v>19526.62722</v>
      </c>
      <c r="Q201" s="146">
        <v>19526.62722</v>
      </c>
      <c r="R201" s="146">
        <v>21301.77515</v>
      </c>
      <c r="S201" s="146">
        <v>39053.25444</v>
      </c>
    </row>
    <row r="202">
      <c r="A202" s="145">
        <v>11.954</v>
      </c>
      <c r="B202" s="145">
        <f t="shared" si="1"/>
        <v>3861.142</v>
      </c>
      <c r="C202" s="145">
        <v>30177.51479</v>
      </c>
      <c r="D202" s="145">
        <v>28402.36686</v>
      </c>
      <c r="E202" s="146">
        <v>33727.81065</v>
      </c>
      <c r="F202" s="145">
        <v>30177.51479</v>
      </c>
      <c r="G202" s="146">
        <v>42603.5503</v>
      </c>
      <c r="H202" s="146">
        <v>40828.40237</v>
      </c>
      <c r="I202" s="146">
        <v>35502.95858</v>
      </c>
      <c r="J202" s="145">
        <v>37278.10651</v>
      </c>
      <c r="K202" s="145">
        <v>42603.5503</v>
      </c>
      <c r="L202" s="145">
        <v>39053.25444</v>
      </c>
      <c r="M202" s="145">
        <v>46153.84615</v>
      </c>
      <c r="N202" s="145">
        <v>26627.21894</v>
      </c>
      <c r="O202" s="145">
        <v>24852.07101</v>
      </c>
      <c r="P202" s="146">
        <v>19526.62722</v>
      </c>
      <c r="Q202" s="146">
        <v>19526.62722</v>
      </c>
      <c r="R202" s="146">
        <v>21301.77515</v>
      </c>
      <c r="S202" s="146">
        <v>39053.25444</v>
      </c>
    </row>
    <row r="203">
      <c r="A203" s="145">
        <v>12.0</v>
      </c>
      <c r="B203" s="145">
        <f t="shared" si="1"/>
        <v>3876</v>
      </c>
      <c r="C203" s="145">
        <v>30177.51479</v>
      </c>
      <c r="D203" s="145">
        <v>28402.36686</v>
      </c>
      <c r="E203" s="146">
        <v>33727.81065</v>
      </c>
      <c r="F203" s="145">
        <v>30177.51479</v>
      </c>
      <c r="G203" s="146">
        <v>42603.5503</v>
      </c>
      <c r="H203" s="146">
        <v>40828.40237</v>
      </c>
      <c r="I203" s="146">
        <v>35502.95858</v>
      </c>
      <c r="J203" s="145">
        <v>37278.10651</v>
      </c>
      <c r="K203" s="145">
        <v>42603.5503</v>
      </c>
      <c r="L203" s="145">
        <v>39053.25444</v>
      </c>
      <c r="M203" s="145">
        <v>46153.84615</v>
      </c>
      <c r="N203" s="145">
        <v>26627.21894</v>
      </c>
      <c r="O203" s="145">
        <v>24852.07101</v>
      </c>
      <c r="P203" s="146">
        <v>19526.62722</v>
      </c>
      <c r="Q203" s="146">
        <v>19526.62722</v>
      </c>
      <c r="R203" s="146">
        <v>21301.77515</v>
      </c>
      <c r="S203" s="146">
        <v>39053.25444</v>
      </c>
    </row>
    <row r="204">
      <c r="A204" s="145">
        <v>12.063</v>
      </c>
      <c r="B204" s="145">
        <f t="shared" si="1"/>
        <v>3896.349</v>
      </c>
      <c r="C204" s="145">
        <v>30177.51479</v>
      </c>
      <c r="D204" s="145">
        <v>30177.51479</v>
      </c>
      <c r="E204" s="146">
        <v>33727.81065</v>
      </c>
      <c r="F204" s="145">
        <v>30177.51479</v>
      </c>
      <c r="G204" s="146">
        <v>42603.5503</v>
      </c>
      <c r="H204" s="146">
        <v>40828.40237</v>
      </c>
      <c r="I204" s="146">
        <v>35502.95858</v>
      </c>
      <c r="J204" s="145">
        <v>39053.25444</v>
      </c>
      <c r="K204" s="145">
        <v>42603.5503</v>
      </c>
      <c r="L204" s="145">
        <v>39053.25444</v>
      </c>
      <c r="M204" s="145">
        <v>46153.84615</v>
      </c>
      <c r="N204" s="145">
        <v>26627.21894</v>
      </c>
      <c r="O204" s="145">
        <v>24852.07101</v>
      </c>
      <c r="P204" s="146">
        <v>19526.62722</v>
      </c>
      <c r="Q204" s="146">
        <v>19526.62722</v>
      </c>
      <c r="R204" s="146">
        <v>23076.92308</v>
      </c>
      <c r="S204" s="146">
        <v>39053.25444</v>
      </c>
    </row>
    <row r="205">
      <c r="A205" s="145">
        <v>12.125</v>
      </c>
      <c r="B205" s="145">
        <f t="shared" si="1"/>
        <v>3916.375</v>
      </c>
      <c r="C205" s="145">
        <v>30177.51479</v>
      </c>
      <c r="D205" s="145">
        <v>30177.51479</v>
      </c>
      <c r="E205" s="146">
        <v>33727.81065</v>
      </c>
      <c r="F205" s="145">
        <v>30177.51479</v>
      </c>
      <c r="G205" s="146">
        <v>42603.5503</v>
      </c>
      <c r="H205" s="146">
        <v>40828.40237</v>
      </c>
      <c r="I205" s="146">
        <v>35502.95858</v>
      </c>
      <c r="J205" s="145">
        <v>39053.25444</v>
      </c>
      <c r="K205" s="145">
        <v>42603.5503</v>
      </c>
      <c r="L205" s="145">
        <v>39053.25444</v>
      </c>
      <c r="M205" s="145">
        <v>46153.84615</v>
      </c>
      <c r="N205" s="145">
        <v>26627.21894</v>
      </c>
      <c r="O205" s="145">
        <v>24852.07101</v>
      </c>
      <c r="P205" s="146">
        <v>19526.62722</v>
      </c>
      <c r="Q205" s="146">
        <v>19526.62722</v>
      </c>
      <c r="R205" s="146">
        <v>23076.92308</v>
      </c>
      <c r="S205" s="146">
        <v>39053.25444</v>
      </c>
    </row>
    <row r="206">
      <c r="A206" s="145">
        <v>12.188</v>
      </c>
      <c r="B206" s="145">
        <f t="shared" si="1"/>
        <v>3936.724</v>
      </c>
      <c r="C206" s="145">
        <v>30177.51479</v>
      </c>
      <c r="D206" s="145">
        <v>30177.51479</v>
      </c>
      <c r="E206" s="146">
        <v>33727.81065</v>
      </c>
      <c r="F206" s="145">
        <v>30177.51479</v>
      </c>
      <c r="G206" s="146">
        <v>42603.5503</v>
      </c>
      <c r="H206" s="146">
        <v>40828.40237</v>
      </c>
      <c r="I206" s="146">
        <v>35502.95858</v>
      </c>
      <c r="J206" s="145">
        <v>39053.25444</v>
      </c>
      <c r="K206" s="145">
        <v>42603.5503</v>
      </c>
      <c r="L206" s="145">
        <v>39053.25444</v>
      </c>
      <c r="M206" s="145">
        <v>46153.84615</v>
      </c>
      <c r="N206" s="145">
        <v>26627.21894</v>
      </c>
      <c r="O206" s="145">
        <v>24852.07101</v>
      </c>
      <c r="P206" s="146">
        <v>21301.77515</v>
      </c>
      <c r="Q206" s="146">
        <v>19526.62722</v>
      </c>
      <c r="R206" s="146">
        <v>23076.92308</v>
      </c>
      <c r="S206" s="146">
        <v>39053.25444</v>
      </c>
    </row>
    <row r="207">
      <c r="A207" s="145">
        <v>12.25</v>
      </c>
      <c r="B207" s="145">
        <f t="shared" si="1"/>
        <v>3956.75</v>
      </c>
      <c r="C207" s="145">
        <v>30177.51479</v>
      </c>
      <c r="D207" s="145">
        <v>30177.51479</v>
      </c>
      <c r="E207" s="146">
        <v>33727.81065</v>
      </c>
      <c r="F207" s="145">
        <v>30177.51479</v>
      </c>
      <c r="G207" s="146">
        <v>42603.5503</v>
      </c>
      <c r="H207" s="146">
        <v>40828.40237</v>
      </c>
      <c r="I207" s="146">
        <v>35502.95858</v>
      </c>
      <c r="J207" s="145">
        <v>39053.25444</v>
      </c>
      <c r="K207" s="145">
        <v>42603.5503</v>
      </c>
      <c r="L207" s="145">
        <v>39053.25444</v>
      </c>
      <c r="M207" s="145">
        <v>46153.84615</v>
      </c>
      <c r="N207" s="145">
        <v>26627.21894</v>
      </c>
      <c r="O207" s="145">
        <v>24852.07101</v>
      </c>
      <c r="P207" s="146">
        <v>21301.77515</v>
      </c>
      <c r="Q207" s="146">
        <v>19526.62722</v>
      </c>
      <c r="R207" s="146">
        <v>23076.92308</v>
      </c>
      <c r="S207" s="146">
        <v>40828.40237</v>
      </c>
    </row>
    <row r="208">
      <c r="A208" s="145">
        <v>12.329</v>
      </c>
      <c r="B208" s="145">
        <f t="shared" si="1"/>
        <v>3982.267</v>
      </c>
      <c r="C208" s="145">
        <v>30177.51479</v>
      </c>
      <c r="D208" s="145">
        <v>30177.51479</v>
      </c>
      <c r="E208" s="146">
        <v>33727.81065</v>
      </c>
      <c r="F208" s="145">
        <v>30177.51479</v>
      </c>
      <c r="G208" s="146">
        <v>42603.5503</v>
      </c>
      <c r="H208" s="146">
        <v>42603.5503</v>
      </c>
      <c r="I208" s="146">
        <v>35502.95858</v>
      </c>
      <c r="J208" s="145">
        <v>39053.25444</v>
      </c>
      <c r="K208" s="145">
        <v>42603.5503</v>
      </c>
      <c r="L208" s="145">
        <v>39053.25444</v>
      </c>
      <c r="M208" s="145">
        <v>46153.84615</v>
      </c>
      <c r="N208" s="145">
        <v>26627.21894</v>
      </c>
      <c r="O208" s="145">
        <v>24852.07101</v>
      </c>
      <c r="P208" s="146">
        <v>21301.77515</v>
      </c>
      <c r="Q208" s="146">
        <v>19526.62722</v>
      </c>
      <c r="R208" s="146">
        <v>23076.92308</v>
      </c>
      <c r="S208" s="146">
        <v>40828.40237</v>
      </c>
    </row>
    <row r="209">
      <c r="A209" s="145">
        <v>12.375</v>
      </c>
      <c r="B209" s="145">
        <f t="shared" si="1"/>
        <v>3997.125</v>
      </c>
      <c r="C209" s="145">
        <v>30177.51479</v>
      </c>
      <c r="D209" s="145">
        <v>30177.51479</v>
      </c>
      <c r="E209" s="146">
        <v>33727.81065</v>
      </c>
      <c r="F209" s="145">
        <v>30177.51479</v>
      </c>
      <c r="G209" s="146">
        <v>42603.5503</v>
      </c>
      <c r="H209" s="146">
        <v>42603.5503</v>
      </c>
      <c r="I209" s="146">
        <v>35502.95858</v>
      </c>
      <c r="J209" s="145">
        <v>39053.25444</v>
      </c>
      <c r="K209" s="145">
        <v>42603.5503</v>
      </c>
      <c r="L209" s="145">
        <v>39053.25444</v>
      </c>
      <c r="M209" s="145">
        <v>46153.84615</v>
      </c>
      <c r="N209" s="145">
        <v>26627.21894</v>
      </c>
      <c r="O209" s="145">
        <v>26627.21894</v>
      </c>
      <c r="P209" s="146">
        <v>21301.77515</v>
      </c>
      <c r="Q209" s="146">
        <v>19526.62722</v>
      </c>
      <c r="R209" s="146">
        <v>23076.92308</v>
      </c>
      <c r="S209" s="146">
        <v>40828.40237</v>
      </c>
    </row>
    <row r="210">
      <c r="A210" s="145">
        <v>12.438</v>
      </c>
      <c r="B210" s="145">
        <f t="shared" si="1"/>
        <v>4017.474</v>
      </c>
      <c r="C210" s="145">
        <v>30177.51479</v>
      </c>
      <c r="D210" s="145">
        <v>30177.51479</v>
      </c>
      <c r="E210" s="146">
        <v>33727.81065</v>
      </c>
      <c r="F210" s="145">
        <v>30177.51479</v>
      </c>
      <c r="G210" s="146">
        <v>44378.69823</v>
      </c>
      <c r="H210" s="146">
        <v>42603.5503</v>
      </c>
      <c r="I210" s="146">
        <v>35502.95858</v>
      </c>
      <c r="J210" s="145">
        <v>39053.25444</v>
      </c>
      <c r="K210" s="145">
        <v>42603.5503</v>
      </c>
      <c r="L210" s="145">
        <v>39053.25444</v>
      </c>
      <c r="M210" s="145">
        <v>47928.99408</v>
      </c>
      <c r="N210" s="145">
        <v>26627.21894</v>
      </c>
      <c r="O210" s="145">
        <v>26627.21894</v>
      </c>
      <c r="P210" s="146">
        <v>21301.77515</v>
      </c>
      <c r="Q210" s="146">
        <v>19526.62722</v>
      </c>
      <c r="R210" s="146">
        <v>23076.92308</v>
      </c>
      <c r="S210" s="146">
        <v>40828.40237</v>
      </c>
    </row>
    <row r="211">
      <c r="A211" s="145">
        <v>12.5</v>
      </c>
      <c r="B211" s="145">
        <f t="shared" si="1"/>
        <v>4037.5</v>
      </c>
      <c r="C211" s="145">
        <v>30177.51479</v>
      </c>
      <c r="D211" s="145">
        <v>30177.51479</v>
      </c>
      <c r="E211" s="146">
        <v>33727.81065</v>
      </c>
      <c r="F211" s="145">
        <v>30177.51479</v>
      </c>
      <c r="G211" s="146">
        <v>44378.69823</v>
      </c>
      <c r="H211" s="146">
        <v>42603.5503</v>
      </c>
      <c r="I211" s="146">
        <v>35502.95858</v>
      </c>
      <c r="J211" s="145">
        <v>39053.25444</v>
      </c>
      <c r="K211" s="145">
        <v>42603.5503</v>
      </c>
      <c r="L211" s="145">
        <v>39053.25444</v>
      </c>
      <c r="M211" s="145">
        <v>47928.99408</v>
      </c>
      <c r="N211" s="145">
        <v>26627.21894</v>
      </c>
      <c r="O211" s="145">
        <v>26627.21894</v>
      </c>
      <c r="P211" s="146">
        <v>21301.77515</v>
      </c>
      <c r="Q211" s="146">
        <v>21301.77515</v>
      </c>
      <c r="R211" s="146">
        <v>23076.92308</v>
      </c>
      <c r="S211" s="146">
        <v>40828.40237</v>
      </c>
    </row>
    <row r="212">
      <c r="A212" s="145">
        <v>12.563</v>
      </c>
      <c r="B212" s="145">
        <f t="shared" si="1"/>
        <v>4057.849</v>
      </c>
      <c r="C212" s="145">
        <v>30177.51479</v>
      </c>
      <c r="D212" s="145">
        <v>31952.66272</v>
      </c>
      <c r="E212" s="146">
        <v>33727.81065</v>
      </c>
      <c r="F212" s="145">
        <v>30177.51479</v>
      </c>
      <c r="G212" s="146">
        <v>44378.69823</v>
      </c>
      <c r="H212" s="146">
        <v>42603.5503</v>
      </c>
      <c r="I212" s="146">
        <v>35502.95858</v>
      </c>
      <c r="J212" s="145">
        <v>42603.5503</v>
      </c>
      <c r="K212" s="145">
        <v>42603.5503</v>
      </c>
      <c r="L212" s="145">
        <v>39053.25444</v>
      </c>
      <c r="M212" s="145">
        <v>49704.14201</v>
      </c>
      <c r="N212" s="145">
        <v>26627.21894</v>
      </c>
      <c r="O212" s="145">
        <v>26627.21894</v>
      </c>
      <c r="P212" s="146">
        <v>21301.77515</v>
      </c>
      <c r="Q212" s="146">
        <v>21301.77515</v>
      </c>
      <c r="R212" s="146">
        <v>23076.92308</v>
      </c>
      <c r="S212" s="146">
        <v>40828.40237</v>
      </c>
    </row>
    <row r="213">
      <c r="A213" s="145">
        <v>12.625</v>
      </c>
      <c r="B213" s="145">
        <f t="shared" si="1"/>
        <v>4077.875</v>
      </c>
      <c r="C213" s="145">
        <v>30177.51479</v>
      </c>
      <c r="D213" s="145">
        <v>31952.66272</v>
      </c>
      <c r="E213" s="146">
        <v>33727.81065</v>
      </c>
      <c r="F213" s="145">
        <v>30177.51479</v>
      </c>
      <c r="G213" s="146">
        <v>44378.69823</v>
      </c>
      <c r="H213" s="146">
        <v>42603.5503</v>
      </c>
      <c r="I213" s="146">
        <v>35502.95858</v>
      </c>
      <c r="J213" s="145">
        <v>42603.5503</v>
      </c>
      <c r="K213" s="145">
        <v>42603.5503</v>
      </c>
      <c r="L213" s="145">
        <v>39053.25444</v>
      </c>
      <c r="M213" s="145">
        <v>49704.14201</v>
      </c>
      <c r="N213" s="145">
        <v>26627.21894</v>
      </c>
      <c r="O213" s="145">
        <v>26627.21894</v>
      </c>
      <c r="P213" s="146">
        <v>21301.77515</v>
      </c>
      <c r="Q213" s="146">
        <v>21301.77515</v>
      </c>
      <c r="R213" s="146">
        <v>23076.92308</v>
      </c>
      <c r="S213" s="146">
        <v>40828.40237</v>
      </c>
    </row>
    <row r="214">
      <c r="A214" s="145">
        <v>12.704</v>
      </c>
      <c r="B214" s="145">
        <f t="shared" si="1"/>
        <v>4103.392</v>
      </c>
      <c r="C214" s="145">
        <v>30177.51479</v>
      </c>
      <c r="D214" s="145">
        <v>31952.66272</v>
      </c>
      <c r="E214" s="146">
        <v>33727.81065</v>
      </c>
      <c r="F214" s="145">
        <v>33727.81065</v>
      </c>
      <c r="G214" s="146">
        <v>44378.69823</v>
      </c>
      <c r="H214" s="146">
        <v>42603.5503</v>
      </c>
      <c r="I214" s="146">
        <v>35502.95858</v>
      </c>
      <c r="J214" s="145">
        <v>42603.5503</v>
      </c>
      <c r="K214" s="145">
        <v>42603.5503</v>
      </c>
      <c r="L214" s="145">
        <v>39053.25444</v>
      </c>
      <c r="M214" s="145">
        <v>49704.14201</v>
      </c>
      <c r="N214" s="145">
        <v>26627.21894</v>
      </c>
      <c r="O214" s="145">
        <v>26627.21894</v>
      </c>
      <c r="P214" s="146">
        <v>21301.77515</v>
      </c>
      <c r="Q214" s="146">
        <v>21301.77515</v>
      </c>
      <c r="R214" s="146">
        <v>23076.92308</v>
      </c>
      <c r="S214" s="146">
        <v>40828.40237</v>
      </c>
    </row>
    <row r="215">
      <c r="A215" s="145">
        <v>12.75</v>
      </c>
      <c r="B215" s="145">
        <f t="shared" si="1"/>
        <v>4118.25</v>
      </c>
      <c r="C215" s="145">
        <v>30177.51479</v>
      </c>
      <c r="D215" s="145">
        <v>31952.66272</v>
      </c>
      <c r="E215" s="146">
        <v>35502.95858</v>
      </c>
      <c r="F215" s="145">
        <v>33727.81065</v>
      </c>
      <c r="G215" s="146">
        <v>44378.69823</v>
      </c>
      <c r="H215" s="146">
        <v>42603.5503</v>
      </c>
      <c r="I215" s="146">
        <v>35502.95858</v>
      </c>
      <c r="J215" s="145">
        <v>42603.5503</v>
      </c>
      <c r="K215" s="145">
        <v>42603.5503</v>
      </c>
      <c r="L215" s="145">
        <v>39053.25444</v>
      </c>
      <c r="M215" s="145">
        <v>49704.14201</v>
      </c>
      <c r="N215" s="145">
        <v>26627.21894</v>
      </c>
      <c r="O215" s="145">
        <v>26627.21894</v>
      </c>
      <c r="P215" s="146">
        <v>21301.77515</v>
      </c>
      <c r="Q215" s="146">
        <v>21301.77515</v>
      </c>
      <c r="R215" s="146">
        <v>23076.92308</v>
      </c>
      <c r="S215" s="146">
        <v>40828.40237</v>
      </c>
    </row>
    <row r="216">
      <c r="A216" s="145">
        <v>12.813</v>
      </c>
      <c r="B216" s="145">
        <f t="shared" si="1"/>
        <v>4138.599</v>
      </c>
      <c r="C216" s="145">
        <v>31952.66272</v>
      </c>
      <c r="D216" s="145">
        <v>31952.66272</v>
      </c>
      <c r="E216" s="146">
        <v>35502.95858</v>
      </c>
      <c r="F216" s="145">
        <v>33727.81065</v>
      </c>
      <c r="G216" s="146">
        <v>44378.69823</v>
      </c>
      <c r="H216" s="146">
        <v>42603.5503</v>
      </c>
      <c r="I216" s="146">
        <v>35502.95858</v>
      </c>
      <c r="J216" s="145">
        <v>42603.5503</v>
      </c>
      <c r="K216" s="145">
        <v>42603.5503</v>
      </c>
      <c r="L216" s="145">
        <v>39053.25444</v>
      </c>
      <c r="M216" s="145">
        <v>49704.14201</v>
      </c>
      <c r="N216" s="145">
        <v>28402.36686</v>
      </c>
      <c r="O216" s="145">
        <v>26627.21894</v>
      </c>
      <c r="P216" s="146">
        <v>21301.77515</v>
      </c>
      <c r="Q216" s="146">
        <v>21301.77515</v>
      </c>
      <c r="R216" s="146">
        <v>23076.92308</v>
      </c>
      <c r="S216" s="146">
        <v>40828.40237</v>
      </c>
    </row>
    <row r="217">
      <c r="A217" s="145">
        <v>12.875</v>
      </c>
      <c r="B217" s="145">
        <f t="shared" si="1"/>
        <v>4158.625</v>
      </c>
      <c r="C217" s="145">
        <v>31952.66272</v>
      </c>
      <c r="D217" s="145">
        <v>31952.66272</v>
      </c>
      <c r="E217" s="146">
        <v>35502.95858</v>
      </c>
      <c r="F217" s="145">
        <v>33727.81065</v>
      </c>
      <c r="G217" s="146">
        <v>44378.69823</v>
      </c>
      <c r="H217" s="146">
        <v>42603.5503</v>
      </c>
      <c r="I217" s="146">
        <v>39053.25444</v>
      </c>
      <c r="J217" s="145">
        <v>42603.5503</v>
      </c>
      <c r="K217" s="145">
        <v>42603.5503</v>
      </c>
      <c r="L217" s="145">
        <v>39053.25444</v>
      </c>
      <c r="M217" s="145">
        <v>49704.14201</v>
      </c>
      <c r="N217" s="145">
        <v>28402.36686</v>
      </c>
      <c r="O217" s="145">
        <v>26627.21894</v>
      </c>
      <c r="P217" s="146">
        <v>21301.77515</v>
      </c>
      <c r="Q217" s="146">
        <v>21301.77515</v>
      </c>
      <c r="R217" s="146">
        <v>24852.07101</v>
      </c>
      <c r="S217" s="146">
        <v>40828.40237</v>
      </c>
    </row>
    <row r="218">
      <c r="A218" s="145">
        <v>12.938</v>
      </c>
      <c r="B218" s="145">
        <f t="shared" si="1"/>
        <v>4178.974</v>
      </c>
      <c r="C218" s="145">
        <v>31952.66272</v>
      </c>
      <c r="D218" s="145">
        <v>31952.66272</v>
      </c>
      <c r="E218" s="146">
        <v>35502.95858</v>
      </c>
      <c r="F218" s="145">
        <v>33727.81065</v>
      </c>
      <c r="G218" s="146">
        <v>44378.69823</v>
      </c>
      <c r="H218" s="146">
        <v>42603.5503</v>
      </c>
      <c r="I218" s="146">
        <v>39053.25444</v>
      </c>
      <c r="J218" s="145">
        <v>42603.5503</v>
      </c>
      <c r="K218" s="145">
        <v>42603.5503</v>
      </c>
      <c r="L218" s="145">
        <v>39053.25444</v>
      </c>
      <c r="M218" s="145">
        <v>49704.14201</v>
      </c>
      <c r="N218" s="145">
        <v>28402.36686</v>
      </c>
      <c r="O218" s="145">
        <v>26627.21894</v>
      </c>
      <c r="P218" s="146">
        <v>21301.77515</v>
      </c>
      <c r="Q218" s="146">
        <v>21301.77515</v>
      </c>
      <c r="R218" s="146">
        <v>24852.07101</v>
      </c>
      <c r="S218" s="146">
        <v>42603.5503</v>
      </c>
    </row>
    <row r="219">
      <c r="A219" s="145">
        <v>13.016</v>
      </c>
      <c r="B219" s="145">
        <f t="shared" si="1"/>
        <v>4204.168</v>
      </c>
      <c r="C219" s="145">
        <v>31952.66272</v>
      </c>
      <c r="D219" s="145">
        <v>33727.81065</v>
      </c>
      <c r="E219" s="146">
        <v>35502.95858</v>
      </c>
      <c r="F219" s="145">
        <v>33727.81065</v>
      </c>
      <c r="G219" s="146">
        <v>44378.69823</v>
      </c>
      <c r="H219" s="146">
        <v>42603.5503</v>
      </c>
      <c r="I219" s="146">
        <v>39053.25444</v>
      </c>
      <c r="J219" s="145">
        <v>42603.5503</v>
      </c>
      <c r="K219" s="145">
        <v>42603.5503</v>
      </c>
      <c r="L219" s="145">
        <v>42603.5503</v>
      </c>
      <c r="M219" s="145">
        <v>49704.14201</v>
      </c>
      <c r="N219" s="145">
        <v>28402.36686</v>
      </c>
      <c r="O219" s="145">
        <v>26627.21894</v>
      </c>
      <c r="P219" s="146">
        <v>21301.77515</v>
      </c>
      <c r="Q219" s="146">
        <v>21301.77515</v>
      </c>
      <c r="R219" s="146">
        <v>24852.07101</v>
      </c>
      <c r="S219" s="146">
        <v>42603.5503</v>
      </c>
    </row>
    <row r="220">
      <c r="A220" s="145">
        <v>13.063</v>
      </c>
      <c r="B220" s="145">
        <f t="shared" si="1"/>
        <v>4219.349</v>
      </c>
      <c r="C220" s="145">
        <v>31952.66272</v>
      </c>
      <c r="D220" s="145">
        <v>33727.81065</v>
      </c>
      <c r="E220" s="146">
        <v>35502.95858</v>
      </c>
      <c r="F220" s="145">
        <v>33727.81065</v>
      </c>
      <c r="G220" s="146">
        <v>44378.69823</v>
      </c>
      <c r="H220" s="146">
        <v>42603.5503</v>
      </c>
      <c r="I220" s="146">
        <v>39053.25444</v>
      </c>
      <c r="J220" s="145">
        <v>42603.5503</v>
      </c>
      <c r="K220" s="145">
        <v>42603.5503</v>
      </c>
      <c r="L220" s="145">
        <v>42603.5503</v>
      </c>
      <c r="M220" s="145">
        <v>49704.14201</v>
      </c>
      <c r="N220" s="145">
        <v>28402.36686</v>
      </c>
      <c r="O220" s="145">
        <v>26627.21894</v>
      </c>
      <c r="P220" s="146">
        <v>21301.77515</v>
      </c>
      <c r="Q220" s="146">
        <v>21301.77515</v>
      </c>
      <c r="R220" s="146">
        <v>24852.07101</v>
      </c>
      <c r="S220" s="146">
        <v>42603.5503</v>
      </c>
    </row>
    <row r="221">
      <c r="A221" s="145">
        <v>13.125</v>
      </c>
      <c r="B221" s="145">
        <f t="shared" si="1"/>
        <v>4239.375</v>
      </c>
      <c r="C221" s="145">
        <v>33727.81065</v>
      </c>
      <c r="D221" s="145">
        <v>33727.81065</v>
      </c>
      <c r="E221" s="146">
        <v>35502.95858</v>
      </c>
      <c r="F221" s="145">
        <v>33727.81065</v>
      </c>
      <c r="G221" s="146">
        <v>44378.69823</v>
      </c>
      <c r="H221" s="146">
        <v>42603.5503</v>
      </c>
      <c r="I221" s="146">
        <v>39053.25444</v>
      </c>
      <c r="J221" s="145">
        <v>42603.5503</v>
      </c>
      <c r="K221" s="145">
        <v>42603.5503</v>
      </c>
      <c r="L221" s="145">
        <v>42603.5503</v>
      </c>
      <c r="M221" s="145">
        <v>49704.14201</v>
      </c>
      <c r="N221" s="145">
        <v>28402.36686</v>
      </c>
      <c r="O221" s="145">
        <v>26627.21894</v>
      </c>
      <c r="P221" s="146">
        <v>21301.77515</v>
      </c>
      <c r="Q221" s="146">
        <v>23076.92308</v>
      </c>
      <c r="R221" s="146">
        <v>24852.07101</v>
      </c>
      <c r="S221" s="146">
        <v>42603.5503</v>
      </c>
    </row>
    <row r="222">
      <c r="A222" s="145">
        <v>13.188</v>
      </c>
      <c r="B222" s="145">
        <f t="shared" si="1"/>
        <v>4259.724</v>
      </c>
      <c r="C222" s="145">
        <v>33727.81065</v>
      </c>
      <c r="D222" s="145">
        <v>33727.81065</v>
      </c>
      <c r="E222" s="146">
        <v>35502.95858</v>
      </c>
      <c r="F222" s="145">
        <v>33727.81065</v>
      </c>
      <c r="G222" s="146">
        <v>44378.69823</v>
      </c>
      <c r="H222" s="146">
        <v>42603.5503</v>
      </c>
      <c r="I222" s="146">
        <v>39053.25444</v>
      </c>
      <c r="J222" s="145">
        <v>42603.5503</v>
      </c>
      <c r="K222" s="145">
        <v>42603.5503</v>
      </c>
      <c r="L222" s="145">
        <v>42603.5503</v>
      </c>
      <c r="M222" s="145">
        <v>49704.14201</v>
      </c>
      <c r="N222" s="145">
        <v>28402.36686</v>
      </c>
      <c r="O222" s="145">
        <v>26627.21894</v>
      </c>
      <c r="P222" s="146">
        <v>21301.77515</v>
      </c>
      <c r="Q222" s="146">
        <v>23076.92308</v>
      </c>
      <c r="R222" s="146">
        <v>24852.07101</v>
      </c>
      <c r="S222" s="146">
        <v>42603.5503</v>
      </c>
    </row>
    <row r="223">
      <c r="A223" s="145">
        <v>13.25</v>
      </c>
      <c r="B223" s="145">
        <f t="shared" si="1"/>
        <v>4279.75</v>
      </c>
      <c r="C223" s="145">
        <v>33727.81065</v>
      </c>
      <c r="D223" s="145">
        <v>33727.81065</v>
      </c>
      <c r="E223" s="146">
        <v>35502.95858</v>
      </c>
      <c r="F223" s="145">
        <v>33727.81065</v>
      </c>
      <c r="G223" s="146">
        <v>44378.69823</v>
      </c>
      <c r="H223" s="146">
        <v>42603.5503</v>
      </c>
      <c r="I223" s="146">
        <v>39053.25444</v>
      </c>
      <c r="J223" s="145">
        <v>42603.5503</v>
      </c>
      <c r="K223" s="145">
        <v>42603.5503</v>
      </c>
      <c r="L223" s="145">
        <v>42603.5503</v>
      </c>
      <c r="M223" s="145">
        <v>49704.14201</v>
      </c>
      <c r="N223" s="145">
        <v>28402.36686</v>
      </c>
      <c r="O223" s="145">
        <v>26627.21894</v>
      </c>
      <c r="P223" s="146">
        <v>21301.77515</v>
      </c>
      <c r="Q223" s="146">
        <v>23076.92308</v>
      </c>
      <c r="R223" s="146">
        <v>24852.07101</v>
      </c>
      <c r="S223" s="146">
        <v>42603.5503</v>
      </c>
    </row>
    <row r="224">
      <c r="A224" s="145">
        <v>13.329</v>
      </c>
      <c r="B224" s="145">
        <f t="shared" si="1"/>
        <v>4305.267</v>
      </c>
      <c r="C224" s="145">
        <v>33727.81065</v>
      </c>
      <c r="D224" s="145">
        <v>33727.81065</v>
      </c>
      <c r="E224" s="146">
        <v>35502.95858</v>
      </c>
      <c r="F224" s="145">
        <v>33727.81065</v>
      </c>
      <c r="G224" s="146">
        <v>44378.69823</v>
      </c>
      <c r="H224" s="146">
        <v>42603.5503</v>
      </c>
      <c r="I224" s="146">
        <v>39053.25444</v>
      </c>
      <c r="J224" s="145">
        <v>42603.5503</v>
      </c>
      <c r="K224" s="145">
        <v>56804.73373</v>
      </c>
      <c r="L224" s="145">
        <v>42603.5503</v>
      </c>
      <c r="M224" s="145">
        <v>49704.14201</v>
      </c>
      <c r="N224" s="145">
        <v>28402.36686</v>
      </c>
      <c r="O224" s="145">
        <v>26627.21894</v>
      </c>
      <c r="P224" s="146">
        <v>23076.92308</v>
      </c>
      <c r="Q224" s="146">
        <v>23076.92308</v>
      </c>
      <c r="R224" s="146">
        <v>24852.07101</v>
      </c>
      <c r="S224" s="146">
        <v>42603.5503</v>
      </c>
    </row>
    <row r="225">
      <c r="A225" s="145">
        <v>13.375</v>
      </c>
      <c r="B225" s="145">
        <f t="shared" si="1"/>
        <v>4320.125</v>
      </c>
      <c r="C225" s="145">
        <v>33727.81065</v>
      </c>
      <c r="D225" s="145">
        <v>33727.81065</v>
      </c>
      <c r="E225" s="146">
        <v>35502.95858</v>
      </c>
      <c r="F225" s="145">
        <v>33727.81065</v>
      </c>
      <c r="G225" s="146">
        <v>44378.69823</v>
      </c>
      <c r="H225" s="146">
        <v>42603.5503</v>
      </c>
      <c r="I225" s="146">
        <v>39053.25444</v>
      </c>
      <c r="J225" s="145">
        <v>42603.5503</v>
      </c>
      <c r="K225" s="145">
        <v>56804.73373</v>
      </c>
      <c r="L225" s="145">
        <v>42603.5503</v>
      </c>
      <c r="M225" s="145">
        <v>49704.14201</v>
      </c>
      <c r="N225" s="145">
        <v>30177.51479</v>
      </c>
      <c r="O225" s="145">
        <v>26627.21894</v>
      </c>
      <c r="P225" s="146">
        <v>23076.92308</v>
      </c>
      <c r="Q225" s="146">
        <v>23076.92308</v>
      </c>
      <c r="R225" s="146">
        <v>24852.07101</v>
      </c>
      <c r="S225" s="146">
        <v>42603.5503</v>
      </c>
    </row>
    <row r="226">
      <c r="A226" s="145">
        <v>13.438</v>
      </c>
      <c r="B226" s="145">
        <f t="shared" si="1"/>
        <v>4340.474</v>
      </c>
      <c r="C226" s="145">
        <v>33727.81065</v>
      </c>
      <c r="D226" s="145">
        <v>33727.81065</v>
      </c>
      <c r="E226" s="146">
        <v>35502.95858</v>
      </c>
      <c r="F226" s="145">
        <v>33727.81065</v>
      </c>
      <c r="G226" s="146">
        <v>44378.69823</v>
      </c>
      <c r="H226" s="146">
        <v>46153.84615</v>
      </c>
      <c r="I226" s="146">
        <v>39053.25444</v>
      </c>
      <c r="J226" s="145">
        <v>42603.5503</v>
      </c>
      <c r="K226" s="145">
        <v>56804.73373</v>
      </c>
      <c r="L226" s="145">
        <v>42603.5503</v>
      </c>
      <c r="M226" s="145">
        <v>49704.14201</v>
      </c>
      <c r="N226" s="145">
        <v>30177.51479</v>
      </c>
      <c r="O226" s="145">
        <v>26627.21894</v>
      </c>
      <c r="P226" s="146">
        <v>23076.92308</v>
      </c>
      <c r="Q226" s="146">
        <v>23076.92308</v>
      </c>
      <c r="R226" s="146">
        <v>24852.07101</v>
      </c>
      <c r="S226" s="146">
        <v>42603.5503</v>
      </c>
    </row>
    <row r="227">
      <c r="A227" s="145">
        <v>13.5</v>
      </c>
      <c r="B227" s="145">
        <f t="shared" si="1"/>
        <v>4360.5</v>
      </c>
      <c r="C227" s="145">
        <v>33727.81065</v>
      </c>
      <c r="D227" s="145">
        <v>33727.81065</v>
      </c>
      <c r="E227" s="146">
        <v>37278.10651</v>
      </c>
      <c r="F227" s="145">
        <v>33727.81065</v>
      </c>
      <c r="G227" s="146">
        <v>44378.69823</v>
      </c>
      <c r="H227" s="146">
        <v>46153.84615</v>
      </c>
      <c r="I227" s="146">
        <v>39053.25444</v>
      </c>
      <c r="J227" s="145">
        <v>42603.5503</v>
      </c>
      <c r="K227" s="145">
        <v>56804.73373</v>
      </c>
      <c r="L227" s="145">
        <v>42603.5503</v>
      </c>
      <c r="M227" s="145">
        <v>49704.14201</v>
      </c>
      <c r="N227" s="145">
        <v>30177.51479</v>
      </c>
      <c r="O227" s="145">
        <v>26627.21894</v>
      </c>
      <c r="P227" s="146">
        <v>23076.92308</v>
      </c>
      <c r="Q227" s="146">
        <v>23076.92308</v>
      </c>
      <c r="R227" s="146">
        <v>24852.07101</v>
      </c>
      <c r="S227" s="146">
        <v>42603.5503</v>
      </c>
    </row>
    <row r="228">
      <c r="A228" s="145">
        <v>13.563</v>
      </c>
      <c r="B228" s="145">
        <f t="shared" si="1"/>
        <v>4380.849</v>
      </c>
      <c r="C228" s="145">
        <v>33727.81065</v>
      </c>
      <c r="D228" s="145">
        <v>33727.81065</v>
      </c>
      <c r="E228" s="146">
        <v>37278.10651</v>
      </c>
      <c r="F228" s="145">
        <v>33727.81065</v>
      </c>
      <c r="G228" s="146">
        <v>44378.69823</v>
      </c>
      <c r="H228" s="146">
        <v>46153.84615</v>
      </c>
      <c r="I228" s="146">
        <v>39053.25444</v>
      </c>
      <c r="J228" s="145">
        <v>42603.5503</v>
      </c>
      <c r="K228" s="145">
        <v>56804.73373</v>
      </c>
      <c r="L228" s="145">
        <v>42603.5503</v>
      </c>
      <c r="M228" s="145">
        <v>49704.14201</v>
      </c>
      <c r="N228" s="145">
        <v>30177.51479</v>
      </c>
      <c r="O228" s="145">
        <v>26627.21894</v>
      </c>
      <c r="P228" s="146">
        <v>23076.92308</v>
      </c>
      <c r="Q228" s="146">
        <v>23076.92308</v>
      </c>
      <c r="R228" s="146">
        <v>24852.07101</v>
      </c>
      <c r="S228" s="146">
        <v>42603.5503</v>
      </c>
    </row>
    <row r="229">
      <c r="A229" s="145">
        <v>13.641</v>
      </c>
      <c r="B229" s="145">
        <f t="shared" si="1"/>
        <v>4406.043</v>
      </c>
      <c r="C229" s="145">
        <v>33727.81065</v>
      </c>
      <c r="D229" s="145">
        <v>33727.81065</v>
      </c>
      <c r="E229" s="146">
        <v>37278.10651</v>
      </c>
      <c r="F229" s="145">
        <v>33727.81065</v>
      </c>
      <c r="G229" s="146">
        <v>44378.69823</v>
      </c>
      <c r="H229" s="146">
        <v>46153.84615</v>
      </c>
      <c r="I229" s="146">
        <v>40828.40237</v>
      </c>
      <c r="J229" s="145">
        <v>42603.5503</v>
      </c>
      <c r="K229" s="145">
        <v>58579.88166</v>
      </c>
      <c r="L229" s="145">
        <v>42603.5503</v>
      </c>
      <c r="M229" s="145">
        <v>49704.14201</v>
      </c>
      <c r="N229" s="145">
        <v>31952.66272</v>
      </c>
      <c r="O229" s="145">
        <v>28402.36686</v>
      </c>
      <c r="P229" s="146">
        <v>23076.92308</v>
      </c>
      <c r="Q229" s="146">
        <v>23076.92308</v>
      </c>
      <c r="R229" s="146">
        <v>24852.07101</v>
      </c>
      <c r="S229" s="146">
        <v>42603.5503</v>
      </c>
    </row>
    <row r="230">
      <c r="A230" s="145">
        <v>13.688</v>
      </c>
      <c r="B230" s="145">
        <f t="shared" si="1"/>
        <v>4421.224</v>
      </c>
      <c r="C230" s="145">
        <v>33727.81065</v>
      </c>
      <c r="D230" s="145">
        <v>33727.81065</v>
      </c>
      <c r="E230" s="146">
        <v>37278.10651</v>
      </c>
      <c r="F230" s="145">
        <v>33727.81065</v>
      </c>
      <c r="G230" s="146">
        <v>49704.14201</v>
      </c>
      <c r="H230" s="146">
        <v>46153.84615</v>
      </c>
      <c r="I230" s="146">
        <v>40828.40237</v>
      </c>
      <c r="J230" s="145">
        <v>42603.5503</v>
      </c>
      <c r="K230" s="145">
        <v>58579.88166</v>
      </c>
      <c r="L230" s="145">
        <v>42603.5503</v>
      </c>
      <c r="M230" s="145">
        <v>49704.14201</v>
      </c>
      <c r="N230" s="145">
        <v>31952.66272</v>
      </c>
      <c r="O230" s="145">
        <v>28402.36686</v>
      </c>
      <c r="P230" s="146">
        <v>23076.92308</v>
      </c>
      <c r="Q230" s="146">
        <v>23076.92308</v>
      </c>
      <c r="R230" s="146">
        <v>24852.07101</v>
      </c>
      <c r="S230" s="146">
        <v>42603.5503</v>
      </c>
    </row>
    <row r="231">
      <c r="A231" s="145">
        <v>13.75</v>
      </c>
      <c r="B231" s="145">
        <f t="shared" si="1"/>
        <v>4441.25</v>
      </c>
      <c r="C231" s="145">
        <v>33727.81065</v>
      </c>
      <c r="D231" s="145">
        <v>33727.81065</v>
      </c>
      <c r="E231" s="146">
        <v>37278.10651</v>
      </c>
      <c r="F231" s="145">
        <v>33727.81065</v>
      </c>
      <c r="G231" s="146">
        <v>49704.14201</v>
      </c>
      <c r="H231" s="146">
        <v>46153.84615</v>
      </c>
      <c r="I231" s="146">
        <v>40828.40237</v>
      </c>
      <c r="J231" s="145">
        <v>42603.5503</v>
      </c>
      <c r="K231" s="145">
        <v>58579.88166</v>
      </c>
      <c r="L231" s="145">
        <v>42603.5503</v>
      </c>
      <c r="M231" s="145">
        <v>49704.14201</v>
      </c>
      <c r="N231" s="145">
        <v>31952.66272</v>
      </c>
      <c r="O231" s="145">
        <v>28402.36686</v>
      </c>
      <c r="P231" s="146">
        <v>23076.92308</v>
      </c>
      <c r="Q231" s="146">
        <v>23076.92308</v>
      </c>
      <c r="R231" s="146">
        <v>24852.07101</v>
      </c>
      <c r="S231" s="146">
        <v>42603.5503</v>
      </c>
    </row>
    <row r="232">
      <c r="A232" s="145">
        <v>13.813</v>
      </c>
      <c r="B232" s="145">
        <f t="shared" si="1"/>
        <v>4461.599</v>
      </c>
      <c r="C232" s="145">
        <v>33727.81065</v>
      </c>
      <c r="D232" s="145">
        <v>33727.81065</v>
      </c>
      <c r="E232" s="146">
        <v>37278.10651</v>
      </c>
      <c r="F232" s="145">
        <v>33727.81065</v>
      </c>
      <c r="G232" s="146">
        <v>49704.14201</v>
      </c>
      <c r="H232" s="146">
        <v>46153.84615</v>
      </c>
      <c r="I232" s="146">
        <v>40828.40237</v>
      </c>
      <c r="J232" s="145">
        <v>42603.5503</v>
      </c>
      <c r="K232" s="145">
        <v>58579.88166</v>
      </c>
      <c r="L232" s="145">
        <v>42603.5503</v>
      </c>
      <c r="M232" s="145">
        <v>49704.14201</v>
      </c>
      <c r="N232" s="145">
        <v>31952.66272</v>
      </c>
      <c r="O232" s="145">
        <v>28402.36686</v>
      </c>
      <c r="P232" s="146">
        <v>23076.92308</v>
      </c>
      <c r="Q232" s="146">
        <v>23076.92308</v>
      </c>
      <c r="R232" s="146">
        <v>24852.07101</v>
      </c>
      <c r="S232" s="146">
        <v>42603.5503</v>
      </c>
    </row>
    <row r="233">
      <c r="A233" s="145">
        <v>13.875</v>
      </c>
      <c r="B233" s="145">
        <f t="shared" si="1"/>
        <v>4481.625</v>
      </c>
      <c r="C233" s="145">
        <v>33727.81065</v>
      </c>
      <c r="D233" s="145">
        <v>33727.81065</v>
      </c>
      <c r="E233" s="146">
        <v>37278.10651</v>
      </c>
      <c r="F233" s="145">
        <v>33727.81065</v>
      </c>
      <c r="G233" s="146">
        <v>49704.14201</v>
      </c>
      <c r="H233" s="146">
        <v>46153.84615</v>
      </c>
      <c r="I233" s="146">
        <v>40828.40237</v>
      </c>
      <c r="J233" s="145">
        <v>42603.5503</v>
      </c>
      <c r="K233" s="145">
        <v>58579.88166</v>
      </c>
      <c r="L233" s="145">
        <v>42603.5503</v>
      </c>
      <c r="M233" s="145">
        <v>49704.14201</v>
      </c>
      <c r="N233" s="145">
        <v>31952.66272</v>
      </c>
      <c r="O233" s="145">
        <v>28402.36686</v>
      </c>
      <c r="P233" s="146">
        <v>23076.92308</v>
      </c>
      <c r="Q233" s="146">
        <v>23076.92308</v>
      </c>
      <c r="R233" s="146">
        <v>24852.07101</v>
      </c>
      <c r="S233" s="146">
        <v>42603.5503</v>
      </c>
    </row>
    <row r="234">
      <c r="A234" s="145">
        <v>13.938</v>
      </c>
      <c r="B234" s="145">
        <f t="shared" si="1"/>
        <v>4501.974</v>
      </c>
      <c r="C234" s="145">
        <v>33727.81065</v>
      </c>
      <c r="D234" s="145">
        <v>33727.81065</v>
      </c>
      <c r="E234" s="146">
        <v>37278.10651</v>
      </c>
      <c r="F234" s="145">
        <v>33727.81065</v>
      </c>
      <c r="G234" s="146">
        <v>49704.14201</v>
      </c>
      <c r="H234" s="146">
        <v>46153.84615</v>
      </c>
      <c r="I234" s="146">
        <v>40828.40237</v>
      </c>
      <c r="J234" s="145">
        <v>44378.69823</v>
      </c>
      <c r="K234" s="145">
        <v>58579.88166</v>
      </c>
      <c r="L234" s="145">
        <v>42603.5503</v>
      </c>
      <c r="M234" s="145">
        <v>49704.14201</v>
      </c>
      <c r="N234" s="145">
        <v>31952.66272</v>
      </c>
      <c r="O234" s="145">
        <v>28402.36686</v>
      </c>
      <c r="P234" s="146">
        <v>23076.92308</v>
      </c>
      <c r="Q234" s="146">
        <v>23076.92308</v>
      </c>
      <c r="R234" s="146">
        <v>24852.07101</v>
      </c>
      <c r="S234" s="146">
        <v>42603.5503</v>
      </c>
    </row>
    <row r="235">
      <c r="A235" s="145">
        <v>14.0</v>
      </c>
      <c r="B235" s="145">
        <f t="shared" si="1"/>
        <v>4522</v>
      </c>
      <c r="C235" s="145">
        <v>33727.81065</v>
      </c>
      <c r="D235" s="145">
        <v>33727.81065</v>
      </c>
      <c r="E235" s="146">
        <v>39053.25444</v>
      </c>
      <c r="F235" s="145">
        <v>33727.81065</v>
      </c>
      <c r="G235" s="146">
        <v>49704.14201</v>
      </c>
      <c r="H235" s="146">
        <v>46153.84615</v>
      </c>
      <c r="I235" s="146">
        <v>40828.40237</v>
      </c>
      <c r="J235" s="145">
        <v>44378.69823</v>
      </c>
      <c r="K235" s="145">
        <v>58579.88166</v>
      </c>
      <c r="L235" s="145">
        <v>42603.5503</v>
      </c>
      <c r="M235" s="145">
        <v>49704.14201</v>
      </c>
      <c r="N235" s="145">
        <v>31952.66272</v>
      </c>
      <c r="O235" s="145">
        <v>28402.36686</v>
      </c>
      <c r="P235" s="146">
        <v>23076.92308</v>
      </c>
      <c r="Q235" s="146">
        <v>24852.07101</v>
      </c>
      <c r="R235" s="146">
        <v>24852.07101</v>
      </c>
      <c r="S235" s="146">
        <v>42603.5503</v>
      </c>
    </row>
    <row r="236">
      <c r="A236" s="145">
        <v>14.063</v>
      </c>
      <c r="B236" s="145">
        <f t="shared" si="1"/>
        <v>4542.349</v>
      </c>
      <c r="C236" s="145">
        <v>33727.81065</v>
      </c>
      <c r="D236" s="145">
        <v>33727.81065</v>
      </c>
      <c r="E236" s="146">
        <v>39053.25444</v>
      </c>
      <c r="F236" s="145">
        <v>33727.81065</v>
      </c>
      <c r="G236" s="146">
        <v>49704.14201</v>
      </c>
      <c r="H236" s="146">
        <v>46153.84615</v>
      </c>
      <c r="I236" s="146">
        <v>40828.40237</v>
      </c>
      <c r="J236" s="145">
        <v>44378.69823</v>
      </c>
      <c r="K236" s="145">
        <v>58579.88166</v>
      </c>
      <c r="L236" s="145">
        <v>42603.5503</v>
      </c>
      <c r="M236" s="145">
        <v>51479.28994</v>
      </c>
      <c r="N236" s="145">
        <v>33727.81065</v>
      </c>
      <c r="O236" s="145">
        <v>28402.36686</v>
      </c>
      <c r="P236" s="146">
        <v>23076.92308</v>
      </c>
      <c r="Q236" s="146">
        <v>24852.07101</v>
      </c>
      <c r="R236" s="146">
        <v>24852.07101</v>
      </c>
      <c r="S236" s="146">
        <v>42603.5503</v>
      </c>
    </row>
    <row r="237">
      <c r="A237" s="145">
        <v>14.125</v>
      </c>
      <c r="B237" s="145">
        <f t="shared" si="1"/>
        <v>4562.375</v>
      </c>
      <c r="C237" s="145">
        <v>33727.81065</v>
      </c>
      <c r="D237" s="145">
        <v>33727.81065</v>
      </c>
      <c r="E237" s="146">
        <v>39053.25444</v>
      </c>
      <c r="F237" s="145">
        <v>33727.81065</v>
      </c>
      <c r="G237" s="146">
        <v>49704.14201</v>
      </c>
      <c r="H237" s="146">
        <v>46153.84615</v>
      </c>
      <c r="I237" s="146">
        <v>40828.40237</v>
      </c>
      <c r="J237" s="145">
        <v>44378.69823</v>
      </c>
      <c r="K237" s="145">
        <v>58579.88166</v>
      </c>
      <c r="L237" s="145">
        <v>42603.5503</v>
      </c>
      <c r="M237" s="145">
        <v>51479.28994</v>
      </c>
      <c r="N237" s="145">
        <v>33727.81065</v>
      </c>
      <c r="O237" s="145">
        <v>28402.36686</v>
      </c>
      <c r="P237" s="146">
        <v>23076.92308</v>
      </c>
      <c r="Q237" s="146">
        <v>24852.07101</v>
      </c>
      <c r="R237" s="146">
        <v>24852.07101</v>
      </c>
      <c r="S237" s="146">
        <v>42603.5503</v>
      </c>
    </row>
    <row r="238">
      <c r="A238" s="145">
        <v>14.188</v>
      </c>
      <c r="B238" s="145">
        <f t="shared" si="1"/>
        <v>4582.724</v>
      </c>
      <c r="C238" s="145">
        <v>33727.81065</v>
      </c>
      <c r="D238" s="145">
        <v>33727.81065</v>
      </c>
      <c r="E238" s="146">
        <v>39053.25444</v>
      </c>
      <c r="F238" s="145">
        <v>33727.81065</v>
      </c>
      <c r="G238" s="146">
        <v>49704.14201</v>
      </c>
      <c r="H238" s="146">
        <v>46153.84615</v>
      </c>
      <c r="I238" s="146">
        <v>40828.40237</v>
      </c>
      <c r="J238" s="145">
        <v>44378.69823</v>
      </c>
      <c r="K238" s="145">
        <v>58579.88166</v>
      </c>
      <c r="L238" s="145">
        <v>42603.5503</v>
      </c>
      <c r="M238" s="145">
        <v>51479.28994</v>
      </c>
      <c r="N238" s="145">
        <v>33727.81065</v>
      </c>
      <c r="O238" s="145">
        <v>28402.36686</v>
      </c>
      <c r="P238" s="146">
        <v>23076.92308</v>
      </c>
      <c r="Q238" s="146">
        <v>24852.07101</v>
      </c>
      <c r="R238" s="146">
        <v>24852.07101</v>
      </c>
      <c r="S238" s="146">
        <v>42603.5503</v>
      </c>
    </row>
    <row r="239">
      <c r="A239" s="145">
        <v>14.266</v>
      </c>
      <c r="B239" s="145">
        <f t="shared" si="1"/>
        <v>4607.918</v>
      </c>
      <c r="C239" s="145">
        <v>33727.81065</v>
      </c>
      <c r="D239" s="145">
        <v>33727.81065</v>
      </c>
      <c r="E239" s="146">
        <v>39053.25444</v>
      </c>
      <c r="F239" s="145">
        <v>33727.81065</v>
      </c>
      <c r="G239" s="146">
        <v>49704.14201</v>
      </c>
      <c r="H239" s="146">
        <v>46153.84615</v>
      </c>
      <c r="I239" s="146">
        <v>40828.40237</v>
      </c>
      <c r="J239" s="145">
        <v>44378.69823</v>
      </c>
      <c r="K239" s="145">
        <v>58579.88166</v>
      </c>
      <c r="L239" s="145">
        <v>42603.5503</v>
      </c>
      <c r="M239" s="145">
        <v>51479.28994</v>
      </c>
      <c r="N239" s="145">
        <v>33727.81065</v>
      </c>
      <c r="O239" s="145">
        <v>28402.36686</v>
      </c>
      <c r="P239" s="146">
        <v>23076.92308</v>
      </c>
      <c r="Q239" s="146">
        <v>24852.07101</v>
      </c>
      <c r="R239" s="146">
        <v>24852.07101</v>
      </c>
      <c r="S239" s="146">
        <v>42603.5503</v>
      </c>
    </row>
    <row r="240">
      <c r="A240" s="145">
        <v>14.313</v>
      </c>
      <c r="B240" s="145">
        <f t="shared" si="1"/>
        <v>4623.099</v>
      </c>
      <c r="C240" s="145">
        <v>33727.81065</v>
      </c>
      <c r="D240" s="145">
        <v>35502.95858</v>
      </c>
      <c r="E240" s="146">
        <v>39053.25444</v>
      </c>
      <c r="F240" s="145">
        <v>33727.81065</v>
      </c>
      <c r="G240" s="146">
        <v>49704.14201</v>
      </c>
      <c r="H240" s="146">
        <v>46153.84615</v>
      </c>
      <c r="I240" s="146">
        <v>40828.40237</v>
      </c>
      <c r="J240" s="145">
        <v>44378.69823</v>
      </c>
      <c r="K240" s="145">
        <v>58579.88166</v>
      </c>
      <c r="L240" s="145">
        <v>44378.69823</v>
      </c>
      <c r="M240" s="145">
        <v>51479.28994</v>
      </c>
      <c r="N240" s="145">
        <v>33727.81065</v>
      </c>
      <c r="O240" s="145">
        <v>28402.36686</v>
      </c>
      <c r="P240" s="146">
        <v>24852.07101</v>
      </c>
      <c r="Q240" s="146">
        <v>24852.07101</v>
      </c>
      <c r="R240" s="146">
        <v>24852.07101</v>
      </c>
      <c r="S240" s="146">
        <v>42603.5503</v>
      </c>
    </row>
    <row r="241">
      <c r="A241" s="145">
        <v>14.375</v>
      </c>
      <c r="B241" s="145">
        <f t="shared" si="1"/>
        <v>4643.125</v>
      </c>
      <c r="C241" s="145">
        <v>33727.81065</v>
      </c>
      <c r="D241" s="145">
        <v>35502.95858</v>
      </c>
      <c r="E241" s="146">
        <v>39053.25444</v>
      </c>
      <c r="F241" s="145">
        <v>33727.81065</v>
      </c>
      <c r="G241" s="146">
        <v>49704.14201</v>
      </c>
      <c r="H241" s="146">
        <v>49704.14201</v>
      </c>
      <c r="I241" s="146">
        <v>40828.40237</v>
      </c>
      <c r="J241" s="145">
        <v>44378.69823</v>
      </c>
      <c r="K241" s="145">
        <v>58579.88166</v>
      </c>
      <c r="L241" s="145">
        <v>44378.69823</v>
      </c>
      <c r="M241" s="145">
        <v>51479.28994</v>
      </c>
      <c r="N241" s="145">
        <v>33727.81065</v>
      </c>
      <c r="O241" s="145">
        <v>30177.51479</v>
      </c>
      <c r="P241" s="146">
        <v>24852.07101</v>
      </c>
      <c r="Q241" s="146">
        <v>24852.07101</v>
      </c>
      <c r="R241" s="146">
        <v>24852.07101</v>
      </c>
      <c r="S241" s="146">
        <v>42603.5503</v>
      </c>
    </row>
    <row r="242">
      <c r="A242" s="145">
        <v>14.438</v>
      </c>
      <c r="B242" s="145">
        <f t="shared" si="1"/>
        <v>4663.474</v>
      </c>
      <c r="C242" s="145">
        <v>33727.81065</v>
      </c>
      <c r="D242" s="145">
        <v>35502.95858</v>
      </c>
      <c r="E242" s="146">
        <v>39053.25444</v>
      </c>
      <c r="F242" s="145">
        <v>33727.81065</v>
      </c>
      <c r="G242" s="146">
        <v>49704.14201</v>
      </c>
      <c r="H242" s="146">
        <v>49704.14201</v>
      </c>
      <c r="I242" s="146">
        <v>40828.40237</v>
      </c>
      <c r="J242" s="145">
        <v>44378.69823</v>
      </c>
      <c r="K242" s="145">
        <v>58579.88166</v>
      </c>
      <c r="L242" s="145">
        <v>44378.69823</v>
      </c>
      <c r="M242" s="145">
        <v>51479.28994</v>
      </c>
      <c r="N242" s="145">
        <v>33727.81065</v>
      </c>
      <c r="O242" s="145">
        <v>30177.51479</v>
      </c>
      <c r="P242" s="146">
        <v>24852.07101</v>
      </c>
      <c r="Q242" s="146">
        <v>24852.07101</v>
      </c>
      <c r="R242" s="146">
        <v>24852.07101</v>
      </c>
      <c r="S242" s="146">
        <v>42603.5503</v>
      </c>
    </row>
    <row r="243">
      <c r="A243" s="145">
        <v>14.5</v>
      </c>
      <c r="B243" s="145">
        <f t="shared" si="1"/>
        <v>4683.5</v>
      </c>
      <c r="C243" s="145">
        <v>33727.81065</v>
      </c>
      <c r="D243" s="145">
        <v>35502.95858</v>
      </c>
      <c r="E243" s="146">
        <v>39053.25444</v>
      </c>
      <c r="F243" s="145">
        <v>33727.81065</v>
      </c>
      <c r="G243" s="146">
        <v>49704.14201</v>
      </c>
      <c r="H243" s="146">
        <v>49704.14201</v>
      </c>
      <c r="I243" s="146">
        <v>40828.40237</v>
      </c>
      <c r="J243" s="145">
        <v>46153.84615</v>
      </c>
      <c r="K243" s="145">
        <v>58579.88166</v>
      </c>
      <c r="L243" s="145">
        <v>44378.69823</v>
      </c>
      <c r="M243" s="145">
        <v>51479.28994</v>
      </c>
      <c r="N243" s="145">
        <v>33727.81065</v>
      </c>
      <c r="O243" s="145">
        <v>30177.51479</v>
      </c>
      <c r="P243" s="146">
        <v>24852.07101</v>
      </c>
      <c r="Q243" s="146">
        <v>24852.07101</v>
      </c>
      <c r="R243" s="146">
        <v>24852.07101</v>
      </c>
      <c r="S243" s="146">
        <v>42603.5503</v>
      </c>
    </row>
    <row r="244">
      <c r="A244" s="145">
        <v>14.563</v>
      </c>
      <c r="B244" s="145">
        <f t="shared" si="1"/>
        <v>4703.849</v>
      </c>
      <c r="C244" s="145">
        <v>33727.81065</v>
      </c>
      <c r="D244" s="145">
        <v>35502.95858</v>
      </c>
      <c r="E244" s="146">
        <v>39053.25444</v>
      </c>
      <c r="F244" s="145">
        <v>37278.10651</v>
      </c>
      <c r="G244" s="146">
        <v>49704.14201</v>
      </c>
      <c r="H244" s="146">
        <v>49704.14201</v>
      </c>
      <c r="I244" s="146">
        <v>40828.40237</v>
      </c>
      <c r="J244" s="145">
        <v>46153.84615</v>
      </c>
      <c r="K244" s="145">
        <v>58579.88166</v>
      </c>
      <c r="L244" s="145">
        <v>44378.69823</v>
      </c>
      <c r="M244" s="145">
        <v>51479.28994</v>
      </c>
      <c r="N244" s="145">
        <v>33727.81065</v>
      </c>
      <c r="O244" s="145">
        <v>30177.51479</v>
      </c>
      <c r="P244" s="146">
        <v>24852.07101</v>
      </c>
      <c r="Q244" s="146">
        <v>24852.07101</v>
      </c>
      <c r="R244" s="146">
        <v>26627.21894</v>
      </c>
      <c r="S244" s="146">
        <v>42603.5503</v>
      </c>
    </row>
    <row r="245">
      <c r="A245" s="145">
        <v>14.625</v>
      </c>
      <c r="B245" s="145">
        <f t="shared" si="1"/>
        <v>4723.875</v>
      </c>
      <c r="C245" s="145">
        <v>33727.81065</v>
      </c>
      <c r="D245" s="145">
        <v>37278.10651</v>
      </c>
      <c r="E245" s="146">
        <v>39053.25444</v>
      </c>
      <c r="F245" s="145">
        <v>37278.10651</v>
      </c>
      <c r="G245" s="146">
        <v>51479.28994</v>
      </c>
      <c r="H245" s="146">
        <v>49704.14201</v>
      </c>
      <c r="I245" s="146">
        <v>40828.40237</v>
      </c>
      <c r="J245" s="145">
        <v>46153.84615</v>
      </c>
      <c r="K245" s="145">
        <v>58579.88166</v>
      </c>
      <c r="L245" s="145">
        <v>44378.69823</v>
      </c>
      <c r="M245" s="145">
        <v>51479.28994</v>
      </c>
      <c r="N245" s="145">
        <v>33727.81065</v>
      </c>
      <c r="O245" s="145">
        <v>30177.51479</v>
      </c>
      <c r="P245" s="146">
        <v>24852.07101</v>
      </c>
      <c r="Q245" s="146">
        <v>24852.07101</v>
      </c>
      <c r="R245" s="146">
        <v>26627.21894</v>
      </c>
      <c r="S245" s="146">
        <v>42603.5503</v>
      </c>
    </row>
    <row r="246">
      <c r="A246" s="145">
        <v>14.704</v>
      </c>
      <c r="B246" s="145">
        <f t="shared" si="1"/>
        <v>4749.392</v>
      </c>
      <c r="C246" s="145">
        <v>33727.81065</v>
      </c>
      <c r="D246" s="145">
        <v>37278.10651</v>
      </c>
      <c r="E246" s="146">
        <v>39053.25444</v>
      </c>
      <c r="F246" s="145">
        <v>37278.10651</v>
      </c>
      <c r="G246" s="146">
        <v>51479.28994</v>
      </c>
      <c r="H246" s="146">
        <v>49704.14201</v>
      </c>
      <c r="I246" s="146">
        <v>40828.40237</v>
      </c>
      <c r="J246" s="145">
        <v>46153.84615</v>
      </c>
      <c r="K246" s="145">
        <v>58579.88166</v>
      </c>
      <c r="L246" s="145">
        <v>44378.69823</v>
      </c>
      <c r="M246" s="145">
        <v>51479.28994</v>
      </c>
      <c r="N246" s="145">
        <v>33727.81065</v>
      </c>
      <c r="O246" s="145">
        <v>30177.51479</v>
      </c>
      <c r="P246" s="146">
        <v>24852.07101</v>
      </c>
      <c r="Q246" s="146">
        <v>24852.07101</v>
      </c>
      <c r="R246" s="146">
        <v>26627.21894</v>
      </c>
      <c r="S246" s="146">
        <v>42603.5503</v>
      </c>
    </row>
    <row r="247">
      <c r="A247" s="145">
        <v>14.75</v>
      </c>
      <c r="B247" s="145">
        <f t="shared" si="1"/>
        <v>4764.25</v>
      </c>
      <c r="C247" s="145">
        <v>33727.81065</v>
      </c>
      <c r="D247" s="145">
        <v>37278.10651</v>
      </c>
      <c r="E247" s="146">
        <v>39053.25444</v>
      </c>
      <c r="F247" s="145">
        <v>37278.10651</v>
      </c>
      <c r="G247" s="146">
        <v>51479.28994</v>
      </c>
      <c r="H247" s="146">
        <v>49704.14201</v>
      </c>
      <c r="I247" s="146">
        <v>40828.40237</v>
      </c>
      <c r="J247" s="145">
        <v>46153.84615</v>
      </c>
      <c r="K247" s="145">
        <v>58579.88166</v>
      </c>
      <c r="L247" s="145">
        <v>44378.69823</v>
      </c>
      <c r="M247" s="145">
        <v>51479.28994</v>
      </c>
      <c r="N247" s="145">
        <v>33727.81065</v>
      </c>
      <c r="O247" s="145">
        <v>30177.51479</v>
      </c>
      <c r="P247" s="146">
        <v>24852.07101</v>
      </c>
      <c r="Q247" s="146">
        <v>24852.07101</v>
      </c>
      <c r="R247" s="146">
        <v>26627.21894</v>
      </c>
      <c r="S247" s="146">
        <v>42603.5503</v>
      </c>
    </row>
    <row r="248">
      <c r="A248" s="145">
        <v>14.813</v>
      </c>
      <c r="B248" s="145">
        <f t="shared" si="1"/>
        <v>4784.599</v>
      </c>
      <c r="C248" s="145">
        <v>33727.81065</v>
      </c>
      <c r="D248" s="145">
        <v>37278.10651</v>
      </c>
      <c r="E248" s="146">
        <v>40828.40237</v>
      </c>
      <c r="F248" s="145">
        <v>37278.10651</v>
      </c>
      <c r="G248" s="146">
        <v>53254.43787</v>
      </c>
      <c r="H248" s="146">
        <v>49704.14201</v>
      </c>
      <c r="I248" s="146">
        <v>40828.40237</v>
      </c>
      <c r="J248" s="145">
        <v>46153.84615</v>
      </c>
      <c r="K248" s="145">
        <v>58579.88166</v>
      </c>
      <c r="L248" s="145">
        <v>44378.69823</v>
      </c>
      <c r="M248" s="145">
        <v>51479.28994</v>
      </c>
      <c r="N248" s="145">
        <v>33727.81065</v>
      </c>
      <c r="O248" s="145">
        <v>30177.51479</v>
      </c>
      <c r="P248" s="146">
        <v>24852.07101</v>
      </c>
      <c r="Q248" s="146">
        <v>24852.07101</v>
      </c>
      <c r="R248" s="146">
        <v>26627.21894</v>
      </c>
      <c r="S248" s="146">
        <v>42603.5503</v>
      </c>
    </row>
    <row r="249">
      <c r="A249" s="145">
        <v>14.875</v>
      </c>
      <c r="B249" s="145">
        <f t="shared" si="1"/>
        <v>4804.625</v>
      </c>
      <c r="C249" s="145">
        <v>33727.81065</v>
      </c>
      <c r="D249" s="145">
        <v>37278.10651</v>
      </c>
      <c r="E249" s="146">
        <v>40828.40237</v>
      </c>
      <c r="F249" s="145">
        <v>37278.10651</v>
      </c>
      <c r="G249" s="146">
        <v>53254.43787</v>
      </c>
      <c r="H249" s="146">
        <v>49704.14201</v>
      </c>
      <c r="I249" s="146">
        <v>40828.40237</v>
      </c>
      <c r="J249" s="145">
        <v>46153.84615</v>
      </c>
      <c r="K249" s="145">
        <v>58579.88166</v>
      </c>
      <c r="L249" s="145">
        <v>44378.69823</v>
      </c>
      <c r="M249" s="145">
        <v>51479.28994</v>
      </c>
      <c r="N249" s="145">
        <v>33727.81065</v>
      </c>
      <c r="O249" s="145">
        <v>30177.51479</v>
      </c>
      <c r="P249" s="146">
        <v>24852.07101</v>
      </c>
      <c r="Q249" s="146">
        <v>24852.07101</v>
      </c>
      <c r="R249" s="146">
        <v>26627.21894</v>
      </c>
      <c r="S249" s="146">
        <v>42603.5503</v>
      </c>
    </row>
    <row r="250">
      <c r="A250" s="145">
        <v>14.938</v>
      </c>
      <c r="B250" s="145">
        <f t="shared" si="1"/>
        <v>4824.974</v>
      </c>
      <c r="C250" s="145">
        <v>33727.81065</v>
      </c>
      <c r="D250" s="145">
        <v>37278.10651</v>
      </c>
      <c r="E250" s="146">
        <v>40828.40237</v>
      </c>
      <c r="F250" s="145">
        <v>37278.10651</v>
      </c>
      <c r="G250" s="146">
        <v>53254.43787</v>
      </c>
      <c r="H250" s="146">
        <v>49704.14201</v>
      </c>
      <c r="I250" s="146">
        <v>40828.40237</v>
      </c>
      <c r="J250" s="145">
        <v>46153.84615</v>
      </c>
      <c r="K250" s="145">
        <v>58579.88166</v>
      </c>
      <c r="L250" s="145">
        <v>44378.69823</v>
      </c>
      <c r="M250" s="145">
        <v>51479.28994</v>
      </c>
      <c r="N250" s="145">
        <v>35502.95858</v>
      </c>
      <c r="O250" s="145">
        <v>30177.51479</v>
      </c>
      <c r="P250" s="146">
        <v>24852.07101</v>
      </c>
      <c r="Q250" s="146">
        <v>24852.07101</v>
      </c>
      <c r="R250" s="146">
        <v>26627.21894</v>
      </c>
      <c r="S250" s="146">
        <v>42603.5503</v>
      </c>
    </row>
    <row r="251">
      <c r="A251" s="145">
        <v>15.0</v>
      </c>
      <c r="B251" s="145">
        <f t="shared" si="1"/>
        <v>4845</v>
      </c>
      <c r="C251" s="145">
        <v>33727.81065</v>
      </c>
      <c r="D251" s="145">
        <v>37278.10651</v>
      </c>
      <c r="E251" s="146">
        <v>40828.40237</v>
      </c>
      <c r="F251" s="145">
        <v>37278.10651</v>
      </c>
      <c r="G251" s="146">
        <v>53254.43787</v>
      </c>
      <c r="H251" s="146">
        <v>49704.14201</v>
      </c>
      <c r="I251" s="146">
        <v>40828.40237</v>
      </c>
      <c r="J251" s="145">
        <v>46153.84615</v>
      </c>
      <c r="K251" s="145">
        <v>58579.88166</v>
      </c>
      <c r="L251" s="145">
        <v>44378.69823</v>
      </c>
      <c r="M251" s="145">
        <v>51479.28994</v>
      </c>
      <c r="N251" s="145">
        <v>35502.95858</v>
      </c>
      <c r="O251" s="145">
        <v>30177.51479</v>
      </c>
      <c r="P251" s="146">
        <v>24852.07101</v>
      </c>
      <c r="Q251" s="146">
        <v>24852.07101</v>
      </c>
      <c r="R251" s="146">
        <v>28402.36686</v>
      </c>
      <c r="S251" s="146">
        <v>42603.5503</v>
      </c>
    </row>
    <row r="252">
      <c r="A252" s="145">
        <v>15.063</v>
      </c>
      <c r="B252" s="145">
        <f t="shared" si="1"/>
        <v>4865.349</v>
      </c>
      <c r="C252" s="145">
        <v>33727.81065</v>
      </c>
      <c r="D252" s="145">
        <v>37278.10651</v>
      </c>
      <c r="E252" s="146">
        <v>40828.40237</v>
      </c>
      <c r="F252" s="145">
        <v>37278.10651</v>
      </c>
      <c r="G252" s="146">
        <v>53254.43787</v>
      </c>
      <c r="H252" s="146">
        <v>51479.28994</v>
      </c>
      <c r="I252" s="146">
        <v>40828.40237</v>
      </c>
      <c r="J252" s="145">
        <v>46153.84615</v>
      </c>
      <c r="K252" s="145">
        <v>58579.88166</v>
      </c>
      <c r="L252" s="145">
        <v>44378.69823</v>
      </c>
      <c r="M252" s="145">
        <v>51479.28994</v>
      </c>
      <c r="N252" s="145">
        <v>35502.95858</v>
      </c>
      <c r="O252" s="145">
        <v>31952.66272</v>
      </c>
      <c r="P252" s="146">
        <v>24852.07101</v>
      </c>
      <c r="Q252" s="146">
        <v>24852.07101</v>
      </c>
      <c r="R252" s="146">
        <v>28402.36686</v>
      </c>
      <c r="S252" s="146">
        <v>42603.5503</v>
      </c>
    </row>
    <row r="253">
      <c r="A253" s="145">
        <v>15.125</v>
      </c>
      <c r="B253" s="145">
        <f t="shared" si="1"/>
        <v>4885.375</v>
      </c>
      <c r="C253" s="145">
        <v>33727.81065</v>
      </c>
      <c r="D253" s="145">
        <v>37278.10651</v>
      </c>
      <c r="E253" s="146">
        <v>40828.40237</v>
      </c>
      <c r="F253" s="145">
        <v>37278.10651</v>
      </c>
      <c r="G253" s="146">
        <v>53254.43787</v>
      </c>
      <c r="H253" s="146">
        <v>51479.28994</v>
      </c>
      <c r="I253" s="146">
        <v>40828.40237</v>
      </c>
      <c r="J253" s="145">
        <v>46153.84615</v>
      </c>
      <c r="K253" s="145">
        <v>58579.88166</v>
      </c>
      <c r="L253" s="145">
        <v>44378.69823</v>
      </c>
      <c r="M253" s="145">
        <v>51479.28994</v>
      </c>
      <c r="N253" s="145">
        <v>35502.95858</v>
      </c>
      <c r="O253" s="145">
        <v>31952.66272</v>
      </c>
      <c r="P253" s="146">
        <v>24852.07101</v>
      </c>
      <c r="Q253" s="146">
        <v>24852.07101</v>
      </c>
      <c r="R253" s="146">
        <v>28402.36686</v>
      </c>
      <c r="S253" s="146">
        <v>42603.5503</v>
      </c>
    </row>
    <row r="254">
      <c r="A254" s="145">
        <v>15.188</v>
      </c>
      <c r="B254" s="145">
        <f t="shared" si="1"/>
        <v>4905.724</v>
      </c>
      <c r="C254" s="145">
        <v>33727.81065</v>
      </c>
      <c r="D254" s="145">
        <v>37278.10651</v>
      </c>
      <c r="E254" s="146">
        <v>40828.40237</v>
      </c>
      <c r="F254" s="145">
        <v>37278.10651</v>
      </c>
      <c r="G254" s="146">
        <v>53254.43787</v>
      </c>
      <c r="H254" s="146">
        <v>51479.28994</v>
      </c>
      <c r="I254" s="146">
        <v>40828.40237</v>
      </c>
      <c r="J254" s="145">
        <v>46153.84615</v>
      </c>
      <c r="K254" s="145">
        <v>58579.88166</v>
      </c>
      <c r="L254" s="145">
        <v>44378.69823</v>
      </c>
      <c r="M254" s="145">
        <v>51479.28994</v>
      </c>
      <c r="N254" s="145">
        <v>35502.95858</v>
      </c>
      <c r="O254" s="145">
        <v>31952.66272</v>
      </c>
      <c r="P254" s="146">
        <v>24852.07101</v>
      </c>
      <c r="Q254" s="146">
        <v>24852.07101</v>
      </c>
      <c r="R254" s="146">
        <v>28402.36686</v>
      </c>
      <c r="S254" s="146">
        <v>42603.5503</v>
      </c>
    </row>
    <row r="255">
      <c r="A255" s="145">
        <v>15.25</v>
      </c>
      <c r="B255" s="145">
        <f t="shared" si="1"/>
        <v>4925.75</v>
      </c>
      <c r="C255" s="145">
        <v>33727.81065</v>
      </c>
      <c r="D255" s="145">
        <v>37278.10651</v>
      </c>
      <c r="E255" s="146">
        <v>40828.40237</v>
      </c>
      <c r="F255" s="145">
        <v>37278.10651</v>
      </c>
      <c r="G255" s="146">
        <v>53254.43787</v>
      </c>
      <c r="H255" s="146">
        <v>51479.28994</v>
      </c>
      <c r="I255" s="146">
        <v>40828.40237</v>
      </c>
      <c r="J255" s="145">
        <v>49704.14201</v>
      </c>
      <c r="K255" s="145">
        <v>58579.88166</v>
      </c>
      <c r="L255" s="145">
        <v>44378.69823</v>
      </c>
      <c r="M255" s="145">
        <v>51479.28994</v>
      </c>
      <c r="N255" s="145">
        <v>35502.95858</v>
      </c>
      <c r="O255" s="145">
        <v>31952.66272</v>
      </c>
      <c r="P255" s="146">
        <v>24852.07101</v>
      </c>
      <c r="Q255" s="146">
        <v>24852.07101</v>
      </c>
      <c r="R255" s="146">
        <v>28402.36686</v>
      </c>
      <c r="S255" s="146">
        <v>42603.5503</v>
      </c>
    </row>
    <row r="256">
      <c r="A256" s="145">
        <v>15.313</v>
      </c>
      <c r="B256" s="145">
        <f t="shared" si="1"/>
        <v>4946.099</v>
      </c>
      <c r="C256" s="145">
        <v>35502.95858</v>
      </c>
      <c r="D256" s="145">
        <v>37278.10651</v>
      </c>
      <c r="E256" s="146">
        <v>40828.40237</v>
      </c>
      <c r="F256" s="145">
        <v>37278.10651</v>
      </c>
      <c r="G256" s="146">
        <v>53254.43787</v>
      </c>
      <c r="H256" s="146">
        <v>51479.28994</v>
      </c>
      <c r="I256" s="146">
        <v>47928.99408</v>
      </c>
      <c r="J256" s="145">
        <v>49704.14201</v>
      </c>
      <c r="K256" s="145">
        <v>58579.88166</v>
      </c>
      <c r="L256" s="145">
        <v>44378.69823</v>
      </c>
      <c r="M256" s="145">
        <v>51479.28994</v>
      </c>
      <c r="N256" s="145">
        <v>35502.95858</v>
      </c>
      <c r="O256" s="145">
        <v>31952.66272</v>
      </c>
      <c r="P256" s="146">
        <v>24852.07101</v>
      </c>
      <c r="Q256" s="146">
        <v>24852.07101</v>
      </c>
      <c r="R256" s="146">
        <v>28402.36686</v>
      </c>
      <c r="S256" s="146">
        <v>42603.5503</v>
      </c>
    </row>
    <row r="257">
      <c r="A257" s="145">
        <v>15.375</v>
      </c>
      <c r="B257" s="145">
        <f t="shared" si="1"/>
        <v>4966.125</v>
      </c>
      <c r="C257" s="145">
        <v>35502.95858</v>
      </c>
      <c r="D257" s="145">
        <v>37278.10651</v>
      </c>
      <c r="E257" s="146">
        <v>40828.40237</v>
      </c>
      <c r="F257" s="145">
        <v>37278.10651</v>
      </c>
      <c r="G257" s="146">
        <v>53254.43787</v>
      </c>
      <c r="H257" s="146">
        <v>51479.28994</v>
      </c>
      <c r="I257" s="146">
        <v>47928.99408</v>
      </c>
      <c r="J257" s="145">
        <v>49704.14201</v>
      </c>
      <c r="K257" s="145">
        <v>58579.88166</v>
      </c>
      <c r="L257" s="145">
        <v>44378.69823</v>
      </c>
      <c r="M257" s="145">
        <v>51479.28994</v>
      </c>
      <c r="N257" s="145">
        <v>35502.95858</v>
      </c>
      <c r="O257" s="145">
        <v>31952.66272</v>
      </c>
      <c r="P257" s="146">
        <v>24852.07101</v>
      </c>
      <c r="Q257" s="146">
        <v>24852.07101</v>
      </c>
      <c r="R257" s="146">
        <v>28402.36686</v>
      </c>
      <c r="S257" s="146">
        <v>42603.5503</v>
      </c>
    </row>
    <row r="258">
      <c r="A258" s="145">
        <v>15.438</v>
      </c>
      <c r="B258" s="145">
        <f t="shared" si="1"/>
        <v>4986.474</v>
      </c>
      <c r="C258" s="145">
        <v>35502.95858</v>
      </c>
      <c r="D258" s="145">
        <v>37278.10651</v>
      </c>
      <c r="E258" s="146">
        <v>40828.40237</v>
      </c>
      <c r="F258" s="145">
        <v>37278.10651</v>
      </c>
      <c r="G258" s="146">
        <v>53254.43787</v>
      </c>
      <c r="H258" s="146">
        <v>53254.43787</v>
      </c>
      <c r="I258" s="146">
        <v>47928.99408</v>
      </c>
      <c r="J258" s="145">
        <v>49704.14201</v>
      </c>
      <c r="K258" s="145">
        <v>58579.88166</v>
      </c>
      <c r="L258" s="145">
        <v>44378.69823</v>
      </c>
      <c r="M258" s="145">
        <v>51479.28994</v>
      </c>
      <c r="N258" s="145">
        <v>35502.95858</v>
      </c>
      <c r="O258" s="145">
        <v>31952.66272</v>
      </c>
      <c r="P258" s="146">
        <v>24852.07101</v>
      </c>
      <c r="Q258" s="146">
        <v>24852.07101</v>
      </c>
      <c r="R258" s="146">
        <v>28402.36686</v>
      </c>
      <c r="S258" s="146">
        <v>42603.5503</v>
      </c>
    </row>
    <row r="259">
      <c r="A259" s="145">
        <v>15.5</v>
      </c>
      <c r="B259" s="145">
        <f t="shared" si="1"/>
        <v>5006.5</v>
      </c>
      <c r="C259" s="145">
        <v>35502.95858</v>
      </c>
      <c r="D259" s="145">
        <v>37278.10651</v>
      </c>
      <c r="E259" s="146">
        <v>40828.40237</v>
      </c>
      <c r="F259" s="145">
        <v>37278.10651</v>
      </c>
      <c r="G259" s="146">
        <v>53254.43787</v>
      </c>
      <c r="H259" s="146">
        <v>53254.43787</v>
      </c>
      <c r="I259" s="146">
        <v>47928.99408</v>
      </c>
      <c r="J259" s="145">
        <v>49704.14201</v>
      </c>
      <c r="K259" s="145">
        <v>58579.88166</v>
      </c>
      <c r="L259" s="145">
        <v>44378.69823</v>
      </c>
      <c r="M259" s="145">
        <v>51479.28994</v>
      </c>
      <c r="N259" s="145">
        <v>35502.95858</v>
      </c>
      <c r="O259" s="145">
        <v>31952.66272</v>
      </c>
      <c r="P259" s="146">
        <v>24852.07101</v>
      </c>
      <c r="Q259" s="146">
        <v>24852.07101</v>
      </c>
      <c r="R259" s="146">
        <v>28402.36686</v>
      </c>
      <c r="S259" s="146">
        <v>42603.5503</v>
      </c>
    </row>
    <row r="260">
      <c r="A260" s="145">
        <v>15.579</v>
      </c>
      <c r="B260" s="145">
        <f t="shared" si="1"/>
        <v>5032.017</v>
      </c>
      <c r="C260" s="145">
        <v>37278.10651</v>
      </c>
      <c r="D260" s="145">
        <v>37278.10651</v>
      </c>
      <c r="E260" s="146">
        <v>40828.40237</v>
      </c>
      <c r="F260" s="145">
        <v>37278.10651</v>
      </c>
      <c r="G260" s="146">
        <v>53254.43787</v>
      </c>
      <c r="H260" s="146">
        <v>53254.43787</v>
      </c>
      <c r="I260" s="146">
        <v>47928.99408</v>
      </c>
      <c r="J260" s="145">
        <v>49704.14201</v>
      </c>
      <c r="K260" s="145">
        <v>58579.88166</v>
      </c>
      <c r="L260" s="145">
        <v>44378.69823</v>
      </c>
      <c r="M260" s="145">
        <v>51479.28994</v>
      </c>
      <c r="N260" s="145">
        <v>35502.95858</v>
      </c>
      <c r="O260" s="145">
        <v>31952.66272</v>
      </c>
      <c r="P260" s="146">
        <v>24852.07101</v>
      </c>
      <c r="Q260" s="146">
        <v>24852.07101</v>
      </c>
      <c r="R260" s="146">
        <v>28402.36686</v>
      </c>
      <c r="S260" s="146">
        <v>42603.5503</v>
      </c>
    </row>
    <row r="261">
      <c r="A261" s="145">
        <v>15.625</v>
      </c>
      <c r="B261" s="145">
        <f t="shared" si="1"/>
        <v>5046.875</v>
      </c>
      <c r="C261" s="145">
        <v>37278.10651</v>
      </c>
      <c r="D261" s="145">
        <v>39053.25444</v>
      </c>
      <c r="E261" s="146">
        <v>40828.40237</v>
      </c>
      <c r="F261" s="145">
        <v>37278.10651</v>
      </c>
      <c r="G261" s="146">
        <v>53254.43787</v>
      </c>
      <c r="H261" s="146">
        <v>53254.43787</v>
      </c>
      <c r="I261" s="146">
        <v>47928.99408</v>
      </c>
      <c r="J261" s="145">
        <v>49704.14201</v>
      </c>
      <c r="K261" s="145">
        <v>58579.88166</v>
      </c>
      <c r="L261" s="145">
        <v>44378.69823</v>
      </c>
      <c r="M261" s="145">
        <v>51479.28994</v>
      </c>
      <c r="N261" s="145">
        <v>35502.95858</v>
      </c>
      <c r="O261" s="145">
        <v>31952.66272</v>
      </c>
      <c r="P261" s="146">
        <v>24852.07101</v>
      </c>
      <c r="Q261" s="146">
        <v>24852.07101</v>
      </c>
      <c r="R261" s="146">
        <v>28402.36686</v>
      </c>
      <c r="S261" s="146">
        <v>42603.5503</v>
      </c>
    </row>
    <row r="262">
      <c r="A262" s="145">
        <v>15.688</v>
      </c>
      <c r="B262" s="145">
        <f t="shared" si="1"/>
        <v>5067.224</v>
      </c>
      <c r="C262" s="145">
        <v>37278.10651</v>
      </c>
      <c r="D262" s="145">
        <v>39053.25444</v>
      </c>
      <c r="E262" s="146">
        <v>40828.40237</v>
      </c>
      <c r="F262" s="145">
        <v>37278.10651</v>
      </c>
      <c r="G262" s="146">
        <v>53254.43787</v>
      </c>
      <c r="H262" s="146">
        <v>53254.43787</v>
      </c>
      <c r="I262" s="146">
        <v>47928.99408</v>
      </c>
      <c r="J262" s="145">
        <v>49704.14201</v>
      </c>
      <c r="K262" s="145">
        <v>58579.88166</v>
      </c>
      <c r="L262" s="145">
        <v>47928.99408</v>
      </c>
      <c r="M262" s="145">
        <v>51479.28994</v>
      </c>
      <c r="N262" s="145">
        <v>35502.95858</v>
      </c>
      <c r="O262" s="145">
        <v>31952.66272</v>
      </c>
      <c r="P262" s="146">
        <v>24852.07101</v>
      </c>
      <c r="Q262" s="146">
        <v>24852.07101</v>
      </c>
      <c r="R262" s="146">
        <v>28402.36686</v>
      </c>
      <c r="S262" s="146">
        <v>42603.5503</v>
      </c>
    </row>
    <row r="263">
      <c r="A263" s="145">
        <v>15.75</v>
      </c>
      <c r="B263" s="145">
        <f t="shared" si="1"/>
        <v>5087.25</v>
      </c>
      <c r="C263" s="145">
        <v>37278.10651</v>
      </c>
      <c r="D263" s="145">
        <v>39053.25444</v>
      </c>
      <c r="E263" s="146">
        <v>40828.40237</v>
      </c>
      <c r="F263" s="145">
        <v>39053.25444</v>
      </c>
      <c r="G263" s="146">
        <v>53254.43787</v>
      </c>
      <c r="H263" s="146">
        <v>53254.43787</v>
      </c>
      <c r="I263" s="146">
        <v>47928.99408</v>
      </c>
      <c r="J263" s="145">
        <v>49704.14201</v>
      </c>
      <c r="K263" s="145">
        <v>58579.88166</v>
      </c>
      <c r="L263" s="145">
        <v>47928.99408</v>
      </c>
      <c r="M263" s="145">
        <v>51479.28994</v>
      </c>
      <c r="N263" s="145">
        <v>35502.95858</v>
      </c>
      <c r="O263" s="145">
        <v>31952.66272</v>
      </c>
      <c r="P263" s="146">
        <v>24852.07101</v>
      </c>
      <c r="Q263" s="146">
        <v>24852.07101</v>
      </c>
      <c r="R263" s="146">
        <v>28402.36686</v>
      </c>
      <c r="S263" s="146">
        <v>42603.5503</v>
      </c>
    </row>
    <row r="264">
      <c r="A264" s="145">
        <v>15.813</v>
      </c>
      <c r="B264" s="145">
        <f t="shared" si="1"/>
        <v>5107.599</v>
      </c>
      <c r="C264" s="145">
        <v>37278.10651</v>
      </c>
      <c r="D264" s="145">
        <v>39053.25444</v>
      </c>
      <c r="E264" s="146">
        <v>42603.5503</v>
      </c>
      <c r="F264" s="145">
        <v>39053.25444</v>
      </c>
      <c r="G264" s="146">
        <v>53254.43787</v>
      </c>
      <c r="H264" s="146">
        <v>53254.43787</v>
      </c>
      <c r="I264" s="146">
        <v>47928.99408</v>
      </c>
      <c r="J264" s="145">
        <v>49704.14201</v>
      </c>
      <c r="K264" s="145">
        <v>58579.88166</v>
      </c>
      <c r="L264" s="145">
        <v>47928.99408</v>
      </c>
      <c r="M264" s="145">
        <v>51479.28994</v>
      </c>
      <c r="N264" s="145">
        <v>35502.95858</v>
      </c>
      <c r="O264" s="145">
        <v>31952.66272</v>
      </c>
      <c r="P264" s="146">
        <v>24852.07101</v>
      </c>
      <c r="Q264" s="146">
        <v>24852.07101</v>
      </c>
      <c r="R264" s="146">
        <v>28402.36686</v>
      </c>
      <c r="S264" s="146">
        <v>42603.5503</v>
      </c>
    </row>
    <row r="265">
      <c r="A265" s="145">
        <v>15.875</v>
      </c>
      <c r="B265" s="145">
        <f t="shared" si="1"/>
        <v>5127.625</v>
      </c>
      <c r="C265" s="145">
        <v>37278.10651</v>
      </c>
      <c r="D265" s="145">
        <v>39053.25444</v>
      </c>
      <c r="E265" s="146">
        <v>42603.5503</v>
      </c>
      <c r="F265" s="145">
        <v>39053.25444</v>
      </c>
      <c r="G265" s="146">
        <v>53254.43787</v>
      </c>
      <c r="H265" s="146">
        <v>53254.43787</v>
      </c>
      <c r="I265" s="146">
        <v>47928.99408</v>
      </c>
      <c r="J265" s="145">
        <v>49704.14201</v>
      </c>
      <c r="K265" s="145">
        <v>58579.88166</v>
      </c>
      <c r="L265" s="145">
        <v>47928.99408</v>
      </c>
      <c r="M265" s="145">
        <v>51479.28994</v>
      </c>
      <c r="N265" s="145">
        <v>35502.95858</v>
      </c>
      <c r="O265" s="145">
        <v>31952.66272</v>
      </c>
      <c r="P265" s="146">
        <v>24852.07101</v>
      </c>
      <c r="Q265" s="146">
        <v>24852.07101</v>
      </c>
      <c r="R265" s="146">
        <v>30177.51479</v>
      </c>
      <c r="S265" s="146">
        <v>42603.5503</v>
      </c>
    </row>
    <row r="266">
      <c r="A266" s="145">
        <v>15.938</v>
      </c>
      <c r="B266" s="145">
        <f t="shared" si="1"/>
        <v>5147.974</v>
      </c>
      <c r="C266" s="145">
        <v>39053.25444</v>
      </c>
      <c r="D266" s="145">
        <v>39053.25444</v>
      </c>
      <c r="E266" s="146">
        <v>42603.5503</v>
      </c>
      <c r="F266" s="145">
        <v>39053.25444</v>
      </c>
      <c r="G266" s="146">
        <v>53254.43787</v>
      </c>
      <c r="H266" s="146">
        <v>53254.43787</v>
      </c>
      <c r="I266" s="146">
        <v>47928.99408</v>
      </c>
      <c r="J266" s="145">
        <v>49704.14201</v>
      </c>
      <c r="K266" s="145">
        <v>58579.88166</v>
      </c>
      <c r="L266" s="145">
        <v>47928.99408</v>
      </c>
      <c r="M266" s="145">
        <v>51479.28994</v>
      </c>
      <c r="N266" s="145">
        <v>35502.95858</v>
      </c>
      <c r="O266" s="145">
        <v>31952.66272</v>
      </c>
      <c r="P266" s="146">
        <v>24852.07101</v>
      </c>
      <c r="Q266" s="146">
        <v>24852.07101</v>
      </c>
      <c r="R266" s="146">
        <v>30177.51479</v>
      </c>
      <c r="S266" s="146">
        <v>42603.5503</v>
      </c>
    </row>
    <row r="267">
      <c r="A267" s="145">
        <v>16.0</v>
      </c>
      <c r="B267" s="145">
        <f t="shared" si="1"/>
        <v>5168</v>
      </c>
      <c r="C267" s="145">
        <v>39053.25444</v>
      </c>
      <c r="D267" s="145">
        <v>39053.25444</v>
      </c>
      <c r="E267" s="146">
        <v>42603.5503</v>
      </c>
      <c r="F267" s="145">
        <v>39053.25444</v>
      </c>
      <c r="G267" s="146">
        <v>53254.43787</v>
      </c>
      <c r="H267" s="146">
        <v>53254.43787</v>
      </c>
      <c r="I267" s="146">
        <v>47928.99408</v>
      </c>
      <c r="J267" s="145">
        <v>49704.14201</v>
      </c>
      <c r="K267" s="145">
        <v>60355.02959</v>
      </c>
      <c r="L267" s="145">
        <v>47928.99408</v>
      </c>
      <c r="M267" s="145">
        <v>51479.28994</v>
      </c>
      <c r="N267" s="145">
        <v>35502.95858</v>
      </c>
      <c r="O267" s="145">
        <v>31952.66272</v>
      </c>
      <c r="P267" s="146">
        <v>24852.07101</v>
      </c>
      <c r="Q267" s="146">
        <v>24852.07101</v>
      </c>
      <c r="R267" s="146">
        <v>30177.51479</v>
      </c>
      <c r="S267" s="146">
        <v>42603.5503</v>
      </c>
    </row>
    <row r="268">
      <c r="A268" s="145">
        <v>16.063</v>
      </c>
      <c r="B268" s="145">
        <f t="shared" si="1"/>
        <v>5188.349</v>
      </c>
      <c r="C268" s="145">
        <v>39053.25444</v>
      </c>
      <c r="D268" s="145">
        <v>39053.25444</v>
      </c>
      <c r="E268" s="146">
        <v>42603.5503</v>
      </c>
      <c r="F268" s="145">
        <v>39053.25444</v>
      </c>
      <c r="G268" s="146">
        <v>53254.43787</v>
      </c>
      <c r="H268" s="146">
        <v>53254.43787</v>
      </c>
      <c r="I268" s="146">
        <v>47928.99408</v>
      </c>
      <c r="J268" s="145">
        <v>49704.14201</v>
      </c>
      <c r="K268" s="145">
        <v>60355.02959</v>
      </c>
      <c r="L268" s="145">
        <v>47928.99408</v>
      </c>
      <c r="M268" s="145">
        <v>51479.28994</v>
      </c>
      <c r="N268" s="145">
        <v>35502.95858</v>
      </c>
      <c r="O268" s="145">
        <v>31952.66272</v>
      </c>
      <c r="P268" s="146">
        <v>24852.07101</v>
      </c>
      <c r="Q268" s="146">
        <v>26627.21894</v>
      </c>
      <c r="R268" s="146">
        <v>30177.51479</v>
      </c>
      <c r="S268" s="146">
        <v>42603.5503</v>
      </c>
    </row>
    <row r="269">
      <c r="A269" s="145">
        <v>16.125</v>
      </c>
      <c r="B269" s="145">
        <f t="shared" si="1"/>
        <v>5208.375</v>
      </c>
      <c r="C269" s="145">
        <v>39053.25444</v>
      </c>
      <c r="D269" s="145">
        <v>39053.25444</v>
      </c>
      <c r="E269" s="146">
        <v>42603.5503</v>
      </c>
      <c r="F269" s="145">
        <v>39053.25444</v>
      </c>
      <c r="G269" s="146">
        <v>53254.43787</v>
      </c>
      <c r="H269" s="146">
        <v>53254.43787</v>
      </c>
      <c r="I269" s="146">
        <v>47928.99408</v>
      </c>
      <c r="J269" s="145">
        <v>49704.14201</v>
      </c>
      <c r="K269" s="145">
        <v>62130.17752</v>
      </c>
      <c r="L269" s="145">
        <v>47928.99408</v>
      </c>
      <c r="M269" s="145">
        <v>51479.28994</v>
      </c>
      <c r="N269" s="145">
        <v>35502.95858</v>
      </c>
      <c r="O269" s="145">
        <v>31952.66272</v>
      </c>
      <c r="P269" s="146">
        <v>24852.07101</v>
      </c>
      <c r="Q269" s="146">
        <v>26627.21894</v>
      </c>
      <c r="R269" s="146">
        <v>30177.51479</v>
      </c>
      <c r="S269" s="146">
        <v>42603.5503</v>
      </c>
    </row>
    <row r="270">
      <c r="A270" s="145">
        <v>16.188</v>
      </c>
      <c r="B270" s="145">
        <f t="shared" si="1"/>
        <v>5228.724</v>
      </c>
      <c r="C270" s="145">
        <v>39053.25444</v>
      </c>
      <c r="D270" s="145">
        <v>40828.40237</v>
      </c>
      <c r="E270" s="146">
        <v>42603.5503</v>
      </c>
      <c r="F270" s="145">
        <v>39053.25444</v>
      </c>
      <c r="G270" s="146">
        <v>53254.43787</v>
      </c>
      <c r="H270" s="146">
        <v>53254.43787</v>
      </c>
      <c r="I270" s="146">
        <v>47928.99408</v>
      </c>
      <c r="J270" s="145">
        <v>49704.14201</v>
      </c>
      <c r="K270" s="145">
        <v>62130.17752</v>
      </c>
      <c r="L270" s="145">
        <v>47928.99408</v>
      </c>
      <c r="M270" s="145">
        <v>51479.28994</v>
      </c>
      <c r="N270" s="145">
        <v>35502.95858</v>
      </c>
      <c r="O270" s="145">
        <v>31952.66272</v>
      </c>
      <c r="P270" s="146">
        <v>24852.07101</v>
      </c>
      <c r="Q270" s="146">
        <v>26627.21894</v>
      </c>
      <c r="R270" s="146">
        <v>30177.51479</v>
      </c>
      <c r="S270" s="146">
        <v>42603.5503</v>
      </c>
    </row>
    <row r="271">
      <c r="A271" s="145">
        <v>16.266</v>
      </c>
      <c r="B271" s="145">
        <f t="shared" si="1"/>
        <v>5253.918</v>
      </c>
      <c r="C271" s="145">
        <v>39053.25444</v>
      </c>
      <c r="D271" s="145">
        <v>40828.40237</v>
      </c>
      <c r="E271" s="146">
        <v>42603.5503</v>
      </c>
      <c r="F271" s="145">
        <v>39053.25444</v>
      </c>
      <c r="G271" s="146">
        <v>53254.43787</v>
      </c>
      <c r="H271" s="146">
        <v>53254.43787</v>
      </c>
      <c r="I271" s="146">
        <v>47928.99408</v>
      </c>
      <c r="J271" s="145">
        <v>49704.14201</v>
      </c>
      <c r="K271" s="145">
        <v>62130.17752</v>
      </c>
      <c r="L271" s="145">
        <v>47928.99408</v>
      </c>
      <c r="M271" s="145">
        <v>51479.28994</v>
      </c>
      <c r="N271" s="145">
        <v>35502.95858</v>
      </c>
      <c r="O271" s="145">
        <v>31952.66272</v>
      </c>
      <c r="P271" s="146">
        <v>26627.21894</v>
      </c>
      <c r="Q271" s="146">
        <v>26627.21894</v>
      </c>
      <c r="R271" s="146">
        <v>30177.51479</v>
      </c>
      <c r="S271" s="146">
        <v>42603.5503</v>
      </c>
    </row>
    <row r="272">
      <c r="A272" s="145">
        <v>16.313</v>
      </c>
      <c r="B272" s="145">
        <f t="shared" si="1"/>
        <v>5269.099</v>
      </c>
      <c r="C272" s="145">
        <v>39053.25444</v>
      </c>
      <c r="D272" s="145">
        <v>40828.40237</v>
      </c>
      <c r="E272" s="146">
        <v>42603.5503</v>
      </c>
      <c r="F272" s="145">
        <v>40828.40237</v>
      </c>
      <c r="G272" s="146">
        <v>53254.43787</v>
      </c>
      <c r="H272" s="146">
        <v>53254.43787</v>
      </c>
      <c r="I272" s="146">
        <v>47928.99408</v>
      </c>
      <c r="J272" s="145">
        <v>49704.14201</v>
      </c>
      <c r="K272" s="145">
        <v>62130.17752</v>
      </c>
      <c r="L272" s="145">
        <v>47928.99408</v>
      </c>
      <c r="M272" s="145">
        <v>51479.28994</v>
      </c>
      <c r="N272" s="145">
        <v>35502.95858</v>
      </c>
      <c r="O272" s="145">
        <v>33727.81065</v>
      </c>
      <c r="P272" s="146">
        <v>26627.21894</v>
      </c>
      <c r="Q272" s="146">
        <v>26627.21894</v>
      </c>
      <c r="R272" s="146">
        <v>30177.51479</v>
      </c>
      <c r="S272" s="146">
        <v>44378.69823</v>
      </c>
    </row>
    <row r="273">
      <c r="A273" s="145">
        <v>16.375</v>
      </c>
      <c r="B273" s="145">
        <f t="shared" si="1"/>
        <v>5289.125</v>
      </c>
      <c r="C273" s="145">
        <v>39053.25444</v>
      </c>
      <c r="D273" s="145">
        <v>40828.40237</v>
      </c>
      <c r="E273" s="146">
        <v>42603.5503</v>
      </c>
      <c r="F273" s="145">
        <v>40828.40237</v>
      </c>
      <c r="G273" s="146">
        <v>53254.43787</v>
      </c>
      <c r="H273" s="146">
        <v>53254.43787</v>
      </c>
      <c r="I273" s="146">
        <v>47928.99408</v>
      </c>
      <c r="J273" s="145">
        <v>49704.14201</v>
      </c>
      <c r="K273" s="145">
        <v>62130.17752</v>
      </c>
      <c r="L273" s="145">
        <v>47928.99408</v>
      </c>
      <c r="M273" s="145">
        <v>51479.28994</v>
      </c>
      <c r="N273" s="145">
        <v>35502.95858</v>
      </c>
      <c r="O273" s="145">
        <v>33727.81065</v>
      </c>
      <c r="P273" s="146">
        <v>26627.21894</v>
      </c>
      <c r="Q273" s="146">
        <v>26627.21894</v>
      </c>
      <c r="R273" s="146">
        <v>30177.51479</v>
      </c>
      <c r="S273" s="146">
        <v>44378.69823</v>
      </c>
    </row>
    <row r="274">
      <c r="A274" s="145">
        <v>16.438</v>
      </c>
      <c r="B274" s="145">
        <f t="shared" si="1"/>
        <v>5309.474</v>
      </c>
      <c r="C274" s="145">
        <v>39053.25444</v>
      </c>
      <c r="D274" s="145">
        <v>40828.40237</v>
      </c>
      <c r="E274" s="146">
        <v>42603.5503</v>
      </c>
      <c r="F274" s="145">
        <v>40828.40237</v>
      </c>
      <c r="G274" s="146">
        <v>53254.43787</v>
      </c>
      <c r="H274" s="146">
        <v>53254.43787</v>
      </c>
      <c r="I274" s="146">
        <v>47928.99408</v>
      </c>
      <c r="J274" s="145">
        <v>49704.14201</v>
      </c>
      <c r="K274" s="145">
        <v>62130.17752</v>
      </c>
      <c r="L274" s="145">
        <v>47928.99408</v>
      </c>
      <c r="M274" s="145">
        <v>51479.28994</v>
      </c>
      <c r="N274" s="145">
        <v>35502.95858</v>
      </c>
      <c r="O274" s="145">
        <v>33727.81065</v>
      </c>
      <c r="P274" s="146">
        <v>26627.21894</v>
      </c>
      <c r="Q274" s="146">
        <v>26627.21894</v>
      </c>
      <c r="R274" s="146">
        <v>30177.51479</v>
      </c>
      <c r="S274" s="146">
        <v>44378.69823</v>
      </c>
    </row>
    <row r="275">
      <c r="A275" s="145">
        <v>16.516</v>
      </c>
      <c r="B275" s="145">
        <f t="shared" si="1"/>
        <v>5334.668</v>
      </c>
      <c r="C275" s="145">
        <v>39053.25444</v>
      </c>
      <c r="D275" s="145">
        <v>40828.40237</v>
      </c>
      <c r="E275" s="146">
        <v>42603.5503</v>
      </c>
      <c r="F275" s="145">
        <v>40828.40237</v>
      </c>
      <c r="G275" s="146">
        <v>53254.43787</v>
      </c>
      <c r="H275" s="146">
        <v>53254.43787</v>
      </c>
      <c r="I275" s="146">
        <v>47928.99408</v>
      </c>
      <c r="J275" s="145">
        <v>49704.14201</v>
      </c>
      <c r="K275" s="145">
        <v>62130.17752</v>
      </c>
      <c r="L275" s="145">
        <v>47928.99408</v>
      </c>
      <c r="M275" s="145">
        <v>51479.28994</v>
      </c>
      <c r="N275" s="145">
        <v>35502.95858</v>
      </c>
      <c r="O275" s="145">
        <v>33727.81065</v>
      </c>
      <c r="P275" s="146">
        <v>26627.21894</v>
      </c>
      <c r="Q275" s="146">
        <v>26627.21894</v>
      </c>
      <c r="R275" s="146">
        <v>30177.51479</v>
      </c>
      <c r="S275" s="146">
        <v>44378.69823</v>
      </c>
    </row>
    <row r="276">
      <c r="A276" s="145">
        <v>16.563</v>
      </c>
      <c r="B276" s="145">
        <f t="shared" si="1"/>
        <v>5349.849</v>
      </c>
      <c r="C276" s="145">
        <v>39053.25444</v>
      </c>
      <c r="D276" s="145">
        <v>40828.40237</v>
      </c>
      <c r="E276" s="146">
        <v>42603.5503</v>
      </c>
      <c r="F276" s="145">
        <v>42603.5503</v>
      </c>
      <c r="G276" s="146">
        <v>53254.43787</v>
      </c>
      <c r="H276" s="146">
        <v>53254.43787</v>
      </c>
      <c r="I276" s="146">
        <v>47928.99408</v>
      </c>
      <c r="J276" s="145">
        <v>49704.14201</v>
      </c>
      <c r="K276" s="145">
        <v>62130.17752</v>
      </c>
      <c r="L276" s="145">
        <v>47928.99408</v>
      </c>
      <c r="M276" s="145">
        <v>51479.28994</v>
      </c>
      <c r="N276" s="145">
        <v>37278.10651</v>
      </c>
      <c r="O276" s="145">
        <v>33727.81065</v>
      </c>
      <c r="P276" s="146">
        <v>26627.21894</v>
      </c>
      <c r="Q276" s="146">
        <v>26627.21894</v>
      </c>
      <c r="R276" s="146">
        <v>30177.51479</v>
      </c>
      <c r="S276" s="146">
        <v>44378.69823</v>
      </c>
    </row>
    <row r="277">
      <c r="A277" s="145">
        <v>16.625</v>
      </c>
      <c r="B277" s="145">
        <f t="shared" si="1"/>
        <v>5369.875</v>
      </c>
      <c r="C277" s="145">
        <v>39053.25444</v>
      </c>
      <c r="D277" s="145">
        <v>40828.40237</v>
      </c>
      <c r="E277" s="146">
        <v>42603.5503</v>
      </c>
      <c r="F277" s="145">
        <v>42603.5503</v>
      </c>
      <c r="G277" s="146">
        <v>53254.43787</v>
      </c>
      <c r="H277" s="146">
        <v>53254.43787</v>
      </c>
      <c r="I277" s="146">
        <v>47928.99408</v>
      </c>
      <c r="J277" s="145">
        <v>51479.28994</v>
      </c>
      <c r="K277" s="145">
        <v>62130.17752</v>
      </c>
      <c r="L277" s="145">
        <v>47928.99408</v>
      </c>
      <c r="M277" s="145">
        <v>51479.28994</v>
      </c>
      <c r="N277" s="145">
        <v>37278.10651</v>
      </c>
      <c r="O277" s="145">
        <v>33727.81065</v>
      </c>
      <c r="P277" s="146">
        <v>26627.21894</v>
      </c>
      <c r="Q277" s="146">
        <v>26627.21894</v>
      </c>
      <c r="R277" s="146">
        <v>30177.51479</v>
      </c>
      <c r="S277" s="146">
        <v>44378.69823</v>
      </c>
    </row>
    <row r="278">
      <c r="A278" s="145">
        <v>16.704</v>
      </c>
      <c r="B278" s="145">
        <f t="shared" si="1"/>
        <v>5395.392</v>
      </c>
      <c r="C278" s="145">
        <v>39053.25444</v>
      </c>
      <c r="D278" s="145">
        <v>40828.40237</v>
      </c>
      <c r="E278" s="146">
        <v>42603.5503</v>
      </c>
      <c r="F278" s="145">
        <v>42603.5503</v>
      </c>
      <c r="G278" s="146">
        <v>53254.43787</v>
      </c>
      <c r="H278" s="146">
        <v>53254.43787</v>
      </c>
      <c r="I278" s="146">
        <v>47928.99408</v>
      </c>
      <c r="J278" s="145">
        <v>51479.28994</v>
      </c>
      <c r="K278" s="145">
        <v>62130.17752</v>
      </c>
      <c r="L278" s="145">
        <v>47928.99408</v>
      </c>
      <c r="M278" s="145">
        <v>51479.28994</v>
      </c>
      <c r="N278" s="145">
        <v>37278.10651</v>
      </c>
      <c r="O278" s="145">
        <v>33727.81065</v>
      </c>
      <c r="P278" s="146">
        <v>26627.21894</v>
      </c>
      <c r="Q278" s="146">
        <v>26627.21894</v>
      </c>
      <c r="R278" s="146">
        <v>30177.51479</v>
      </c>
      <c r="S278" s="146">
        <v>44378.69823</v>
      </c>
    </row>
    <row r="279">
      <c r="A279" s="145">
        <v>16.75</v>
      </c>
      <c r="B279" s="145">
        <f t="shared" si="1"/>
        <v>5410.25</v>
      </c>
      <c r="C279" s="145">
        <v>39053.25444</v>
      </c>
      <c r="D279" s="145">
        <v>40828.40237</v>
      </c>
      <c r="E279" s="146">
        <v>42603.5503</v>
      </c>
      <c r="F279" s="145">
        <v>42603.5503</v>
      </c>
      <c r="G279" s="146">
        <v>53254.43787</v>
      </c>
      <c r="H279" s="146">
        <v>53254.43787</v>
      </c>
      <c r="I279" s="146">
        <v>49704.14201</v>
      </c>
      <c r="J279" s="145">
        <v>51479.28994</v>
      </c>
      <c r="K279" s="145">
        <v>62130.17752</v>
      </c>
      <c r="L279" s="145">
        <v>47928.99408</v>
      </c>
      <c r="M279" s="145">
        <v>53254.43787</v>
      </c>
      <c r="N279" s="145">
        <v>37278.10651</v>
      </c>
      <c r="O279" s="145">
        <v>33727.81065</v>
      </c>
      <c r="P279" s="146">
        <v>26627.21894</v>
      </c>
      <c r="Q279" s="146">
        <v>26627.21894</v>
      </c>
      <c r="R279" s="146">
        <v>30177.51479</v>
      </c>
      <c r="S279" s="146">
        <v>44378.69823</v>
      </c>
    </row>
    <row r="280">
      <c r="A280" s="145">
        <v>16.813</v>
      </c>
      <c r="B280" s="145">
        <f t="shared" si="1"/>
        <v>5430.599</v>
      </c>
      <c r="C280" s="145">
        <v>39053.25444</v>
      </c>
      <c r="D280" s="145">
        <v>40828.40237</v>
      </c>
      <c r="E280" s="146">
        <v>44378.69823</v>
      </c>
      <c r="F280" s="145">
        <v>42603.5503</v>
      </c>
      <c r="G280" s="146">
        <v>53254.43787</v>
      </c>
      <c r="H280" s="146">
        <v>53254.43787</v>
      </c>
      <c r="I280" s="146">
        <v>49704.14201</v>
      </c>
      <c r="J280" s="145">
        <v>51479.28994</v>
      </c>
      <c r="K280" s="145">
        <v>62130.17752</v>
      </c>
      <c r="L280" s="145">
        <v>47928.99408</v>
      </c>
      <c r="M280" s="145">
        <v>53254.43787</v>
      </c>
      <c r="N280" s="145">
        <v>37278.10651</v>
      </c>
      <c r="O280" s="145">
        <v>33727.81065</v>
      </c>
      <c r="P280" s="146">
        <v>26627.21894</v>
      </c>
      <c r="Q280" s="146">
        <v>26627.21894</v>
      </c>
      <c r="R280" s="146">
        <v>30177.51479</v>
      </c>
      <c r="S280" s="146">
        <v>44378.69823</v>
      </c>
    </row>
    <row r="281">
      <c r="A281" s="145">
        <v>16.891</v>
      </c>
      <c r="B281" s="145">
        <f t="shared" si="1"/>
        <v>5455.793</v>
      </c>
      <c r="C281" s="145">
        <v>39053.25444</v>
      </c>
      <c r="D281" s="145">
        <v>40828.40237</v>
      </c>
      <c r="E281" s="146">
        <v>44378.69823</v>
      </c>
      <c r="F281" s="145">
        <v>42603.5503</v>
      </c>
      <c r="G281" s="146">
        <v>53254.43787</v>
      </c>
      <c r="H281" s="146">
        <v>53254.43787</v>
      </c>
      <c r="I281" s="146">
        <v>49704.14201</v>
      </c>
      <c r="J281" s="145">
        <v>51479.28994</v>
      </c>
      <c r="K281" s="145">
        <v>62130.17752</v>
      </c>
      <c r="L281" s="145">
        <v>47928.99408</v>
      </c>
      <c r="M281" s="145">
        <v>53254.43787</v>
      </c>
      <c r="N281" s="145">
        <v>37278.10651</v>
      </c>
      <c r="O281" s="145">
        <v>33727.81065</v>
      </c>
      <c r="P281" s="146">
        <v>26627.21894</v>
      </c>
      <c r="Q281" s="146">
        <v>26627.21894</v>
      </c>
      <c r="R281" s="146">
        <v>30177.51479</v>
      </c>
      <c r="S281" s="146">
        <v>44378.69823</v>
      </c>
    </row>
    <row r="282">
      <c r="A282" s="145">
        <v>16.938</v>
      </c>
      <c r="B282" s="145">
        <f t="shared" si="1"/>
        <v>5470.974</v>
      </c>
      <c r="C282" s="145">
        <v>39053.25444</v>
      </c>
      <c r="D282" s="145">
        <v>40828.40237</v>
      </c>
      <c r="E282" s="146">
        <v>44378.69823</v>
      </c>
      <c r="F282" s="145">
        <v>42603.5503</v>
      </c>
      <c r="G282" s="146">
        <v>53254.43787</v>
      </c>
      <c r="H282" s="146">
        <v>53254.43787</v>
      </c>
      <c r="I282" s="146">
        <v>49704.14201</v>
      </c>
      <c r="J282" s="145">
        <v>51479.28994</v>
      </c>
      <c r="K282" s="145">
        <v>62130.17752</v>
      </c>
      <c r="L282" s="145">
        <v>47928.99408</v>
      </c>
      <c r="M282" s="145">
        <v>53254.43787</v>
      </c>
      <c r="N282" s="145">
        <v>37278.10651</v>
      </c>
      <c r="O282" s="145">
        <v>33727.81065</v>
      </c>
      <c r="P282" s="146">
        <v>26627.21894</v>
      </c>
      <c r="Q282" s="146">
        <v>26627.21894</v>
      </c>
      <c r="R282" s="146">
        <v>30177.51479</v>
      </c>
      <c r="S282" s="146">
        <v>44378.69823</v>
      </c>
    </row>
    <row r="283">
      <c r="A283" s="145">
        <v>17.0</v>
      </c>
      <c r="B283" s="145">
        <f t="shared" si="1"/>
        <v>5491</v>
      </c>
      <c r="C283" s="145">
        <v>39053.25444</v>
      </c>
      <c r="D283" s="145">
        <v>40828.40237</v>
      </c>
      <c r="E283" s="146">
        <v>44378.69823</v>
      </c>
      <c r="F283" s="145">
        <v>42603.5503</v>
      </c>
      <c r="G283" s="146">
        <v>53254.43787</v>
      </c>
      <c r="H283" s="146">
        <v>56804.73373</v>
      </c>
      <c r="I283" s="146">
        <v>49704.14201</v>
      </c>
      <c r="J283" s="145">
        <v>51479.28994</v>
      </c>
      <c r="K283" s="145">
        <v>62130.17752</v>
      </c>
      <c r="L283" s="145">
        <v>47928.99408</v>
      </c>
      <c r="M283" s="145">
        <v>53254.43787</v>
      </c>
      <c r="N283" s="145">
        <v>37278.10651</v>
      </c>
      <c r="O283" s="145">
        <v>33727.81065</v>
      </c>
      <c r="P283" s="146">
        <v>26627.21894</v>
      </c>
      <c r="Q283" s="146">
        <v>26627.21894</v>
      </c>
      <c r="R283" s="146">
        <v>30177.51479</v>
      </c>
      <c r="S283" s="146">
        <v>44378.69823</v>
      </c>
    </row>
    <row r="284">
      <c r="A284" s="145">
        <v>17.063</v>
      </c>
      <c r="B284" s="145">
        <f t="shared" si="1"/>
        <v>5511.349</v>
      </c>
      <c r="C284" s="145">
        <v>39053.25444</v>
      </c>
      <c r="D284" s="145">
        <v>40828.40237</v>
      </c>
      <c r="E284" s="146">
        <v>44378.69823</v>
      </c>
      <c r="F284" s="145">
        <v>42603.5503</v>
      </c>
      <c r="G284" s="146">
        <v>53254.43787</v>
      </c>
      <c r="H284" s="146">
        <v>56804.73373</v>
      </c>
      <c r="I284" s="146">
        <v>49704.14201</v>
      </c>
      <c r="J284" s="145">
        <v>51479.28994</v>
      </c>
      <c r="K284" s="145">
        <v>62130.17752</v>
      </c>
      <c r="L284" s="145">
        <v>47928.99408</v>
      </c>
      <c r="M284" s="145">
        <v>53254.43787</v>
      </c>
      <c r="N284" s="145">
        <v>37278.10651</v>
      </c>
      <c r="O284" s="145">
        <v>33727.81065</v>
      </c>
      <c r="P284" s="146">
        <v>26627.21894</v>
      </c>
      <c r="Q284" s="146">
        <v>26627.21894</v>
      </c>
      <c r="R284" s="146">
        <v>30177.51479</v>
      </c>
      <c r="S284" s="146">
        <v>44378.69823</v>
      </c>
    </row>
    <row r="285">
      <c r="A285" s="145">
        <v>17.125</v>
      </c>
      <c r="B285" s="145">
        <f t="shared" si="1"/>
        <v>5531.375</v>
      </c>
      <c r="C285" s="145">
        <v>39053.25444</v>
      </c>
      <c r="D285" s="145">
        <v>40828.40237</v>
      </c>
      <c r="E285" s="146">
        <v>44378.69823</v>
      </c>
      <c r="F285" s="145">
        <v>42603.5503</v>
      </c>
      <c r="G285" s="146">
        <v>53254.43787</v>
      </c>
      <c r="H285" s="146">
        <v>56804.73373</v>
      </c>
      <c r="I285" s="146">
        <v>49704.14201</v>
      </c>
      <c r="J285" s="145">
        <v>53254.43787</v>
      </c>
      <c r="K285" s="145">
        <v>62130.17752</v>
      </c>
      <c r="L285" s="145">
        <v>47928.99408</v>
      </c>
      <c r="M285" s="145">
        <v>53254.43787</v>
      </c>
      <c r="N285" s="145">
        <v>37278.10651</v>
      </c>
      <c r="O285" s="145">
        <v>33727.81065</v>
      </c>
      <c r="P285" s="146">
        <v>26627.21894</v>
      </c>
      <c r="Q285" s="146">
        <v>26627.21894</v>
      </c>
      <c r="R285" s="146">
        <v>30177.51479</v>
      </c>
      <c r="S285" s="146">
        <v>44378.69823</v>
      </c>
    </row>
    <row r="286">
      <c r="A286" s="145">
        <v>17.188</v>
      </c>
      <c r="B286" s="145">
        <f t="shared" si="1"/>
        <v>5551.724</v>
      </c>
      <c r="C286" s="145">
        <v>40828.40237</v>
      </c>
      <c r="D286" s="145">
        <v>40828.40237</v>
      </c>
      <c r="E286" s="146">
        <v>44378.69823</v>
      </c>
      <c r="F286" s="145">
        <v>42603.5503</v>
      </c>
      <c r="G286" s="146">
        <v>53254.43787</v>
      </c>
      <c r="H286" s="146">
        <v>56804.73373</v>
      </c>
      <c r="I286" s="146">
        <v>49704.14201</v>
      </c>
      <c r="J286" s="145">
        <v>53254.43787</v>
      </c>
      <c r="K286" s="145">
        <v>62130.17752</v>
      </c>
      <c r="L286" s="145">
        <v>47928.99408</v>
      </c>
      <c r="M286" s="145">
        <v>53254.43787</v>
      </c>
      <c r="N286" s="145">
        <v>37278.10651</v>
      </c>
      <c r="O286" s="145">
        <v>33727.81065</v>
      </c>
      <c r="P286" s="146">
        <v>26627.21894</v>
      </c>
      <c r="Q286" s="146">
        <v>26627.21894</v>
      </c>
      <c r="R286" s="146">
        <v>30177.51479</v>
      </c>
      <c r="S286" s="146">
        <v>44378.69823</v>
      </c>
    </row>
    <row r="287">
      <c r="A287" s="145">
        <v>17.25</v>
      </c>
      <c r="B287" s="145">
        <f t="shared" si="1"/>
        <v>5571.75</v>
      </c>
      <c r="C287" s="145">
        <v>40828.40237</v>
      </c>
      <c r="D287" s="145">
        <v>40828.40237</v>
      </c>
      <c r="E287" s="146">
        <v>46153.84615</v>
      </c>
      <c r="F287" s="145">
        <v>42603.5503</v>
      </c>
      <c r="G287" s="146">
        <v>53254.43787</v>
      </c>
      <c r="H287" s="146">
        <v>56804.73373</v>
      </c>
      <c r="I287" s="146">
        <v>49704.14201</v>
      </c>
      <c r="J287" s="145">
        <v>53254.43787</v>
      </c>
      <c r="K287" s="145">
        <v>62130.17752</v>
      </c>
      <c r="L287" s="145">
        <v>51479.28994</v>
      </c>
      <c r="M287" s="145">
        <v>53254.43787</v>
      </c>
      <c r="N287" s="145">
        <v>37278.10651</v>
      </c>
      <c r="O287" s="145">
        <v>33727.81065</v>
      </c>
      <c r="P287" s="146">
        <v>26627.21894</v>
      </c>
      <c r="Q287" s="146">
        <v>28402.36686</v>
      </c>
      <c r="R287" s="146">
        <v>30177.51479</v>
      </c>
      <c r="S287" s="146">
        <v>44378.69823</v>
      </c>
    </row>
    <row r="288">
      <c r="A288" s="145">
        <v>17.313</v>
      </c>
      <c r="B288" s="145">
        <f t="shared" si="1"/>
        <v>5592.099</v>
      </c>
      <c r="C288" s="145">
        <v>40828.40237</v>
      </c>
      <c r="D288" s="145">
        <v>42603.5503</v>
      </c>
      <c r="E288" s="146">
        <v>46153.84615</v>
      </c>
      <c r="F288" s="145">
        <v>42603.5503</v>
      </c>
      <c r="G288" s="146">
        <v>53254.43787</v>
      </c>
      <c r="H288" s="146">
        <v>56804.73373</v>
      </c>
      <c r="I288" s="146">
        <v>49704.14201</v>
      </c>
      <c r="J288" s="145">
        <v>53254.43787</v>
      </c>
      <c r="K288" s="145">
        <v>62130.17752</v>
      </c>
      <c r="L288" s="145">
        <v>51479.28994</v>
      </c>
      <c r="M288" s="145">
        <v>53254.43787</v>
      </c>
      <c r="N288" s="145">
        <v>37278.10651</v>
      </c>
      <c r="O288" s="145">
        <v>33727.81065</v>
      </c>
      <c r="P288" s="146">
        <v>26627.21894</v>
      </c>
      <c r="Q288" s="146">
        <v>28402.36686</v>
      </c>
      <c r="R288" s="146">
        <v>30177.51479</v>
      </c>
      <c r="S288" s="146">
        <v>44378.69823</v>
      </c>
    </row>
    <row r="289">
      <c r="A289" s="145">
        <v>17.391</v>
      </c>
      <c r="B289" s="145">
        <f t="shared" si="1"/>
        <v>5617.293</v>
      </c>
      <c r="C289" s="145">
        <v>40828.40237</v>
      </c>
      <c r="D289" s="145">
        <v>42603.5503</v>
      </c>
      <c r="E289" s="146">
        <v>46153.84615</v>
      </c>
      <c r="F289" s="145">
        <v>42603.5503</v>
      </c>
      <c r="G289" s="146">
        <v>53254.43787</v>
      </c>
      <c r="H289" s="146">
        <v>56804.73373</v>
      </c>
      <c r="I289" s="146">
        <v>49704.14201</v>
      </c>
      <c r="J289" s="145">
        <v>53254.43787</v>
      </c>
      <c r="K289" s="145">
        <v>62130.17752</v>
      </c>
      <c r="L289" s="145">
        <v>51479.28994</v>
      </c>
      <c r="M289" s="145">
        <v>53254.43787</v>
      </c>
      <c r="N289" s="145">
        <v>37278.10651</v>
      </c>
      <c r="O289" s="145">
        <v>33727.81065</v>
      </c>
      <c r="P289" s="146">
        <v>26627.21894</v>
      </c>
      <c r="Q289" s="146">
        <v>28402.36686</v>
      </c>
      <c r="R289" s="146">
        <v>30177.51479</v>
      </c>
      <c r="S289" s="146">
        <v>44378.69823</v>
      </c>
    </row>
    <row r="290">
      <c r="A290" s="145">
        <v>17.438</v>
      </c>
      <c r="B290" s="145">
        <f t="shared" si="1"/>
        <v>5632.474</v>
      </c>
      <c r="C290" s="145">
        <v>40828.40237</v>
      </c>
      <c r="D290" s="145">
        <v>42603.5503</v>
      </c>
      <c r="E290" s="146">
        <v>46153.84615</v>
      </c>
      <c r="F290" s="145">
        <v>42603.5503</v>
      </c>
      <c r="G290" s="146">
        <v>53254.43787</v>
      </c>
      <c r="H290" s="146">
        <v>56804.73373</v>
      </c>
      <c r="I290" s="146">
        <v>49704.14201</v>
      </c>
      <c r="J290" s="145">
        <v>53254.43787</v>
      </c>
      <c r="K290" s="145">
        <v>65680.47337</v>
      </c>
      <c r="L290" s="145">
        <v>51479.28994</v>
      </c>
      <c r="M290" s="145">
        <v>53254.43787</v>
      </c>
      <c r="N290" s="145">
        <v>37278.10651</v>
      </c>
      <c r="O290" s="145">
        <v>33727.81065</v>
      </c>
      <c r="P290" s="146">
        <v>26627.21894</v>
      </c>
      <c r="Q290" s="146">
        <v>28402.36686</v>
      </c>
      <c r="R290" s="146">
        <v>30177.51479</v>
      </c>
      <c r="S290" s="146">
        <v>44378.69823</v>
      </c>
    </row>
    <row r="291">
      <c r="A291" s="145">
        <v>17.5</v>
      </c>
      <c r="B291" s="145">
        <f t="shared" si="1"/>
        <v>5652.5</v>
      </c>
      <c r="C291" s="145">
        <v>40828.40237</v>
      </c>
      <c r="D291" s="145">
        <v>42603.5503</v>
      </c>
      <c r="E291" s="146">
        <v>46153.84615</v>
      </c>
      <c r="F291" s="145">
        <v>42603.5503</v>
      </c>
      <c r="G291" s="146">
        <v>53254.43787</v>
      </c>
      <c r="H291" s="146">
        <v>56804.73373</v>
      </c>
      <c r="I291" s="146">
        <v>49704.14201</v>
      </c>
      <c r="J291" s="145">
        <v>53254.43787</v>
      </c>
      <c r="K291" s="145">
        <v>65680.47337</v>
      </c>
      <c r="L291" s="145">
        <v>51479.28994</v>
      </c>
      <c r="M291" s="145">
        <v>53254.43787</v>
      </c>
      <c r="N291" s="145">
        <v>37278.10651</v>
      </c>
      <c r="O291" s="145">
        <v>33727.81065</v>
      </c>
      <c r="P291" s="146">
        <v>26627.21894</v>
      </c>
      <c r="Q291" s="146">
        <v>28402.36686</v>
      </c>
      <c r="R291" s="146">
        <v>31952.66272</v>
      </c>
      <c r="S291" s="146">
        <v>44378.69823</v>
      </c>
    </row>
    <row r="292">
      <c r="A292" s="145">
        <v>17.563</v>
      </c>
      <c r="B292" s="145">
        <f t="shared" si="1"/>
        <v>5672.849</v>
      </c>
      <c r="C292" s="145">
        <v>42603.5503</v>
      </c>
      <c r="D292" s="145">
        <v>42603.5503</v>
      </c>
      <c r="E292" s="146">
        <v>46153.84615</v>
      </c>
      <c r="F292" s="145">
        <v>42603.5503</v>
      </c>
      <c r="G292" s="146">
        <v>53254.43787</v>
      </c>
      <c r="H292" s="146">
        <v>56804.73373</v>
      </c>
      <c r="I292" s="146">
        <v>49704.14201</v>
      </c>
      <c r="J292" s="145">
        <v>53254.43787</v>
      </c>
      <c r="K292" s="145">
        <v>65680.47337</v>
      </c>
      <c r="L292" s="145">
        <v>51479.28994</v>
      </c>
      <c r="M292" s="145">
        <v>53254.43787</v>
      </c>
      <c r="N292" s="145">
        <v>37278.10651</v>
      </c>
      <c r="O292" s="145">
        <v>33727.81065</v>
      </c>
      <c r="P292" s="146">
        <v>26627.21894</v>
      </c>
      <c r="Q292" s="146">
        <v>28402.36686</v>
      </c>
      <c r="R292" s="146">
        <v>31952.66272</v>
      </c>
      <c r="S292" s="146">
        <v>44378.69823</v>
      </c>
    </row>
    <row r="293">
      <c r="A293" s="145">
        <v>17.625</v>
      </c>
      <c r="B293" s="145">
        <f t="shared" si="1"/>
        <v>5692.875</v>
      </c>
      <c r="C293" s="145">
        <v>42603.5503</v>
      </c>
      <c r="D293" s="145">
        <v>42603.5503</v>
      </c>
      <c r="E293" s="146">
        <v>46153.84615</v>
      </c>
      <c r="F293" s="145">
        <v>42603.5503</v>
      </c>
      <c r="G293" s="146">
        <v>53254.43787</v>
      </c>
      <c r="H293" s="146">
        <v>56804.73373</v>
      </c>
      <c r="I293" s="146">
        <v>49704.14201</v>
      </c>
      <c r="J293" s="145">
        <v>53254.43787</v>
      </c>
      <c r="K293" s="145">
        <v>65680.47337</v>
      </c>
      <c r="L293" s="145">
        <v>51479.28994</v>
      </c>
      <c r="M293" s="145">
        <v>53254.43787</v>
      </c>
      <c r="N293" s="145">
        <v>37278.10651</v>
      </c>
      <c r="O293" s="145">
        <v>33727.81065</v>
      </c>
      <c r="P293" s="146">
        <v>26627.21894</v>
      </c>
      <c r="Q293" s="146">
        <v>28402.36686</v>
      </c>
      <c r="R293" s="146">
        <v>31952.66272</v>
      </c>
      <c r="S293" s="146">
        <v>44378.69823</v>
      </c>
    </row>
    <row r="294">
      <c r="A294" s="145">
        <v>17.704</v>
      </c>
      <c r="B294" s="145">
        <f t="shared" si="1"/>
        <v>5718.392</v>
      </c>
      <c r="C294" s="145">
        <v>42603.5503</v>
      </c>
      <c r="D294" s="145">
        <v>42603.5503</v>
      </c>
      <c r="E294" s="146">
        <v>46153.84615</v>
      </c>
      <c r="F294" s="145">
        <v>42603.5503</v>
      </c>
      <c r="G294" s="146">
        <v>53254.43787</v>
      </c>
      <c r="H294" s="146">
        <v>56804.73373</v>
      </c>
      <c r="I294" s="146">
        <v>49704.14201</v>
      </c>
      <c r="J294" s="145">
        <v>53254.43787</v>
      </c>
      <c r="K294" s="145">
        <v>65680.47337</v>
      </c>
      <c r="L294" s="145">
        <v>51479.28994</v>
      </c>
      <c r="M294" s="145">
        <v>53254.43787</v>
      </c>
      <c r="N294" s="145">
        <v>37278.10651</v>
      </c>
      <c r="O294" s="145">
        <v>35502.95858</v>
      </c>
      <c r="P294" s="146">
        <v>26627.21894</v>
      </c>
      <c r="Q294" s="146">
        <v>28402.36686</v>
      </c>
      <c r="R294" s="146">
        <v>31952.66272</v>
      </c>
      <c r="S294" s="146">
        <v>44378.69823</v>
      </c>
    </row>
    <row r="295">
      <c r="A295" s="145">
        <v>17.75</v>
      </c>
      <c r="B295" s="145">
        <f t="shared" si="1"/>
        <v>5733.25</v>
      </c>
      <c r="C295" s="145">
        <v>42603.5503</v>
      </c>
      <c r="D295" s="145">
        <v>42603.5503</v>
      </c>
      <c r="E295" s="146">
        <v>46153.84615</v>
      </c>
      <c r="F295" s="145">
        <v>42603.5503</v>
      </c>
      <c r="G295" s="146">
        <v>53254.43787</v>
      </c>
      <c r="H295" s="146">
        <v>56804.73373</v>
      </c>
      <c r="I295" s="146">
        <v>49704.14201</v>
      </c>
      <c r="J295" s="145">
        <v>53254.43787</v>
      </c>
      <c r="K295" s="145">
        <v>65680.47337</v>
      </c>
      <c r="L295" s="145">
        <v>51479.28994</v>
      </c>
      <c r="M295" s="145">
        <v>53254.43787</v>
      </c>
      <c r="N295" s="145">
        <v>37278.10651</v>
      </c>
      <c r="O295" s="145">
        <v>35502.95858</v>
      </c>
      <c r="P295" s="146">
        <v>26627.21894</v>
      </c>
      <c r="Q295" s="146">
        <v>28402.36686</v>
      </c>
      <c r="R295" s="146">
        <v>31952.66272</v>
      </c>
      <c r="S295" s="146">
        <v>44378.69823</v>
      </c>
    </row>
    <row r="296">
      <c r="A296" s="145">
        <v>17.813</v>
      </c>
      <c r="B296" s="145">
        <f t="shared" si="1"/>
        <v>5753.599</v>
      </c>
      <c r="C296" s="145">
        <v>42603.5503</v>
      </c>
      <c r="D296" s="145">
        <v>42603.5503</v>
      </c>
      <c r="E296" s="146">
        <v>46153.84615</v>
      </c>
      <c r="F296" s="145">
        <v>42603.5503</v>
      </c>
      <c r="G296" s="146">
        <v>53254.43787</v>
      </c>
      <c r="H296" s="146">
        <v>56804.73373</v>
      </c>
      <c r="I296" s="146">
        <v>49704.14201</v>
      </c>
      <c r="J296" s="145">
        <v>53254.43787</v>
      </c>
      <c r="K296" s="145">
        <v>65680.47337</v>
      </c>
      <c r="L296" s="145">
        <v>51479.28994</v>
      </c>
      <c r="M296" s="145">
        <v>53254.43787</v>
      </c>
      <c r="N296" s="145">
        <v>37278.10651</v>
      </c>
      <c r="O296" s="145">
        <v>35502.95858</v>
      </c>
      <c r="P296" s="146">
        <v>26627.21894</v>
      </c>
      <c r="Q296" s="146">
        <v>28402.36686</v>
      </c>
      <c r="R296" s="146">
        <v>31952.66272</v>
      </c>
      <c r="S296" s="146">
        <v>44378.69823</v>
      </c>
    </row>
    <row r="297">
      <c r="A297" s="145">
        <v>17.875</v>
      </c>
      <c r="B297" s="145">
        <f t="shared" si="1"/>
        <v>5773.625</v>
      </c>
      <c r="C297" s="145">
        <v>42603.5503</v>
      </c>
      <c r="D297" s="145">
        <v>42603.5503</v>
      </c>
      <c r="E297" s="146">
        <v>46153.84615</v>
      </c>
      <c r="F297" s="145">
        <v>44378.69823</v>
      </c>
      <c r="G297" s="146">
        <v>53254.43787</v>
      </c>
      <c r="H297" s="146">
        <v>56804.73373</v>
      </c>
      <c r="I297" s="146">
        <v>49704.14201</v>
      </c>
      <c r="J297" s="145">
        <v>53254.43787</v>
      </c>
      <c r="K297" s="145">
        <v>65680.47337</v>
      </c>
      <c r="L297" s="145">
        <v>51479.28994</v>
      </c>
      <c r="M297" s="145">
        <v>53254.43787</v>
      </c>
      <c r="N297" s="145">
        <v>39053.25444</v>
      </c>
      <c r="O297" s="145">
        <v>35502.95858</v>
      </c>
      <c r="P297" s="146">
        <v>26627.21894</v>
      </c>
      <c r="Q297" s="146">
        <v>28402.36686</v>
      </c>
      <c r="R297" s="146">
        <v>31952.66272</v>
      </c>
      <c r="S297" s="146">
        <v>44378.69823</v>
      </c>
    </row>
    <row r="298">
      <c r="A298" s="145">
        <v>17.938</v>
      </c>
      <c r="B298" s="145">
        <f t="shared" si="1"/>
        <v>5793.974</v>
      </c>
      <c r="C298" s="145">
        <v>42603.5503</v>
      </c>
      <c r="D298" s="145">
        <v>42603.5503</v>
      </c>
      <c r="E298" s="146">
        <v>46153.84615</v>
      </c>
      <c r="F298" s="145">
        <v>44378.69823</v>
      </c>
      <c r="G298" s="146">
        <v>53254.43787</v>
      </c>
      <c r="H298" s="146">
        <v>60355.02959</v>
      </c>
      <c r="I298" s="146">
        <v>49704.14201</v>
      </c>
      <c r="J298" s="145">
        <v>53254.43787</v>
      </c>
      <c r="K298" s="145">
        <v>65680.47337</v>
      </c>
      <c r="L298" s="145">
        <v>51479.28994</v>
      </c>
      <c r="M298" s="145">
        <v>53254.43787</v>
      </c>
      <c r="N298" s="145">
        <v>39053.25444</v>
      </c>
      <c r="O298" s="145">
        <v>35502.95858</v>
      </c>
      <c r="P298" s="146">
        <v>26627.21894</v>
      </c>
      <c r="Q298" s="146">
        <v>28402.36686</v>
      </c>
      <c r="R298" s="146">
        <v>31952.66272</v>
      </c>
      <c r="S298" s="146">
        <v>44378.69823</v>
      </c>
    </row>
    <row r="299">
      <c r="A299" s="145">
        <v>18.0</v>
      </c>
      <c r="B299" s="145">
        <f t="shared" si="1"/>
        <v>5814</v>
      </c>
      <c r="C299" s="145">
        <v>42603.5503</v>
      </c>
      <c r="D299" s="145">
        <v>42603.5503</v>
      </c>
      <c r="E299" s="146">
        <v>46153.84615</v>
      </c>
      <c r="F299" s="145">
        <v>44378.69823</v>
      </c>
      <c r="G299" s="146">
        <v>53254.43787</v>
      </c>
      <c r="H299" s="146">
        <v>60355.02959</v>
      </c>
      <c r="I299" s="146">
        <v>49704.14201</v>
      </c>
      <c r="J299" s="145">
        <v>53254.43787</v>
      </c>
      <c r="K299" s="145">
        <v>65680.47337</v>
      </c>
      <c r="L299" s="145">
        <v>51479.28994</v>
      </c>
      <c r="M299" s="145">
        <v>53254.43787</v>
      </c>
      <c r="N299" s="145">
        <v>39053.25444</v>
      </c>
      <c r="O299" s="145">
        <v>35502.95858</v>
      </c>
      <c r="P299" s="146">
        <v>26627.21894</v>
      </c>
      <c r="Q299" s="146">
        <v>28402.36686</v>
      </c>
      <c r="R299" s="146">
        <v>31952.66272</v>
      </c>
      <c r="S299" s="146">
        <v>44378.69823</v>
      </c>
    </row>
    <row r="300">
      <c r="A300" s="145">
        <v>18.079</v>
      </c>
      <c r="B300" s="145">
        <f t="shared" si="1"/>
        <v>5839.517</v>
      </c>
      <c r="C300" s="145">
        <v>42603.5503</v>
      </c>
      <c r="D300" s="145">
        <v>42603.5503</v>
      </c>
      <c r="E300" s="146">
        <v>46153.84615</v>
      </c>
      <c r="F300" s="145">
        <v>44378.69823</v>
      </c>
      <c r="G300" s="146">
        <v>53254.43787</v>
      </c>
      <c r="H300" s="146">
        <v>60355.02959</v>
      </c>
      <c r="I300" s="146">
        <v>49704.14201</v>
      </c>
      <c r="J300" s="145">
        <v>53254.43787</v>
      </c>
      <c r="K300" s="145">
        <v>65680.47337</v>
      </c>
      <c r="L300" s="145">
        <v>51479.28994</v>
      </c>
      <c r="M300" s="145">
        <v>53254.43787</v>
      </c>
      <c r="N300" s="145">
        <v>39053.25444</v>
      </c>
      <c r="O300" s="145">
        <v>35502.95858</v>
      </c>
      <c r="P300" s="146">
        <v>26627.21894</v>
      </c>
      <c r="Q300" s="146">
        <v>28402.36686</v>
      </c>
      <c r="R300" s="146">
        <v>31952.66272</v>
      </c>
      <c r="S300" s="146">
        <v>46153.84615</v>
      </c>
    </row>
    <row r="301">
      <c r="A301" s="145">
        <v>18.125</v>
      </c>
      <c r="B301" s="145">
        <f t="shared" si="1"/>
        <v>5854.375</v>
      </c>
      <c r="C301" s="145">
        <v>42603.5503</v>
      </c>
      <c r="D301" s="145">
        <v>42603.5503</v>
      </c>
      <c r="E301" s="146">
        <v>46153.84615</v>
      </c>
      <c r="F301" s="145">
        <v>44378.69823</v>
      </c>
      <c r="G301" s="146">
        <v>53254.43787</v>
      </c>
      <c r="H301" s="146">
        <v>60355.02959</v>
      </c>
      <c r="I301" s="146">
        <v>49704.14201</v>
      </c>
      <c r="J301" s="145">
        <v>53254.43787</v>
      </c>
      <c r="K301" s="145">
        <v>65680.47337</v>
      </c>
      <c r="L301" s="145">
        <v>51479.28994</v>
      </c>
      <c r="M301" s="145">
        <v>53254.43787</v>
      </c>
      <c r="N301" s="145">
        <v>39053.25444</v>
      </c>
      <c r="O301" s="145">
        <v>35502.95858</v>
      </c>
      <c r="P301" s="146">
        <v>26627.21894</v>
      </c>
      <c r="Q301" s="146">
        <v>28402.36686</v>
      </c>
      <c r="R301" s="146">
        <v>33727.81065</v>
      </c>
      <c r="S301" s="146">
        <v>46153.84615</v>
      </c>
    </row>
    <row r="302">
      <c r="A302" s="145">
        <v>18.188</v>
      </c>
      <c r="B302" s="145">
        <f t="shared" si="1"/>
        <v>5874.724</v>
      </c>
      <c r="C302" s="145">
        <v>42603.5503</v>
      </c>
      <c r="D302" s="145">
        <v>42603.5503</v>
      </c>
      <c r="E302" s="146">
        <v>46153.84615</v>
      </c>
      <c r="F302" s="145">
        <v>44378.69823</v>
      </c>
      <c r="G302" s="146">
        <v>53254.43787</v>
      </c>
      <c r="H302" s="146">
        <v>60355.02959</v>
      </c>
      <c r="I302" s="146">
        <v>49704.14201</v>
      </c>
      <c r="J302" s="145">
        <v>53254.43787</v>
      </c>
      <c r="K302" s="145">
        <v>65680.47337</v>
      </c>
      <c r="L302" s="145">
        <v>51479.28994</v>
      </c>
      <c r="M302" s="145">
        <v>53254.43787</v>
      </c>
      <c r="N302" s="145">
        <v>39053.25444</v>
      </c>
      <c r="O302" s="145">
        <v>35502.95858</v>
      </c>
      <c r="P302" s="146">
        <v>26627.21894</v>
      </c>
      <c r="Q302" s="146">
        <v>28402.36686</v>
      </c>
      <c r="R302" s="146">
        <v>33727.81065</v>
      </c>
      <c r="S302" s="146">
        <v>46153.84615</v>
      </c>
    </row>
    <row r="303">
      <c r="A303" s="145">
        <v>18.25</v>
      </c>
      <c r="B303" s="145">
        <f t="shared" si="1"/>
        <v>5894.75</v>
      </c>
      <c r="C303" s="145">
        <v>42603.5503</v>
      </c>
      <c r="D303" s="145">
        <v>42603.5503</v>
      </c>
      <c r="E303" s="146">
        <v>46153.84615</v>
      </c>
      <c r="F303" s="145">
        <v>44378.69823</v>
      </c>
      <c r="G303" s="146">
        <v>53254.43787</v>
      </c>
      <c r="H303" s="146">
        <v>60355.02959</v>
      </c>
      <c r="I303" s="146">
        <v>49704.14201</v>
      </c>
      <c r="J303" s="145">
        <v>53254.43787</v>
      </c>
      <c r="K303" s="145">
        <v>65680.47337</v>
      </c>
      <c r="L303" s="145">
        <v>51479.28994</v>
      </c>
      <c r="M303" s="145">
        <v>53254.43787</v>
      </c>
      <c r="N303" s="145">
        <v>39053.25444</v>
      </c>
      <c r="O303" s="145">
        <v>35502.95858</v>
      </c>
      <c r="P303" s="146">
        <v>26627.21894</v>
      </c>
      <c r="Q303" s="146">
        <v>28402.36686</v>
      </c>
      <c r="R303" s="146">
        <v>33727.81065</v>
      </c>
      <c r="S303" s="146">
        <v>46153.84615</v>
      </c>
    </row>
    <row r="304">
      <c r="A304" s="145">
        <v>18.329</v>
      </c>
      <c r="B304" s="145">
        <f t="shared" si="1"/>
        <v>5920.267</v>
      </c>
      <c r="C304" s="145">
        <v>42603.5503</v>
      </c>
      <c r="D304" s="145">
        <v>42603.5503</v>
      </c>
      <c r="E304" s="146">
        <v>46153.84615</v>
      </c>
      <c r="F304" s="145">
        <v>44378.69823</v>
      </c>
      <c r="G304" s="146">
        <v>53254.43787</v>
      </c>
      <c r="H304" s="146">
        <v>60355.02959</v>
      </c>
      <c r="I304" s="146">
        <v>49704.14201</v>
      </c>
      <c r="J304" s="145">
        <v>53254.43787</v>
      </c>
      <c r="K304" s="145">
        <v>65680.47337</v>
      </c>
      <c r="L304" s="145">
        <v>51479.28994</v>
      </c>
      <c r="M304" s="145">
        <v>53254.43787</v>
      </c>
      <c r="N304" s="145">
        <v>39053.25444</v>
      </c>
      <c r="O304" s="145">
        <v>35502.95858</v>
      </c>
      <c r="P304" s="146">
        <v>26627.21894</v>
      </c>
      <c r="Q304" s="146">
        <v>28402.36686</v>
      </c>
      <c r="R304" s="146">
        <v>33727.81065</v>
      </c>
      <c r="S304" s="146">
        <v>46153.84615</v>
      </c>
    </row>
    <row r="305">
      <c r="A305" s="145">
        <v>18.375</v>
      </c>
      <c r="B305" s="145">
        <f t="shared" si="1"/>
        <v>5935.125</v>
      </c>
      <c r="C305" s="145">
        <v>42603.5503</v>
      </c>
      <c r="D305" s="145">
        <v>42603.5503</v>
      </c>
      <c r="E305" s="146">
        <v>46153.84615</v>
      </c>
      <c r="F305" s="145">
        <v>44378.69823</v>
      </c>
      <c r="G305" s="146">
        <v>53254.43787</v>
      </c>
      <c r="H305" s="146">
        <v>60355.02959</v>
      </c>
      <c r="I305" s="146">
        <v>51479.28994</v>
      </c>
      <c r="J305" s="145">
        <v>53254.43787</v>
      </c>
      <c r="K305" s="145">
        <v>65680.47337</v>
      </c>
      <c r="L305" s="145">
        <v>51479.28994</v>
      </c>
      <c r="M305" s="145">
        <v>53254.43787</v>
      </c>
      <c r="N305" s="145">
        <v>39053.25444</v>
      </c>
      <c r="O305" s="145">
        <v>35502.95858</v>
      </c>
      <c r="P305" s="146">
        <v>26627.21894</v>
      </c>
      <c r="Q305" s="146">
        <v>28402.36686</v>
      </c>
      <c r="R305" s="146">
        <v>33727.81065</v>
      </c>
      <c r="S305" s="146">
        <v>46153.84615</v>
      </c>
    </row>
    <row r="306">
      <c r="A306" s="145">
        <v>18.438</v>
      </c>
      <c r="B306" s="145">
        <f t="shared" si="1"/>
        <v>5955.474</v>
      </c>
      <c r="C306" s="145">
        <v>42603.5503</v>
      </c>
      <c r="D306" s="145">
        <v>42603.5503</v>
      </c>
      <c r="E306" s="146">
        <v>47928.99408</v>
      </c>
      <c r="F306" s="145">
        <v>44378.69823</v>
      </c>
      <c r="G306" s="146">
        <v>53254.43787</v>
      </c>
      <c r="H306" s="146">
        <v>60355.02959</v>
      </c>
      <c r="I306" s="146">
        <v>51479.28994</v>
      </c>
      <c r="J306" s="145">
        <v>56804.73373</v>
      </c>
      <c r="K306" s="145">
        <v>65680.47337</v>
      </c>
      <c r="L306" s="145">
        <v>51479.28994</v>
      </c>
      <c r="M306" s="145">
        <v>53254.43787</v>
      </c>
      <c r="N306" s="145">
        <v>39053.25444</v>
      </c>
      <c r="O306" s="145">
        <v>35502.95858</v>
      </c>
      <c r="P306" s="146">
        <v>26627.21894</v>
      </c>
      <c r="Q306" s="146">
        <v>28402.36686</v>
      </c>
      <c r="R306" s="146">
        <v>33727.81065</v>
      </c>
      <c r="S306" s="146">
        <v>46153.84615</v>
      </c>
    </row>
    <row r="307">
      <c r="A307" s="145">
        <v>18.516</v>
      </c>
      <c r="B307" s="145">
        <f t="shared" si="1"/>
        <v>5980.668</v>
      </c>
      <c r="C307" s="145">
        <v>42603.5503</v>
      </c>
      <c r="D307" s="145">
        <v>42603.5503</v>
      </c>
      <c r="E307" s="146">
        <v>47928.99408</v>
      </c>
      <c r="F307" s="145">
        <v>44378.69823</v>
      </c>
      <c r="G307" s="146">
        <v>53254.43787</v>
      </c>
      <c r="H307" s="146">
        <v>60355.02959</v>
      </c>
      <c r="I307" s="146">
        <v>51479.28994</v>
      </c>
      <c r="J307" s="145">
        <v>56804.73373</v>
      </c>
      <c r="K307" s="145">
        <v>65680.47337</v>
      </c>
      <c r="L307" s="145">
        <v>51479.28994</v>
      </c>
      <c r="M307" s="145">
        <v>53254.43787</v>
      </c>
      <c r="N307" s="145">
        <v>39053.25444</v>
      </c>
      <c r="O307" s="145">
        <v>35502.95858</v>
      </c>
      <c r="P307" s="146">
        <v>26627.21894</v>
      </c>
      <c r="Q307" s="146">
        <v>28402.36686</v>
      </c>
      <c r="R307" s="146">
        <v>33727.81065</v>
      </c>
      <c r="S307" s="146">
        <v>46153.84615</v>
      </c>
    </row>
    <row r="308">
      <c r="A308" s="145">
        <v>18.563</v>
      </c>
      <c r="B308" s="145">
        <f t="shared" si="1"/>
        <v>5995.849</v>
      </c>
      <c r="C308" s="145">
        <v>42603.5503</v>
      </c>
      <c r="D308" s="145">
        <v>42603.5503</v>
      </c>
      <c r="E308" s="146">
        <v>47928.99408</v>
      </c>
      <c r="F308" s="145">
        <v>47928.99408</v>
      </c>
      <c r="G308" s="146">
        <v>53254.43787</v>
      </c>
      <c r="H308" s="146">
        <v>60355.02959</v>
      </c>
      <c r="I308" s="146">
        <v>51479.28994</v>
      </c>
      <c r="J308" s="145">
        <v>56804.73373</v>
      </c>
      <c r="K308" s="145">
        <v>65680.47337</v>
      </c>
      <c r="L308" s="145">
        <v>51479.28994</v>
      </c>
      <c r="M308" s="145">
        <v>53254.43787</v>
      </c>
      <c r="N308" s="145">
        <v>39053.25444</v>
      </c>
      <c r="O308" s="145">
        <v>35502.95858</v>
      </c>
      <c r="P308" s="146">
        <v>26627.21894</v>
      </c>
      <c r="Q308" s="146">
        <v>28402.36686</v>
      </c>
      <c r="R308" s="146">
        <v>33727.81065</v>
      </c>
      <c r="S308" s="146">
        <v>46153.84615</v>
      </c>
    </row>
    <row r="309">
      <c r="A309" s="145">
        <v>18.625</v>
      </c>
      <c r="B309" s="145">
        <f t="shared" si="1"/>
        <v>6015.875</v>
      </c>
      <c r="C309" s="145">
        <v>42603.5503</v>
      </c>
      <c r="D309" s="145">
        <v>42603.5503</v>
      </c>
      <c r="E309" s="146">
        <v>47928.99408</v>
      </c>
      <c r="F309" s="145">
        <v>47928.99408</v>
      </c>
      <c r="G309" s="146">
        <v>55029.5858</v>
      </c>
      <c r="H309" s="146">
        <v>60355.02959</v>
      </c>
      <c r="I309" s="146">
        <v>51479.28994</v>
      </c>
      <c r="J309" s="145">
        <v>56804.73373</v>
      </c>
      <c r="K309" s="145">
        <v>65680.47337</v>
      </c>
      <c r="L309" s="145">
        <v>51479.28994</v>
      </c>
      <c r="M309" s="145">
        <v>53254.43787</v>
      </c>
      <c r="N309" s="145">
        <v>39053.25444</v>
      </c>
      <c r="O309" s="145">
        <v>37278.10651</v>
      </c>
      <c r="P309" s="146">
        <v>26627.21894</v>
      </c>
      <c r="Q309" s="146">
        <v>28402.36686</v>
      </c>
      <c r="R309" s="146">
        <v>33727.81065</v>
      </c>
      <c r="S309" s="146">
        <v>46153.84615</v>
      </c>
    </row>
    <row r="310">
      <c r="A310" s="145">
        <v>18.704</v>
      </c>
      <c r="B310" s="145">
        <f t="shared" si="1"/>
        <v>6041.392</v>
      </c>
      <c r="C310" s="145">
        <v>42603.5503</v>
      </c>
      <c r="D310" s="145">
        <v>42603.5503</v>
      </c>
      <c r="E310" s="146">
        <v>47928.99408</v>
      </c>
      <c r="F310" s="145">
        <v>47928.99408</v>
      </c>
      <c r="G310" s="146">
        <v>55029.5858</v>
      </c>
      <c r="H310" s="146">
        <v>60355.02959</v>
      </c>
      <c r="I310" s="146">
        <v>51479.28994</v>
      </c>
      <c r="J310" s="145">
        <v>56804.73373</v>
      </c>
      <c r="K310" s="145">
        <v>67455.6213</v>
      </c>
      <c r="L310" s="145">
        <v>53254.43787</v>
      </c>
      <c r="M310" s="145">
        <v>53254.43787</v>
      </c>
      <c r="N310" s="145">
        <v>39053.25444</v>
      </c>
      <c r="O310" s="145">
        <v>37278.10651</v>
      </c>
      <c r="P310" s="146">
        <v>26627.21894</v>
      </c>
      <c r="Q310" s="146">
        <v>28402.36686</v>
      </c>
      <c r="R310" s="146">
        <v>33727.81065</v>
      </c>
      <c r="S310" s="146">
        <v>46153.84615</v>
      </c>
    </row>
    <row r="311">
      <c r="A311" s="145">
        <v>18.75</v>
      </c>
      <c r="B311" s="145">
        <f t="shared" si="1"/>
        <v>6056.25</v>
      </c>
      <c r="C311" s="145">
        <v>42603.5503</v>
      </c>
      <c r="D311" s="145">
        <v>42603.5503</v>
      </c>
      <c r="E311" s="146">
        <v>47928.99408</v>
      </c>
      <c r="F311" s="145">
        <v>47928.99408</v>
      </c>
      <c r="G311" s="146">
        <v>55029.5858</v>
      </c>
      <c r="H311" s="146">
        <v>60355.02959</v>
      </c>
      <c r="I311" s="146">
        <v>51479.28994</v>
      </c>
      <c r="J311" s="145">
        <v>56804.73373</v>
      </c>
      <c r="K311" s="145">
        <v>67455.6213</v>
      </c>
      <c r="L311" s="145">
        <v>53254.43787</v>
      </c>
      <c r="M311" s="145">
        <v>53254.43787</v>
      </c>
      <c r="N311" s="145">
        <v>39053.25444</v>
      </c>
      <c r="O311" s="145">
        <v>37278.10651</v>
      </c>
      <c r="P311" s="146">
        <v>26627.21894</v>
      </c>
      <c r="Q311" s="146">
        <v>28402.36686</v>
      </c>
      <c r="R311" s="146">
        <v>33727.81065</v>
      </c>
      <c r="S311" s="146">
        <v>46153.84615</v>
      </c>
    </row>
    <row r="312">
      <c r="A312" s="145">
        <v>18.813</v>
      </c>
      <c r="B312" s="145">
        <f t="shared" si="1"/>
        <v>6076.599</v>
      </c>
      <c r="C312" s="145">
        <v>42603.5503</v>
      </c>
      <c r="D312" s="145">
        <v>42603.5503</v>
      </c>
      <c r="E312" s="146">
        <v>47928.99408</v>
      </c>
      <c r="F312" s="145">
        <v>47928.99408</v>
      </c>
      <c r="G312" s="146">
        <v>55029.5858</v>
      </c>
      <c r="H312" s="146">
        <v>60355.02959</v>
      </c>
      <c r="I312" s="146">
        <v>51479.28994</v>
      </c>
      <c r="J312" s="145">
        <v>56804.73373</v>
      </c>
      <c r="K312" s="145">
        <v>67455.6213</v>
      </c>
      <c r="L312" s="145">
        <v>53254.43787</v>
      </c>
      <c r="M312" s="145">
        <v>53254.43787</v>
      </c>
      <c r="N312" s="145">
        <v>40828.40237</v>
      </c>
      <c r="O312" s="145">
        <v>37278.10651</v>
      </c>
      <c r="P312" s="146">
        <v>26627.21894</v>
      </c>
      <c r="Q312" s="146">
        <v>28402.36686</v>
      </c>
      <c r="R312" s="146">
        <v>33727.81065</v>
      </c>
      <c r="S312" s="146">
        <v>46153.84615</v>
      </c>
    </row>
    <row r="313">
      <c r="A313" s="145">
        <v>18.875</v>
      </c>
      <c r="B313" s="145">
        <f t="shared" si="1"/>
        <v>6096.625</v>
      </c>
      <c r="C313" s="145">
        <v>42603.5503</v>
      </c>
      <c r="D313" s="145">
        <v>42603.5503</v>
      </c>
      <c r="E313" s="146">
        <v>47928.99408</v>
      </c>
      <c r="F313" s="145">
        <v>47928.99408</v>
      </c>
      <c r="G313" s="146">
        <v>55029.5858</v>
      </c>
      <c r="H313" s="146">
        <v>60355.02959</v>
      </c>
      <c r="I313" s="146">
        <v>51479.28994</v>
      </c>
      <c r="J313" s="145">
        <v>56804.73373</v>
      </c>
      <c r="K313" s="145">
        <v>67455.6213</v>
      </c>
      <c r="L313" s="145">
        <v>53254.43787</v>
      </c>
      <c r="M313" s="145">
        <v>53254.43787</v>
      </c>
      <c r="N313" s="145">
        <v>40828.40237</v>
      </c>
      <c r="O313" s="145">
        <v>37278.10651</v>
      </c>
      <c r="P313" s="146">
        <v>26627.21894</v>
      </c>
      <c r="Q313" s="146">
        <v>28402.36686</v>
      </c>
      <c r="R313" s="146">
        <v>33727.81065</v>
      </c>
      <c r="S313" s="146">
        <v>46153.84615</v>
      </c>
    </row>
    <row r="314">
      <c r="A314" s="145">
        <v>18.938</v>
      </c>
      <c r="B314" s="145">
        <f t="shared" si="1"/>
        <v>6116.974</v>
      </c>
      <c r="C314" s="145">
        <v>42603.5503</v>
      </c>
      <c r="D314" s="145">
        <v>42603.5503</v>
      </c>
      <c r="E314" s="146">
        <v>47928.99408</v>
      </c>
      <c r="F314" s="145">
        <v>49704.14201</v>
      </c>
      <c r="G314" s="146">
        <v>55029.5858</v>
      </c>
      <c r="H314" s="146">
        <v>63905.32544</v>
      </c>
      <c r="I314" s="146">
        <v>51479.28994</v>
      </c>
      <c r="J314" s="145">
        <v>56804.73373</v>
      </c>
      <c r="K314" s="145">
        <v>67455.6213</v>
      </c>
      <c r="L314" s="145">
        <v>53254.43787</v>
      </c>
      <c r="M314" s="145">
        <v>55029.5858</v>
      </c>
      <c r="N314" s="145">
        <v>40828.40237</v>
      </c>
      <c r="O314" s="145">
        <v>37278.10651</v>
      </c>
      <c r="P314" s="146">
        <v>26627.21894</v>
      </c>
      <c r="Q314" s="146">
        <v>28402.36686</v>
      </c>
      <c r="R314" s="146">
        <v>33727.81065</v>
      </c>
      <c r="S314" s="146">
        <v>46153.84615</v>
      </c>
    </row>
    <row r="315">
      <c r="A315" s="145">
        <v>19.0</v>
      </c>
      <c r="B315" s="145">
        <f t="shared" si="1"/>
        <v>6137</v>
      </c>
      <c r="C315" s="145">
        <v>42603.5503</v>
      </c>
      <c r="D315" s="145">
        <v>44378.69823</v>
      </c>
      <c r="E315" s="146">
        <v>47928.99408</v>
      </c>
      <c r="F315" s="145">
        <v>49704.14201</v>
      </c>
      <c r="G315" s="146">
        <v>55029.5858</v>
      </c>
      <c r="H315" s="146">
        <v>63905.32544</v>
      </c>
      <c r="I315" s="146">
        <v>51479.28994</v>
      </c>
      <c r="J315" s="145">
        <v>56804.73373</v>
      </c>
      <c r="K315" s="145">
        <v>67455.6213</v>
      </c>
      <c r="L315" s="145">
        <v>53254.43787</v>
      </c>
      <c r="M315" s="145">
        <v>55029.5858</v>
      </c>
      <c r="N315" s="145">
        <v>40828.40237</v>
      </c>
      <c r="O315" s="145">
        <v>37278.10651</v>
      </c>
      <c r="P315" s="146">
        <v>26627.21894</v>
      </c>
      <c r="Q315" s="146">
        <v>28402.36686</v>
      </c>
      <c r="R315" s="146">
        <v>33727.81065</v>
      </c>
      <c r="S315" s="146">
        <v>46153.84615</v>
      </c>
    </row>
    <row r="316">
      <c r="A316" s="145">
        <v>19.063</v>
      </c>
      <c r="B316" s="145">
        <f t="shared" si="1"/>
        <v>6157.349</v>
      </c>
      <c r="C316" s="145">
        <v>44378.69823</v>
      </c>
      <c r="D316" s="145">
        <v>44378.69823</v>
      </c>
      <c r="E316" s="146">
        <v>47928.99408</v>
      </c>
      <c r="F316" s="145">
        <v>49704.14201</v>
      </c>
      <c r="G316" s="146">
        <v>55029.5858</v>
      </c>
      <c r="H316" s="146">
        <v>63905.32544</v>
      </c>
      <c r="I316" s="146">
        <v>56804.73373</v>
      </c>
      <c r="J316" s="145">
        <v>56804.73373</v>
      </c>
      <c r="K316" s="145">
        <v>67455.6213</v>
      </c>
      <c r="L316" s="145">
        <v>53254.43787</v>
      </c>
      <c r="M316" s="145">
        <v>55029.5858</v>
      </c>
      <c r="N316" s="145">
        <v>40828.40237</v>
      </c>
      <c r="O316" s="145">
        <v>37278.10651</v>
      </c>
      <c r="P316" s="146">
        <v>26627.21894</v>
      </c>
      <c r="Q316" s="146">
        <v>28402.36686</v>
      </c>
      <c r="R316" s="146">
        <v>33727.81065</v>
      </c>
      <c r="S316" s="146">
        <v>46153.84615</v>
      </c>
    </row>
    <row r="317">
      <c r="A317" s="145">
        <v>19.125</v>
      </c>
      <c r="B317" s="145">
        <f t="shared" si="1"/>
        <v>6177.375</v>
      </c>
      <c r="C317" s="145">
        <v>44378.69823</v>
      </c>
      <c r="D317" s="145">
        <v>44378.69823</v>
      </c>
      <c r="E317" s="146">
        <v>47928.99408</v>
      </c>
      <c r="F317" s="145">
        <v>49704.14201</v>
      </c>
      <c r="G317" s="146">
        <v>55029.5858</v>
      </c>
      <c r="H317" s="146">
        <v>63905.32544</v>
      </c>
      <c r="I317" s="146">
        <v>56804.73373</v>
      </c>
      <c r="J317" s="145">
        <v>56804.73373</v>
      </c>
      <c r="K317" s="145">
        <v>67455.6213</v>
      </c>
      <c r="L317" s="145">
        <v>53254.43787</v>
      </c>
      <c r="M317" s="145">
        <v>55029.5858</v>
      </c>
      <c r="N317" s="145">
        <v>40828.40237</v>
      </c>
      <c r="O317" s="145">
        <v>37278.10651</v>
      </c>
      <c r="P317" s="146">
        <v>28402.36686</v>
      </c>
      <c r="Q317" s="146">
        <v>30177.51479</v>
      </c>
      <c r="R317" s="146">
        <v>33727.81065</v>
      </c>
      <c r="S317" s="146">
        <v>47928.99408</v>
      </c>
    </row>
    <row r="318">
      <c r="A318" s="145">
        <v>19.188</v>
      </c>
      <c r="B318" s="145">
        <f t="shared" si="1"/>
        <v>6197.724</v>
      </c>
      <c r="C318" s="145">
        <v>44378.69823</v>
      </c>
      <c r="D318" s="145">
        <v>44378.69823</v>
      </c>
      <c r="E318" s="146">
        <v>47928.99408</v>
      </c>
      <c r="F318" s="145">
        <v>51479.28994</v>
      </c>
      <c r="G318" s="146">
        <v>55029.5858</v>
      </c>
      <c r="H318" s="146">
        <v>63905.32544</v>
      </c>
      <c r="I318" s="146">
        <v>56804.73373</v>
      </c>
      <c r="J318" s="145">
        <v>56804.73373</v>
      </c>
      <c r="K318" s="145">
        <v>67455.6213</v>
      </c>
      <c r="L318" s="145">
        <v>53254.43787</v>
      </c>
      <c r="M318" s="145">
        <v>55029.5858</v>
      </c>
      <c r="N318" s="145">
        <v>40828.40237</v>
      </c>
      <c r="O318" s="145">
        <v>37278.10651</v>
      </c>
      <c r="P318" s="146">
        <v>28402.36686</v>
      </c>
      <c r="Q318" s="146">
        <v>30177.51479</v>
      </c>
      <c r="R318" s="146">
        <v>33727.81065</v>
      </c>
      <c r="S318" s="146">
        <v>47928.99408</v>
      </c>
    </row>
    <row r="319">
      <c r="A319" s="145">
        <v>19.25</v>
      </c>
      <c r="B319" s="145">
        <f t="shared" si="1"/>
        <v>6217.75</v>
      </c>
      <c r="C319" s="145">
        <v>44378.69823</v>
      </c>
      <c r="D319" s="145">
        <v>44378.69823</v>
      </c>
      <c r="E319" s="146">
        <v>47928.99408</v>
      </c>
      <c r="F319" s="145">
        <v>51479.28994</v>
      </c>
      <c r="G319" s="146">
        <v>55029.5858</v>
      </c>
      <c r="H319" s="146">
        <v>63905.32544</v>
      </c>
      <c r="I319" s="146">
        <v>56804.73373</v>
      </c>
      <c r="J319" s="145">
        <v>58579.88166</v>
      </c>
      <c r="K319" s="145">
        <v>67455.6213</v>
      </c>
      <c r="L319" s="145">
        <v>53254.43787</v>
      </c>
      <c r="M319" s="145">
        <v>55029.5858</v>
      </c>
      <c r="N319" s="145">
        <v>40828.40237</v>
      </c>
      <c r="O319" s="145">
        <v>39053.25444</v>
      </c>
      <c r="P319" s="146">
        <v>28402.36686</v>
      </c>
      <c r="Q319" s="146">
        <v>30177.51479</v>
      </c>
      <c r="R319" s="146">
        <v>33727.81065</v>
      </c>
      <c r="S319" s="146">
        <v>47928.99408</v>
      </c>
    </row>
    <row r="320">
      <c r="A320" s="145">
        <v>19.313</v>
      </c>
      <c r="B320" s="145">
        <f t="shared" si="1"/>
        <v>6238.099</v>
      </c>
      <c r="C320" s="145">
        <v>44378.69823</v>
      </c>
      <c r="D320" s="145">
        <v>44378.69823</v>
      </c>
      <c r="E320" s="146">
        <v>47928.99408</v>
      </c>
      <c r="F320" s="145">
        <v>51479.28994</v>
      </c>
      <c r="G320" s="146">
        <v>55029.5858</v>
      </c>
      <c r="H320" s="146">
        <v>63905.32544</v>
      </c>
      <c r="I320" s="146">
        <v>56804.73373</v>
      </c>
      <c r="J320" s="145">
        <v>58579.88166</v>
      </c>
      <c r="K320" s="145">
        <v>67455.6213</v>
      </c>
      <c r="L320" s="145">
        <v>53254.43787</v>
      </c>
      <c r="M320" s="145">
        <v>55029.5858</v>
      </c>
      <c r="N320" s="145">
        <v>40828.40237</v>
      </c>
      <c r="O320" s="145">
        <v>39053.25444</v>
      </c>
      <c r="P320" s="146">
        <v>28402.36686</v>
      </c>
      <c r="Q320" s="146">
        <v>30177.51479</v>
      </c>
      <c r="R320" s="146">
        <v>33727.81065</v>
      </c>
      <c r="S320" s="146">
        <v>47928.99408</v>
      </c>
    </row>
    <row r="321">
      <c r="A321" s="145">
        <v>19.375</v>
      </c>
      <c r="B321" s="145">
        <f t="shared" si="1"/>
        <v>6258.125</v>
      </c>
      <c r="C321" s="145">
        <v>44378.69823</v>
      </c>
      <c r="D321" s="145">
        <v>46153.84615</v>
      </c>
      <c r="E321" s="146">
        <v>49704.14201</v>
      </c>
      <c r="F321" s="145">
        <v>51479.28994</v>
      </c>
      <c r="G321" s="146">
        <v>55029.5858</v>
      </c>
      <c r="H321" s="146">
        <v>63905.32544</v>
      </c>
      <c r="I321" s="146">
        <v>56804.73373</v>
      </c>
      <c r="J321" s="145">
        <v>58579.88166</v>
      </c>
      <c r="K321" s="145">
        <v>67455.6213</v>
      </c>
      <c r="L321" s="145">
        <v>53254.43787</v>
      </c>
      <c r="M321" s="145">
        <v>55029.5858</v>
      </c>
      <c r="N321" s="145">
        <v>40828.40237</v>
      </c>
      <c r="O321" s="145">
        <v>39053.25444</v>
      </c>
      <c r="P321" s="146">
        <v>28402.36686</v>
      </c>
      <c r="Q321" s="146">
        <v>30177.51479</v>
      </c>
      <c r="R321" s="146">
        <v>33727.81065</v>
      </c>
      <c r="S321" s="146">
        <v>47928.99408</v>
      </c>
    </row>
    <row r="322">
      <c r="A322" s="145">
        <v>19.438</v>
      </c>
      <c r="B322" s="145">
        <f t="shared" si="1"/>
        <v>6278.474</v>
      </c>
      <c r="C322" s="145">
        <v>44378.69823</v>
      </c>
      <c r="D322" s="145">
        <v>46153.84615</v>
      </c>
      <c r="E322" s="146">
        <v>49704.14201</v>
      </c>
      <c r="F322" s="145">
        <v>51479.28994</v>
      </c>
      <c r="G322" s="146">
        <v>55029.5858</v>
      </c>
      <c r="H322" s="146">
        <v>63905.32544</v>
      </c>
      <c r="I322" s="146">
        <v>56804.73373</v>
      </c>
      <c r="J322" s="145">
        <v>58579.88166</v>
      </c>
      <c r="K322" s="145">
        <v>67455.6213</v>
      </c>
      <c r="L322" s="145">
        <v>53254.43787</v>
      </c>
      <c r="M322" s="145">
        <v>55029.5858</v>
      </c>
      <c r="N322" s="145">
        <v>40828.40237</v>
      </c>
      <c r="O322" s="145">
        <v>39053.25444</v>
      </c>
      <c r="P322" s="146">
        <v>28402.36686</v>
      </c>
      <c r="Q322" s="146">
        <v>30177.51479</v>
      </c>
      <c r="R322" s="146">
        <v>33727.81065</v>
      </c>
      <c r="S322" s="146">
        <v>47928.99408</v>
      </c>
    </row>
    <row r="323">
      <c r="A323" s="145">
        <v>19.5</v>
      </c>
      <c r="B323" s="145">
        <f t="shared" si="1"/>
        <v>6298.5</v>
      </c>
      <c r="C323" s="145">
        <v>44378.69823</v>
      </c>
      <c r="D323" s="145">
        <v>46153.84615</v>
      </c>
      <c r="E323" s="146">
        <v>49704.14201</v>
      </c>
      <c r="F323" s="145">
        <v>51479.28994</v>
      </c>
      <c r="G323" s="146">
        <v>55029.5858</v>
      </c>
      <c r="H323" s="146">
        <v>63905.32544</v>
      </c>
      <c r="I323" s="146">
        <v>56804.73373</v>
      </c>
      <c r="J323" s="145">
        <v>58579.88166</v>
      </c>
      <c r="K323" s="145">
        <v>67455.6213</v>
      </c>
      <c r="L323" s="145">
        <v>53254.43787</v>
      </c>
      <c r="M323" s="145">
        <v>55029.5858</v>
      </c>
      <c r="N323" s="145">
        <v>40828.40237</v>
      </c>
      <c r="O323" s="145">
        <v>39053.25444</v>
      </c>
      <c r="P323" s="146">
        <v>28402.36686</v>
      </c>
      <c r="Q323" s="146">
        <v>30177.51479</v>
      </c>
      <c r="R323" s="146">
        <v>33727.81065</v>
      </c>
      <c r="S323" s="146">
        <v>47928.99408</v>
      </c>
    </row>
    <row r="324">
      <c r="A324" s="145">
        <v>19.563</v>
      </c>
      <c r="B324" s="145">
        <f t="shared" si="1"/>
        <v>6318.849</v>
      </c>
      <c r="C324" s="145">
        <v>46153.84615</v>
      </c>
      <c r="D324" s="145">
        <v>46153.84615</v>
      </c>
      <c r="E324" s="146">
        <v>49704.14201</v>
      </c>
      <c r="F324" s="145">
        <v>51479.28994</v>
      </c>
      <c r="G324" s="146">
        <v>56804.73373</v>
      </c>
      <c r="H324" s="146">
        <v>63905.32544</v>
      </c>
      <c r="I324" s="146">
        <v>56804.73373</v>
      </c>
      <c r="J324" s="145">
        <v>58579.88166</v>
      </c>
      <c r="K324" s="145">
        <v>67455.6213</v>
      </c>
      <c r="L324" s="145">
        <v>53254.43787</v>
      </c>
      <c r="M324" s="145">
        <v>55029.5858</v>
      </c>
      <c r="N324" s="145">
        <v>40828.40237</v>
      </c>
      <c r="O324" s="145">
        <v>39053.25444</v>
      </c>
      <c r="P324" s="146">
        <v>28402.36686</v>
      </c>
      <c r="Q324" s="146">
        <v>30177.51479</v>
      </c>
      <c r="R324" s="146">
        <v>33727.81065</v>
      </c>
      <c r="S324" s="146">
        <v>47928.99408</v>
      </c>
    </row>
    <row r="325">
      <c r="A325" s="145">
        <v>19.625</v>
      </c>
      <c r="B325" s="145">
        <f t="shared" si="1"/>
        <v>6338.875</v>
      </c>
      <c r="C325" s="145">
        <v>46153.84615</v>
      </c>
      <c r="D325" s="145">
        <v>46153.84615</v>
      </c>
      <c r="E325" s="146">
        <v>49704.14201</v>
      </c>
      <c r="F325" s="145">
        <v>51479.28994</v>
      </c>
      <c r="G325" s="146">
        <v>56804.73373</v>
      </c>
      <c r="H325" s="146">
        <v>63905.32544</v>
      </c>
      <c r="I325" s="146">
        <v>56804.73373</v>
      </c>
      <c r="J325" s="145">
        <v>58579.88166</v>
      </c>
      <c r="K325" s="145">
        <v>69230.76923</v>
      </c>
      <c r="L325" s="145">
        <v>53254.43787</v>
      </c>
      <c r="M325" s="145">
        <v>55029.5858</v>
      </c>
      <c r="N325" s="145">
        <v>40828.40237</v>
      </c>
      <c r="O325" s="145">
        <v>39053.25444</v>
      </c>
      <c r="P325" s="146">
        <v>28402.36686</v>
      </c>
      <c r="Q325" s="146">
        <v>30177.51479</v>
      </c>
      <c r="R325" s="146">
        <v>33727.81065</v>
      </c>
      <c r="S325" s="146">
        <v>47928.99408</v>
      </c>
    </row>
    <row r="326">
      <c r="A326" s="145">
        <v>19.688</v>
      </c>
      <c r="B326" s="145">
        <f t="shared" si="1"/>
        <v>6359.224</v>
      </c>
      <c r="C326" s="145">
        <v>46153.84615</v>
      </c>
      <c r="D326" s="145">
        <v>46153.84615</v>
      </c>
      <c r="E326" s="146">
        <v>49704.14201</v>
      </c>
      <c r="F326" s="145">
        <v>51479.28994</v>
      </c>
      <c r="G326" s="146">
        <v>56804.73373</v>
      </c>
      <c r="H326" s="146">
        <v>63905.32544</v>
      </c>
      <c r="I326" s="146">
        <v>56804.73373</v>
      </c>
      <c r="J326" s="145">
        <v>58579.88166</v>
      </c>
      <c r="K326" s="145">
        <v>69230.76923</v>
      </c>
      <c r="L326" s="145">
        <v>53254.43787</v>
      </c>
      <c r="M326" s="145">
        <v>58579.88166</v>
      </c>
      <c r="N326" s="145">
        <v>40828.40237</v>
      </c>
      <c r="O326" s="145">
        <v>39053.25444</v>
      </c>
      <c r="P326" s="146">
        <v>28402.36686</v>
      </c>
      <c r="Q326" s="146">
        <v>30177.51479</v>
      </c>
      <c r="R326" s="146">
        <v>33727.81065</v>
      </c>
      <c r="S326" s="146">
        <v>47928.99408</v>
      </c>
    </row>
    <row r="327">
      <c r="A327" s="145">
        <v>19.766</v>
      </c>
      <c r="B327" s="145">
        <f t="shared" si="1"/>
        <v>6384.418</v>
      </c>
      <c r="C327" s="145">
        <v>46153.84615</v>
      </c>
      <c r="D327" s="145">
        <v>46153.84615</v>
      </c>
      <c r="E327" s="146">
        <v>49704.14201</v>
      </c>
      <c r="F327" s="145">
        <v>51479.28994</v>
      </c>
      <c r="G327" s="146">
        <v>58579.88166</v>
      </c>
      <c r="H327" s="146">
        <v>63905.32544</v>
      </c>
      <c r="I327" s="146">
        <v>56804.73373</v>
      </c>
      <c r="J327" s="145">
        <v>58579.88166</v>
      </c>
      <c r="K327" s="145">
        <v>69230.76923</v>
      </c>
      <c r="L327" s="145">
        <v>53254.43787</v>
      </c>
      <c r="M327" s="145">
        <v>58579.88166</v>
      </c>
      <c r="N327" s="145">
        <v>40828.40237</v>
      </c>
      <c r="O327" s="145">
        <v>39053.25444</v>
      </c>
      <c r="P327" s="146">
        <v>28402.36686</v>
      </c>
      <c r="Q327" s="146">
        <v>30177.51479</v>
      </c>
      <c r="R327" s="146">
        <v>33727.81065</v>
      </c>
      <c r="S327" s="146">
        <v>47928.99408</v>
      </c>
    </row>
    <row r="328">
      <c r="A328" s="145">
        <v>19.813</v>
      </c>
      <c r="B328" s="145">
        <f t="shared" si="1"/>
        <v>6399.599</v>
      </c>
      <c r="C328" s="145">
        <v>46153.84615</v>
      </c>
      <c r="D328" s="145">
        <v>46153.84615</v>
      </c>
      <c r="E328" s="146">
        <v>49704.14201</v>
      </c>
      <c r="F328" s="145">
        <v>51479.28994</v>
      </c>
      <c r="G328" s="146">
        <v>58579.88166</v>
      </c>
      <c r="H328" s="146">
        <v>63905.32544</v>
      </c>
      <c r="I328" s="146">
        <v>56804.73373</v>
      </c>
      <c r="J328" s="145">
        <v>58579.88166</v>
      </c>
      <c r="K328" s="145">
        <v>69230.76923</v>
      </c>
      <c r="L328" s="145">
        <v>53254.43787</v>
      </c>
      <c r="M328" s="145">
        <v>58579.88166</v>
      </c>
      <c r="N328" s="145">
        <v>42603.5503</v>
      </c>
      <c r="O328" s="145">
        <v>39053.25444</v>
      </c>
      <c r="P328" s="146">
        <v>28402.36686</v>
      </c>
      <c r="Q328" s="146">
        <v>31952.66272</v>
      </c>
      <c r="R328" s="146">
        <v>33727.81065</v>
      </c>
      <c r="S328" s="146">
        <v>47928.99408</v>
      </c>
    </row>
    <row r="329">
      <c r="A329" s="145">
        <v>19.875</v>
      </c>
      <c r="B329" s="145">
        <f t="shared" si="1"/>
        <v>6419.625</v>
      </c>
      <c r="C329" s="145">
        <v>46153.84615</v>
      </c>
      <c r="D329" s="145">
        <v>46153.84615</v>
      </c>
      <c r="E329" s="146">
        <v>49704.14201</v>
      </c>
      <c r="F329" s="145">
        <v>51479.28994</v>
      </c>
      <c r="G329" s="146">
        <v>58579.88166</v>
      </c>
      <c r="H329" s="146">
        <v>63905.32544</v>
      </c>
      <c r="I329" s="146">
        <v>56804.73373</v>
      </c>
      <c r="J329" s="145">
        <v>58579.88166</v>
      </c>
      <c r="K329" s="145">
        <v>69230.76923</v>
      </c>
      <c r="L329" s="145">
        <v>53254.43787</v>
      </c>
      <c r="M329" s="145">
        <v>58579.88166</v>
      </c>
      <c r="N329" s="145">
        <v>42603.5503</v>
      </c>
      <c r="O329" s="145">
        <v>39053.25444</v>
      </c>
      <c r="P329" s="146">
        <v>30177.51479</v>
      </c>
      <c r="Q329" s="146">
        <v>31952.66272</v>
      </c>
      <c r="R329" s="146">
        <v>33727.81065</v>
      </c>
      <c r="S329" s="146">
        <v>47928.99408</v>
      </c>
    </row>
    <row r="330">
      <c r="A330" s="145">
        <v>19.938</v>
      </c>
      <c r="B330" s="145">
        <f t="shared" si="1"/>
        <v>6439.974</v>
      </c>
      <c r="C330" s="145">
        <v>46153.84615</v>
      </c>
      <c r="D330" s="145">
        <v>46153.84615</v>
      </c>
      <c r="E330" s="146">
        <v>49704.14201</v>
      </c>
      <c r="F330" s="145">
        <v>51479.28994</v>
      </c>
      <c r="G330" s="146">
        <v>58579.88166</v>
      </c>
      <c r="H330" s="146">
        <v>67455.6213</v>
      </c>
      <c r="I330" s="146">
        <v>56804.73373</v>
      </c>
      <c r="J330" s="145">
        <v>58579.88166</v>
      </c>
      <c r="K330" s="145">
        <v>69230.76923</v>
      </c>
      <c r="L330" s="145">
        <v>53254.43787</v>
      </c>
      <c r="M330" s="145">
        <v>58579.88166</v>
      </c>
      <c r="N330" s="145">
        <v>42603.5503</v>
      </c>
      <c r="O330" s="145">
        <v>39053.25444</v>
      </c>
      <c r="P330" s="146">
        <v>30177.51479</v>
      </c>
      <c r="Q330" s="146">
        <v>31952.66272</v>
      </c>
      <c r="R330" s="146">
        <v>33727.81065</v>
      </c>
      <c r="S330" s="146">
        <v>47928.99408</v>
      </c>
    </row>
    <row r="331">
      <c r="A331" s="145">
        <v>20.0</v>
      </c>
      <c r="B331" s="145">
        <f t="shared" si="1"/>
        <v>6460</v>
      </c>
      <c r="C331" s="145">
        <v>46153.84615</v>
      </c>
      <c r="D331" s="145">
        <v>46153.84615</v>
      </c>
      <c r="E331" s="146">
        <v>49704.14201</v>
      </c>
      <c r="F331" s="145">
        <v>51479.28994</v>
      </c>
      <c r="G331" s="146">
        <v>58579.88166</v>
      </c>
      <c r="H331" s="146">
        <v>67455.6213</v>
      </c>
      <c r="I331" s="146">
        <v>56804.73373</v>
      </c>
      <c r="J331" s="145">
        <v>58579.88166</v>
      </c>
      <c r="K331" s="145">
        <v>69230.76923</v>
      </c>
      <c r="L331" s="145">
        <v>56804.73373</v>
      </c>
      <c r="M331" s="145">
        <v>58579.88166</v>
      </c>
      <c r="N331" s="145">
        <v>42603.5503</v>
      </c>
      <c r="O331" s="145">
        <v>39053.25444</v>
      </c>
      <c r="P331" s="146">
        <v>30177.51479</v>
      </c>
      <c r="Q331" s="146">
        <v>31952.66272</v>
      </c>
      <c r="R331" s="146">
        <v>33727.81065</v>
      </c>
      <c r="S331" s="146">
        <v>47928.99408</v>
      </c>
    </row>
    <row r="332">
      <c r="A332" s="145">
        <v>20.079</v>
      </c>
      <c r="B332" s="145">
        <f t="shared" si="1"/>
        <v>6485.517</v>
      </c>
      <c r="C332" s="145">
        <v>46153.84615</v>
      </c>
      <c r="D332" s="145">
        <v>46153.84615</v>
      </c>
      <c r="E332" s="146">
        <v>49704.14201</v>
      </c>
      <c r="F332" s="145">
        <v>51479.28994</v>
      </c>
      <c r="G332" s="146">
        <v>58579.88166</v>
      </c>
      <c r="H332" s="146">
        <v>67455.6213</v>
      </c>
      <c r="I332" s="146">
        <v>56804.73373</v>
      </c>
      <c r="J332" s="145">
        <v>58579.88166</v>
      </c>
      <c r="K332" s="145">
        <v>69230.76923</v>
      </c>
      <c r="L332" s="145">
        <v>56804.73373</v>
      </c>
      <c r="M332" s="145">
        <v>58579.88166</v>
      </c>
      <c r="N332" s="145">
        <v>42603.5503</v>
      </c>
      <c r="O332" s="145">
        <v>39053.25444</v>
      </c>
      <c r="P332" s="146">
        <v>30177.51479</v>
      </c>
      <c r="Q332" s="146">
        <v>31952.66272</v>
      </c>
      <c r="R332" s="146">
        <v>33727.81065</v>
      </c>
      <c r="S332" s="146">
        <v>47928.99408</v>
      </c>
    </row>
    <row r="333">
      <c r="A333" s="145">
        <v>20.125</v>
      </c>
      <c r="B333" s="145">
        <f t="shared" si="1"/>
        <v>6500.375</v>
      </c>
      <c r="C333" s="145">
        <v>46153.84615</v>
      </c>
      <c r="D333" s="145">
        <v>46153.84615</v>
      </c>
      <c r="E333" s="146">
        <v>49704.14201</v>
      </c>
      <c r="F333" s="145">
        <v>51479.28994</v>
      </c>
      <c r="G333" s="146">
        <v>58579.88166</v>
      </c>
      <c r="H333" s="146">
        <v>67455.6213</v>
      </c>
      <c r="I333" s="146">
        <v>56804.73373</v>
      </c>
      <c r="J333" s="145">
        <v>58579.88166</v>
      </c>
      <c r="K333" s="145">
        <v>69230.76923</v>
      </c>
      <c r="L333" s="145">
        <v>56804.73373</v>
      </c>
      <c r="M333" s="145">
        <v>58579.88166</v>
      </c>
      <c r="N333" s="145">
        <v>42603.5503</v>
      </c>
      <c r="O333" s="145">
        <v>39053.25444</v>
      </c>
      <c r="P333" s="146">
        <v>30177.51479</v>
      </c>
      <c r="Q333" s="146">
        <v>31952.66272</v>
      </c>
      <c r="R333" s="146">
        <v>33727.81065</v>
      </c>
      <c r="S333" s="146">
        <v>47928.99408</v>
      </c>
    </row>
    <row r="334">
      <c r="A334" s="145">
        <v>20.188</v>
      </c>
      <c r="B334" s="145">
        <f t="shared" si="1"/>
        <v>6520.724</v>
      </c>
      <c r="C334" s="145">
        <v>46153.84615</v>
      </c>
      <c r="D334" s="145">
        <v>46153.84615</v>
      </c>
      <c r="E334" s="146">
        <v>49704.14201</v>
      </c>
      <c r="F334" s="145">
        <v>51479.28994</v>
      </c>
      <c r="G334" s="146">
        <v>58579.88166</v>
      </c>
      <c r="H334" s="146">
        <v>67455.6213</v>
      </c>
      <c r="I334" s="146">
        <v>56804.73373</v>
      </c>
      <c r="J334" s="145">
        <v>58579.88166</v>
      </c>
      <c r="K334" s="145">
        <v>69230.76923</v>
      </c>
      <c r="L334" s="145">
        <v>56804.73373</v>
      </c>
      <c r="M334" s="145">
        <v>58579.88166</v>
      </c>
      <c r="N334" s="145">
        <v>42603.5503</v>
      </c>
      <c r="O334" s="145">
        <v>39053.25444</v>
      </c>
      <c r="P334" s="146">
        <v>30177.51479</v>
      </c>
      <c r="Q334" s="146">
        <v>31952.66272</v>
      </c>
      <c r="R334" s="146">
        <v>33727.81065</v>
      </c>
      <c r="S334" s="146">
        <v>47928.99408</v>
      </c>
    </row>
    <row r="335">
      <c r="A335" s="145">
        <v>20.25</v>
      </c>
      <c r="B335" s="145">
        <f t="shared" si="1"/>
        <v>6540.75</v>
      </c>
      <c r="C335" s="145">
        <v>46153.84615</v>
      </c>
      <c r="D335" s="145">
        <v>46153.84615</v>
      </c>
      <c r="E335" s="146">
        <v>51479.28994</v>
      </c>
      <c r="F335" s="145">
        <v>51479.28994</v>
      </c>
      <c r="G335" s="146">
        <v>58579.88166</v>
      </c>
      <c r="H335" s="146">
        <v>67455.6213</v>
      </c>
      <c r="I335" s="146">
        <v>56804.73373</v>
      </c>
      <c r="J335" s="145">
        <v>58579.88166</v>
      </c>
      <c r="K335" s="145">
        <v>69230.76923</v>
      </c>
      <c r="L335" s="145">
        <v>56804.73373</v>
      </c>
      <c r="M335" s="145">
        <v>58579.88166</v>
      </c>
      <c r="N335" s="145">
        <v>42603.5503</v>
      </c>
      <c r="O335" s="145">
        <v>39053.25444</v>
      </c>
      <c r="P335" s="146">
        <v>30177.51479</v>
      </c>
      <c r="Q335" s="146">
        <v>31952.66272</v>
      </c>
      <c r="R335" s="146">
        <v>33727.81065</v>
      </c>
      <c r="S335" s="146">
        <v>47928.99408</v>
      </c>
    </row>
    <row r="336">
      <c r="A336" s="145">
        <v>20.313</v>
      </c>
      <c r="B336" s="145">
        <f t="shared" si="1"/>
        <v>6561.099</v>
      </c>
      <c r="C336" s="145">
        <v>46153.84615</v>
      </c>
      <c r="D336" s="145">
        <v>46153.84615</v>
      </c>
      <c r="E336" s="146">
        <v>51479.28994</v>
      </c>
      <c r="F336" s="145">
        <v>51479.28994</v>
      </c>
      <c r="G336" s="146">
        <v>58579.88166</v>
      </c>
      <c r="H336" s="146">
        <v>67455.6213</v>
      </c>
      <c r="I336" s="146">
        <v>56804.73373</v>
      </c>
      <c r="J336" s="145">
        <v>58579.88166</v>
      </c>
      <c r="K336" s="145">
        <v>69230.76923</v>
      </c>
      <c r="L336" s="145">
        <v>56804.73373</v>
      </c>
      <c r="M336" s="145">
        <v>58579.88166</v>
      </c>
      <c r="N336" s="145">
        <v>42603.5503</v>
      </c>
      <c r="O336" s="145">
        <v>39053.25444</v>
      </c>
      <c r="P336" s="146">
        <v>30177.51479</v>
      </c>
      <c r="Q336" s="146">
        <v>31952.66272</v>
      </c>
      <c r="R336" s="146">
        <v>33727.81065</v>
      </c>
      <c r="S336" s="146">
        <v>47928.99408</v>
      </c>
    </row>
    <row r="337">
      <c r="A337" s="145">
        <v>20.375</v>
      </c>
      <c r="B337" s="145">
        <f t="shared" si="1"/>
        <v>6581.125</v>
      </c>
      <c r="C337" s="145">
        <v>46153.84615</v>
      </c>
      <c r="D337" s="145">
        <v>46153.84615</v>
      </c>
      <c r="E337" s="146">
        <v>51479.28994</v>
      </c>
      <c r="F337" s="145">
        <v>53254.43787</v>
      </c>
      <c r="G337" s="146">
        <v>58579.88166</v>
      </c>
      <c r="H337" s="146">
        <v>67455.6213</v>
      </c>
      <c r="I337" s="146">
        <v>56804.73373</v>
      </c>
      <c r="J337" s="145">
        <v>58579.88166</v>
      </c>
      <c r="K337" s="145">
        <v>69230.76923</v>
      </c>
      <c r="L337" s="145">
        <v>56804.73373</v>
      </c>
      <c r="M337" s="145">
        <v>58579.88166</v>
      </c>
      <c r="N337" s="145">
        <v>42603.5503</v>
      </c>
      <c r="O337" s="145">
        <v>39053.25444</v>
      </c>
      <c r="P337" s="146">
        <v>30177.51479</v>
      </c>
      <c r="Q337" s="146">
        <v>31952.66272</v>
      </c>
      <c r="R337" s="146">
        <v>33727.81065</v>
      </c>
      <c r="S337" s="146">
        <v>47928.99408</v>
      </c>
    </row>
    <row r="338">
      <c r="A338" s="145">
        <v>20.438</v>
      </c>
      <c r="B338" s="145">
        <f t="shared" si="1"/>
        <v>6601.474</v>
      </c>
      <c r="C338" s="145">
        <v>46153.84615</v>
      </c>
      <c r="D338" s="145">
        <v>47928.99408</v>
      </c>
      <c r="E338" s="146">
        <v>51479.28994</v>
      </c>
      <c r="F338" s="145">
        <v>56804.73373</v>
      </c>
      <c r="G338" s="146">
        <v>58579.88166</v>
      </c>
      <c r="H338" s="146">
        <v>67455.6213</v>
      </c>
      <c r="I338" s="146">
        <v>56804.73373</v>
      </c>
      <c r="J338" s="145">
        <v>58579.88166</v>
      </c>
      <c r="K338" s="145">
        <v>69230.76923</v>
      </c>
      <c r="L338" s="145">
        <v>56804.73373</v>
      </c>
      <c r="M338" s="145">
        <v>58579.88166</v>
      </c>
      <c r="N338" s="145">
        <v>42603.5503</v>
      </c>
      <c r="O338" s="145">
        <v>39053.25444</v>
      </c>
      <c r="P338" s="146">
        <v>30177.51479</v>
      </c>
      <c r="Q338" s="146">
        <v>31952.66272</v>
      </c>
      <c r="R338" s="146">
        <v>33727.81065</v>
      </c>
      <c r="S338" s="146">
        <v>47928.99408</v>
      </c>
    </row>
    <row r="339">
      <c r="A339" s="145">
        <v>20.5</v>
      </c>
      <c r="B339" s="145">
        <f t="shared" si="1"/>
        <v>6621.5</v>
      </c>
      <c r="C339" s="145">
        <v>47928.99408</v>
      </c>
      <c r="D339" s="145">
        <v>47928.99408</v>
      </c>
      <c r="E339" s="146">
        <v>51479.28994</v>
      </c>
      <c r="F339" s="145">
        <v>56804.73373</v>
      </c>
      <c r="G339" s="146">
        <v>58579.88166</v>
      </c>
      <c r="H339" s="146">
        <v>67455.6213</v>
      </c>
      <c r="I339" s="146">
        <v>56804.73373</v>
      </c>
      <c r="J339" s="145">
        <v>58579.88166</v>
      </c>
      <c r="K339" s="145">
        <v>69230.76923</v>
      </c>
      <c r="L339" s="145">
        <v>56804.73373</v>
      </c>
      <c r="M339" s="145">
        <v>58579.88166</v>
      </c>
      <c r="N339" s="145">
        <v>42603.5503</v>
      </c>
      <c r="O339" s="145">
        <v>39053.25444</v>
      </c>
      <c r="P339" s="146">
        <v>30177.51479</v>
      </c>
      <c r="Q339" s="146">
        <v>31952.66272</v>
      </c>
      <c r="R339" s="146">
        <v>33727.81065</v>
      </c>
      <c r="S339" s="146">
        <v>47928.99408</v>
      </c>
    </row>
    <row r="340">
      <c r="A340" s="145">
        <v>20.563</v>
      </c>
      <c r="B340" s="145">
        <f t="shared" si="1"/>
        <v>6641.849</v>
      </c>
      <c r="C340" s="145">
        <v>47928.99408</v>
      </c>
      <c r="D340" s="145">
        <v>47928.99408</v>
      </c>
      <c r="E340" s="146">
        <v>51479.28994</v>
      </c>
      <c r="F340" s="145">
        <v>56804.73373</v>
      </c>
      <c r="G340" s="146">
        <v>58579.88166</v>
      </c>
      <c r="H340" s="146">
        <v>67455.6213</v>
      </c>
      <c r="I340" s="146">
        <v>56804.73373</v>
      </c>
      <c r="J340" s="145">
        <v>58579.88166</v>
      </c>
      <c r="K340" s="145">
        <v>69230.76923</v>
      </c>
      <c r="L340" s="145">
        <v>56804.73373</v>
      </c>
      <c r="M340" s="145">
        <v>58579.88166</v>
      </c>
      <c r="N340" s="145">
        <v>42603.5503</v>
      </c>
      <c r="O340" s="145">
        <v>39053.25444</v>
      </c>
      <c r="P340" s="146">
        <v>30177.51479</v>
      </c>
      <c r="Q340" s="146">
        <v>31952.66272</v>
      </c>
      <c r="R340" s="146">
        <v>33727.81065</v>
      </c>
      <c r="S340" s="146">
        <v>47928.99408</v>
      </c>
    </row>
    <row r="341">
      <c r="A341" s="145">
        <v>20.625</v>
      </c>
      <c r="B341" s="145">
        <f t="shared" si="1"/>
        <v>6661.875</v>
      </c>
      <c r="C341" s="145">
        <v>47928.99408</v>
      </c>
      <c r="D341" s="145">
        <v>47928.99408</v>
      </c>
      <c r="E341" s="146">
        <v>51479.28994</v>
      </c>
      <c r="F341" s="145">
        <v>56804.73373</v>
      </c>
      <c r="G341" s="146">
        <v>58579.88166</v>
      </c>
      <c r="H341" s="146">
        <v>67455.6213</v>
      </c>
      <c r="I341" s="146">
        <v>56804.73373</v>
      </c>
      <c r="J341" s="145">
        <v>58579.88166</v>
      </c>
      <c r="K341" s="145">
        <v>71005.91716</v>
      </c>
      <c r="L341" s="145">
        <v>56804.73373</v>
      </c>
      <c r="M341" s="145">
        <v>58579.88166</v>
      </c>
      <c r="N341" s="145">
        <v>42603.5503</v>
      </c>
      <c r="O341" s="145">
        <v>39053.25444</v>
      </c>
      <c r="P341" s="146">
        <v>30177.51479</v>
      </c>
      <c r="Q341" s="146">
        <v>31952.66272</v>
      </c>
      <c r="R341" s="146">
        <v>33727.81065</v>
      </c>
      <c r="S341" s="146">
        <v>47928.99408</v>
      </c>
    </row>
    <row r="342">
      <c r="A342" s="145">
        <v>20.688</v>
      </c>
      <c r="B342" s="145">
        <f t="shared" si="1"/>
        <v>6682.224</v>
      </c>
      <c r="C342" s="145">
        <v>47928.99408</v>
      </c>
      <c r="D342" s="145">
        <v>47928.99408</v>
      </c>
      <c r="E342" s="146">
        <v>51479.28994</v>
      </c>
      <c r="F342" s="145">
        <v>56804.73373</v>
      </c>
      <c r="G342" s="146">
        <v>58579.88166</v>
      </c>
      <c r="H342" s="146">
        <v>67455.6213</v>
      </c>
      <c r="I342" s="146">
        <v>56804.73373</v>
      </c>
      <c r="J342" s="145">
        <v>58579.88166</v>
      </c>
      <c r="K342" s="145">
        <v>71005.91716</v>
      </c>
      <c r="L342" s="145">
        <v>56804.73373</v>
      </c>
      <c r="M342" s="145">
        <v>58579.88166</v>
      </c>
      <c r="N342" s="145">
        <v>42603.5503</v>
      </c>
      <c r="O342" s="145">
        <v>39053.25444</v>
      </c>
      <c r="P342" s="146">
        <v>30177.51479</v>
      </c>
      <c r="Q342" s="146">
        <v>31952.66272</v>
      </c>
      <c r="R342" s="146">
        <v>33727.81065</v>
      </c>
      <c r="S342" s="146">
        <v>47928.99408</v>
      </c>
    </row>
    <row r="343">
      <c r="A343" s="145">
        <v>20.75</v>
      </c>
      <c r="B343" s="145">
        <f t="shared" si="1"/>
        <v>6702.25</v>
      </c>
      <c r="C343" s="145">
        <v>47928.99408</v>
      </c>
      <c r="D343" s="145">
        <v>47928.99408</v>
      </c>
      <c r="E343" s="146">
        <v>51479.28994</v>
      </c>
      <c r="F343" s="145">
        <v>56804.73373</v>
      </c>
      <c r="G343" s="146">
        <v>58579.88166</v>
      </c>
      <c r="H343" s="146">
        <v>67455.6213</v>
      </c>
      <c r="I343" s="146">
        <v>56804.73373</v>
      </c>
      <c r="J343" s="145">
        <v>60355.02959</v>
      </c>
      <c r="K343" s="145">
        <v>71005.91716</v>
      </c>
      <c r="L343" s="145">
        <v>56804.73373</v>
      </c>
      <c r="M343" s="145">
        <v>58579.88166</v>
      </c>
      <c r="N343" s="145">
        <v>42603.5503</v>
      </c>
      <c r="O343" s="145">
        <v>39053.25444</v>
      </c>
      <c r="P343" s="146">
        <v>31952.66272</v>
      </c>
      <c r="Q343" s="146">
        <v>31952.66272</v>
      </c>
      <c r="R343" s="146">
        <v>33727.81065</v>
      </c>
      <c r="S343" s="146">
        <v>47928.99408</v>
      </c>
    </row>
    <row r="344">
      <c r="A344" s="145">
        <v>20.813</v>
      </c>
      <c r="B344" s="145">
        <f t="shared" si="1"/>
        <v>6722.599</v>
      </c>
      <c r="C344" s="145">
        <v>47928.99408</v>
      </c>
      <c r="D344" s="145">
        <v>47928.99408</v>
      </c>
      <c r="E344" s="146">
        <v>51479.28994</v>
      </c>
      <c r="F344" s="145">
        <v>56804.73373</v>
      </c>
      <c r="G344" s="146">
        <v>58579.88166</v>
      </c>
      <c r="H344" s="146">
        <v>67455.6213</v>
      </c>
      <c r="I344" s="146">
        <v>56804.73373</v>
      </c>
      <c r="J344" s="145">
        <v>60355.02959</v>
      </c>
      <c r="K344" s="145">
        <v>71005.91716</v>
      </c>
      <c r="L344" s="145">
        <v>56804.73373</v>
      </c>
      <c r="M344" s="145">
        <v>58579.88166</v>
      </c>
      <c r="N344" s="145">
        <v>42603.5503</v>
      </c>
      <c r="O344" s="145">
        <v>39053.25444</v>
      </c>
      <c r="P344" s="146">
        <v>31952.66272</v>
      </c>
      <c r="Q344" s="146">
        <v>31952.66272</v>
      </c>
      <c r="R344" s="146">
        <v>33727.81065</v>
      </c>
      <c r="S344" s="146">
        <v>47928.99408</v>
      </c>
    </row>
    <row r="345">
      <c r="A345" s="145">
        <v>20.875</v>
      </c>
      <c r="B345" s="145">
        <f t="shared" si="1"/>
        <v>6742.625</v>
      </c>
      <c r="C345" s="145">
        <v>47928.99408</v>
      </c>
      <c r="D345" s="145">
        <v>47928.99408</v>
      </c>
      <c r="E345" s="146">
        <v>51479.28994</v>
      </c>
      <c r="F345" s="145">
        <v>56804.73373</v>
      </c>
      <c r="G345" s="146">
        <v>58579.88166</v>
      </c>
      <c r="H345" s="146">
        <v>67455.6213</v>
      </c>
      <c r="I345" s="146">
        <v>58579.88166</v>
      </c>
      <c r="J345" s="145">
        <v>60355.02959</v>
      </c>
      <c r="K345" s="145">
        <v>71005.91716</v>
      </c>
      <c r="L345" s="145">
        <v>56804.73373</v>
      </c>
      <c r="M345" s="145">
        <v>58579.88166</v>
      </c>
      <c r="N345" s="145">
        <v>42603.5503</v>
      </c>
      <c r="O345" s="145">
        <v>39053.25444</v>
      </c>
      <c r="P345" s="146">
        <v>31952.66272</v>
      </c>
      <c r="Q345" s="146">
        <v>31952.66272</v>
      </c>
      <c r="R345" s="146">
        <v>33727.81065</v>
      </c>
      <c r="S345" s="146">
        <v>47928.99408</v>
      </c>
    </row>
    <row r="346">
      <c r="A346" s="145">
        <v>20.938</v>
      </c>
      <c r="B346" s="145">
        <f t="shared" si="1"/>
        <v>6762.974</v>
      </c>
      <c r="C346" s="145">
        <v>47928.99408</v>
      </c>
      <c r="D346" s="145">
        <v>47928.99408</v>
      </c>
      <c r="E346" s="146">
        <v>51479.28994</v>
      </c>
      <c r="F346" s="145">
        <v>56804.73373</v>
      </c>
      <c r="G346" s="146">
        <v>58579.88166</v>
      </c>
      <c r="H346" s="146">
        <v>69230.76923</v>
      </c>
      <c r="I346" s="146">
        <v>58579.88166</v>
      </c>
      <c r="J346" s="145">
        <v>60355.02959</v>
      </c>
      <c r="K346" s="145">
        <v>71005.91716</v>
      </c>
      <c r="L346" s="145">
        <v>56804.73373</v>
      </c>
      <c r="M346" s="145">
        <v>58579.88166</v>
      </c>
      <c r="N346" s="145">
        <v>42603.5503</v>
      </c>
      <c r="O346" s="145">
        <v>39053.25444</v>
      </c>
      <c r="P346" s="146">
        <v>31952.66272</v>
      </c>
      <c r="Q346" s="146">
        <v>31952.66272</v>
      </c>
      <c r="R346" s="146">
        <v>35502.95858</v>
      </c>
      <c r="S346" s="146">
        <v>47928.99408</v>
      </c>
    </row>
    <row r="347">
      <c r="A347" s="145">
        <v>21.016</v>
      </c>
      <c r="B347" s="145">
        <f t="shared" si="1"/>
        <v>6788.168</v>
      </c>
      <c r="C347" s="145">
        <v>47928.99408</v>
      </c>
      <c r="D347" s="145">
        <v>47928.99408</v>
      </c>
      <c r="E347" s="146">
        <v>51479.28994</v>
      </c>
      <c r="F347" s="145">
        <v>56804.73373</v>
      </c>
      <c r="G347" s="146">
        <v>58579.88166</v>
      </c>
      <c r="H347" s="146">
        <v>69230.76923</v>
      </c>
      <c r="I347" s="146">
        <v>58579.88166</v>
      </c>
      <c r="J347" s="145">
        <v>60355.02959</v>
      </c>
      <c r="K347" s="145">
        <v>71005.91716</v>
      </c>
      <c r="L347" s="145">
        <v>56804.73373</v>
      </c>
      <c r="M347" s="145">
        <v>58579.88166</v>
      </c>
      <c r="N347" s="145">
        <v>42603.5503</v>
      </c>
      <c r="O347" s="145">
        <v>39053.25444</v>
      </c>
      <c r="P347" s="146">
        <v>31952.66272</v>
      </c>
      <c r="Q347" s="146">
        <v>31952.66272</v>
      </c>
      <c r="R347" s="146">
        <v>35502.95858</v>
      </c>
      <c r="S347" s="146">
        <v>47928.99408</v>
      </c>
    </row>
    <row r="348">
      <c r="A348" s="145">
        <v>21.063</v>
      </c>
      <c r="B348" s="145">
        <f t="shared" si="1"/>
        <v>6803.349</v>
      </c>
      <c r="C348" s="145">
        <v>47928.99408</v>
      </c>
      <c r="D348" s="145">
        <v>47928.99408</v>
      </c>
      <c r="E348" s="146">
        <v>51479.28994</v>
      </c>
      <c r="F348" s="145">
        <v>56804.73373</v>
      </c>
      <c r="G348" s="146">
        <v>58579.88166</v>
      </c>
      <c r="H348" s="146">
        <v>69230.76923</v>
      </c>
      <c r="I348" s="146">
        <v>58579.88166</v>
      </c>
      <c r="J348" s="145">
        <v>60355.02959</v>
      </c>
      <c r="K348" s="145">
        <v>71005.91716</v>
      </c>
      <c r="L348" s="145">
        <v>56804.73373</v>
      </c>
      <c r="M348" s="145">
        <v>58579.88166</v>
      </c>
      <c r="N348" s="145">
        <v>42603.5503</v>
      </c>
      <c r="O348" s="145">
        <v>39053.25444</v>
      </c>
      <c r="P348" s="146">
        <v>31952.66272</v>
      </c>
      <c r="Q348" s="146">
        <v>31952.66272</v>
      </c>
      <c r="R348" s="146">
        <v>35502.95858</v>
      </c>
      <c r="S348" s="146">
        <v>47928.99408</v>
      </c>
    </row>
    <row r="349">
      <c r="A349" s="145">
        <v>21.125</v>
      </c>
      <c r="B349" s="145">
        <f t="shared" si="1"/>
        <v>6823.375</v>
      </c>
      <c r="C349" s="145">
        <v>47928.99408</v>
      </c>
      <c r="D349" s="145">
        <v>47928.99408</v>
      </c>
      <c r="E349" s="146">
        <v>51479.28994</v>
      </c>
      <c r="F349" s="145">
        <v>56804.73373</v>
      </c>
      <c r="G349" s="146">
        <v>58579.88166</v>
      </c>
      <c r="H349" s="146">
        <v>69230.76923</v>
      </c>
      <c r="I349" s="146">
        <v>58579.88166</v>
      </c>
      <c r="J349" s="145">
        <v>60355.02959</v>
      </c>
      <c r="K349" s="145">
        <v>71005.91716</v>
      </c>
      <c r="L349" s="145">
        <v>56804.73373</v>
      </c>
      <c r="M349" s="145">
        <v>62130.17752</v>
      </c>
      <c r="N349" s="145">
        <v>42603.5503</v>
      </c>
      <c r="O349" s="145">
        <v>39053.25444</v>
      </c>
      <c r="P349" s="146">
        <v>31952.66272</v>
      </c>
      <c r="Q349" s="146">
        <v>31952.66272</v>
      </c>
      <c r="R349" s="146">
        <v>35502.95858</v>
      </c>
      <c r="S349" s="146">
        <v>47928.99408</v>
      </c>
    </row>
    <row r="350">
      <c r="A350" s="145">
        <v>21.188</v>
      </c>
      <c r="B350" s="145">
        <f t="shared" si="1"/>
        <v>6843.724</v>
      </c>
      <c r="C350" s="145">
        <v>49704.14201</v>
      </c>
      <c r="D350" s="145">
        <v>47928.99408</v>
      </c>
      <c r="E350" s="146">
        <v>51479.28994</v>
      </c>
      <c r="F350" s="145">
        <v>56804.73373</v>
      </c>
      <c r="G350" s="146">
        <v>58579.88166</v>
      </c>
      <c r="H350" s="146">
        <v>69230.76923</v>
      </c>
      <c r="I350" s="146">
        <v>58579.88166</v>
      </c>
      <c r="J350" s="145">
        <v>60355.02959</v>
      </c>
      <c r="K350" s="145">
        <v>71005.91716</v>
      </c>
      <c r="L350" s="145">
        <v>56804.73373</v>
      </c>
      <c r="M350" s="145">
        <v>62130.17752</v>
      </c>
      <c r="N350" s="145">
        <v>42603.5503</v>
      </c>
      <c r="O350" s="145">
        <v>39053.25444</v>
      </c>
      <c r="P350" s="146">
        <v>31952.66272</v>
      </c>
      <c r="Q350" s="146">
        <v>31952.66272</v>
      </c>
      <c r="R350" s="146">
        <v>35502.95858</v>
      </c>
      <c r="S350" s="146">
        <v>47928.99408</v>
      </c>
    </row>
    <row r="351">
      <c r="A351" s="145">
        <v>21.266</v>
      </c>
      <c r="B351" s="145">
        <f t="shared" si="1"/>
        <v>6868.918</v>
      </c>
      <c r="C351" s="145">
        <v>49704.14201</v>
      </c>
      <c r="D351" s="145">
        <v>49704.14201</v>
      </c>
      <c r="E351" s="146">
        <v>51479.28994</v>
      </c>
      <c r="F351" s="145">
        <v>58579.88166</v>
      </c>
      <c r="G351" s="146">
        <v>58579.88166</v>
      </c>
      <c r="H351" s="146">
        <v>69230.76923</v>
      </c>
      <c r="I351" s="146">
        <v>58579.88166</v>
      </c>
      <c r="J351" s="145">
        <v>60355.02959</v>
      </c>
      <c r="K351" s="145">
        <v>71005.91716</v>
      </c>
      <c r="L351" s="145">
        <v>58579.88166</v>
      </c>
      <c r="M351" s="145">
        <v>62130.17752</v>
      </c>
      <c r="N351" s="145">
        <v>42603.5503</v>
      </c>
      <c r="O351" s="145">
        <v>39053.25444</v>
      </c>
      <c r="P351" s="146">
        <v>31952.66272</v>
      </c>
      <c r="Q351" s="146">
        <v>31952.66272</v>
      </c>
      <c r="R351" s="146">
        <v>35502.95858</v>
      </c>
      <c r="S351" s="146">
        <v>56804.73373</v>
      </c>
    </row>
    <row r="352">
      <c r="A352" s="145">
        <v>21.313</v>
      </c>
      <c r="B352" s="145">
        <f t="shared" si="1"/>
        <v>6884.099</v>
      </c>
      <c r="C352" s="145">
        <v>49704.14201</v>
      </c>
      <c r="D352" s="145">
        <v>49704.14201</v>
      </c>
      <c r="E352" s="146">
        <v>51479.28994</v>
      </c>
      <c r="F352" s="145">
        <v>58579.88166</v>
      </c>
      <c r="G352" s="146">
        <v>58579.88166</v>
      </c>
      <c r="H352" s="146">
        <v>69230.76923</v>
      </c>
      <c r="I352" s="146">
        <v>58579.88166</v>
      </c>
      <c r="J352" s="145">
        <v>60355.02959</v>
      </c>
      <c r="K352" s="145">
        <v>71005.91716</v>
      </c>
      <c r="L352" s="145">
        <v>58579.88166</v>
      </c>
      <c r="M352" s="145">
        <v>62130.17752</v>
      </c>
      <c r="N352" s="145">
        <v>42603.5503</v>
      </c>
      <c r="O352" s="145">
        <v>39053.25444</v>
      </c>
      <c r="P352" s="146">
        <v>31952.66272</v>
      </c>
      <c r="Q352" s="146">
        <v>31952.66272</v>
      </c>
      <c r="R352" s="146">
        <v>35502.95858</v>
      </c>
      <c r="S352" s="146">
        <v>56804.73373</v>
      </c>
    </row>
    <row r="353">
      <c r="A353" s="145">
        <v>21.375</v>
      </c>
      <c r="B353" s="145">
        <f t="shared" si="1"/>
        <v>6904.125</v>
      </c>
      <c r="C353" s="145">
        <v>49704.14201</v>
      </c>
      <c r="D353" s="145">
        <v>49704.14201</v>
      </c>
      <c r="E353" s="146">
        <v>51479.28994</v>
      </c>
      <c r="F353" s="145">
        <v>58579.88166</v>
      </c>
      <c r="G353" s="146">
        <v>58579.88166</v>
      </c>
      <c r="H353" s="146">
        <v>71005.91716</v>
      </c>
      <c r="I353" s="146">
        <v>58579.88166</v>
      </c>
      <c r="J353" s="145">
        <v>60355.02959</v>
      </c>
      <c r="K353" s="145">
        <v>71005.91716</v>
      </c>
      <c r="L353" s="145">
        <v>58579.88166</v>
      </c>
      <c r="M353" s="145">
        <v>62130.17752</v>
      </c>
      <c r="N353" s="145">
        <v>42603.5503</v>
      </c>
      <c r="O353" s="145">
        <v>39053.25444</v>
      </c>
      <c r="P353" s="146">
        <v>31952.66272</v>
      </c>
      <c r="Q353" s="146">
        <v>31952.66272</v>
      </c>
      <c r="R353" s="146">
        <v>35502.95858</v>
      </c>
      <c r="S353" s="146">
        <v>56804.73373</v>
      </c>
    </row>
    <row r="354">
      <c r="A354" s="145">
        <v>21.438</v>
      </c>
      <c r="B354" s="145">
        <f t="shared" si="1"/>
        <v>6924.474</v>
      </c>
      <c r="C354" s="145">
        <v>49704.14201</v>
      </c>
      <c r="D354" s="145">
        <v>49704.14201</v>
      </c>
      <c r="E354" s="146">
        <v>51479.28994</v>
      </c>
      <c r="F354" s="145">
        <v>58579.88166</v>
      </c>
      <c r="G354" s="146">
        <v>58579.88166</v>
      </c>
      <c r="H354" s="146">
        <v>71005.91716</v>
      </c>
      <c r="I354" s="146">
        <v>58579.88166</v>
      </c>
      <c r="J354" s="145">
        <v>60355.02959</v>
      </c>
      <c r="K354" s="145">
        <v>71005.91716</v>
      </c>
      <c r="L354" s="145">
        <v>58579.88166</v>
      </c>
      <c r="M354" s="145">
        <v>62130.17752</v>
      </c>
      <c r="N354" s="145">
        <v>42603.5503</v>
      </c>
      <c r="O354" s="145">
        <v>40828.40237</v>
      </c>
      <c r="P354" s="146">
        <v>31952.66272</v>
      </c>
      <c r="Q354" s="146">
        <v>33727.81065</v>
      </c>
      <c r="R354" s="146">
        <v>35502.95858</v>
      </c>
      <c r="S354" s="146">
        <v>56804.73373</v>
      </c>
    </row>
    <row r="355">
      <c r="A355" s="145">
        <v>21.5</v>
      </c>
      <c r="B355" s="145">
        <f t="shared" si="1"/>
        <v>6944.5</v>
      </c>
      <c r="C355" s="145">
        <v>49704.14201</v>
      </c>
      <c r="D355" s="145">
        <v>49704.14201</v>
      </c>
      <c r="E355" s="146">
        <v>51479.28994</v>
      </c>
      <c r="F355" s="145">
        <v>58579.88166</v>
      </c>
      <c r="G355" s="146">
        <v>58579.88166</v>
      </c>
      <c r="H355" s="146">
        <v>71005.91716</v>
      </c>
      <c r="I355" s="146">
        <v>58579.88166</v>
      </c>
      <c r="J355" s="145">
        <v>60355.02959</v>
      </c>
      <c r="K355" s="145">
        <v>71005.91716</v>
      </c>
      <c r="L355" s="145">
        <v>58579.88166</v>
      </c>
      <c r="M355" s="145">
        <v>62130.17752</v>
      </c>
      <c r="N355" s="145">
        <v>42603.5503</v>
      </c>
      <c r="O355" s="145">
        <v>40828.40237</v>
      </c>
      <c r="P355" s="146">
        <v>31952.66272</v>
      </c>
      <c r="Q355" s="146">
        <v>33727.81065</v>
      </c>
      <c r="R355" s="146">
        <v>35502.95858</v>
      </c>
      <c r="S355" s="146">
        <v>56804.73373</v>
      </c>
    </row>
    <row r="356">
      <c r="A356" s="145">
        <v>21.563</v>
      </c>
      <c r="B356" s="145">
        <f t="shared" si="1"/>
        <v>6964.849</v>
      </c>
      <c r="C356" s="145">
        <v>49704.14201</v>
      </c>
      <c r="D356" s="145">
        <v>49704.14201</v>
      </c>
      <c r="E356" s="146">
        <v>51479.28994</v>
      </c>
      <c r="F356" s="145">
        <v>58579.88166</v>
      </c>
      <c r="G356" s="146">
        <v>58579.88166</v>
      </c>
      <c r="H356" s="146">
        <v>71005.91716</v>
      </c>
      <c r="I356" s="146">
        <v>58579.88166</v>
      </c>
      <c r="J356" s="145">
        <v>60355.02959</v>
      </c>
      <c r="K356" s="145">
        <v>71005.91716</v>
      </c>
      <c r="L356" s="145">
        <v>58579.88166</v>
      </c>
      <c r="M356" s="145">
        <v>62130.17752</v>
      </c>
      <c r="N356" s="145">
        <v>42603.5503</v>
      </c>
      <c r="O356" s="145">
        <v>40828.40237</v>
      </c>
      <c r="P356" s="146">
        <v>31952.66272</v>
      </c>
      <c r="Q356" s="146">
        <v>33727.81065</v>
      </c>
      <c r="R356" s="146">
        <v>37278.10651</v>
      </c>
      <c r="S356" s="146">
        <v>56804.73373</v>
      </c>
    </row>
    <row r="357">
      <c r="A357" s="145">
        <v>21.625</v>
      </c>
      <c r="B357" s="145">
        <f t="shared" si="1"/>
        <v>6984.875</v>
      </c>
      <c r="C357" s="145">
        <v>49704.14201</v>
      </c>
      <c r="D357" s="145">
        <v>49704.14201</v>
      </c>
      <c r="E357" s="146">
        <v>51479.28994</v>
      </c>
      <c r="F357" s="145">
        <v>58579.88166</v>
      </c>
      <c r="G357" s="146">
        <v>58579.88166</v>
      </c>
      <c r="H357" s="146">
        <v>71005.91716</v>
      </c>
      <c r="I357" s="146">
        <v>58579.88166</v>
      </c>
      <c r="J357" s="145">
        <v>60355.02959</v>
      </c>
      <c r="K357" s="145">
        <v>71005.91716</v>
      </c>
      <c r="L357" s="145">
        <v>58579.88166</v>
      </c>
      <c r="M357" s="145">
        <v>62130.17752</v>
      </c>
      <c r="N357" s="145">
        <v>42603.5503</v>
      </c>
      <c r="O357" s="145">
        <v>40828.40237</v>
      </c>
      <c r="P357" s="146">
        <v>31952.66272</v>
      </c>
      <c r="Q357" s="146">
        <v>33727.81065</v>
      </c>
      <c r="R357" s="146">
        <v>37278.10651</v>
      </c>
      <c r="S357" s="146">
        <v>56804.73373</v>
      </c>
    </row>
    <row r="358">
      <c r="A358" s="145">
        <v>21.704</v>
      </c>
      <c r="B358" s="145">
        <f t="shared" si="1"/>
        <v>7010.392</v>
      </c>
      <c r="C358" s="145">
        <v>49704.14201</v>
      </c>
      <c r="D358" s="145">
        <v>49704.14201</v>
      </c>
      <c r="E358" s="146">
        <v>51479.28994</v>
      </c>
      <c r="F358" s="145">
        <v>58579.88166</v>
      </c>
      <c r="G358" s="146">
        <v>60355.02959</v>
      </c>
      <c r="H358" s="146">
        <v>71005.91716</v>
      </c>
      <c r="I358" s="146">
        <v>58579.88166</v>
      </c>
      <c r="J358" s="145">
        <v>60355.02959</v>
      </c>
      <c r="K358" s="145">
        <v>71005.91716</v>
      </c>
      <c r="L358" s="145">
        <v>58579.88166</v>
      </c>
      <c r="M358" s="145">
        <v>62130.17752</v>
      </c>
      <c r="N358" s="145">
        <v>42603.5503</v>
      </c>
      <c r="O358" s="145">
        <v>40828.40237</v>
      </c>
      <c r="P358" s="146">
        <v>31952.66272</v>
      </c>
      <c r="Q358" s="146">
        <v>33727.81065</v>
      </c>
      <c r="R358" s="146">
        <v>37278.10651</v>
      </c>
      <c r="S358" s="146">
        <v>56804.73373</v>
      </c>
    </row>
    <row r="359">
      <c r="A359" s="145">
        <v>21.75</v>
      </c>
      <c r="B359" s="145">
        <f t="shared" si="1"/>
        <v>7025.25</v>
      </c>
      <c r="C359" s="145">
        <v>49704.14201</v>
      </c>
      <c r="D359" s="145">
        <v>49704.14201</v>
      </c>
      <c r="E359" s="146">
        <v>51479.28994</v>
      </c>
      <c r="F359" s="145">
        <v>58579.88166</v>
      </c>
      <c r="G359" s="146">
        <v>60355.02959</v>
      </c>
      <c r="H359" s="146">
        <v>71005.91716</v>
      </c>
      <c r="I359" s="146">
        <v>58579.88166</v>
      </c>
      <c r="J359" s="145">
        <v>60355.02959</v>
      </c>
      <c r="K359" s="145">
        <v>71005.91716</v>
      </c>
      <c r="L359" s="145">
        <v>58579.88166</v>
      </c>
      <c r="M359" s="145">
        <v>62130.17752</v>
      </c>
      <c r="N359" s="145">
        <v>42603.5503</v>
      </c>
      <c r="O359" s="145">
        <v>40828.40237</v>
      </c>
      <c r="P359" s="146">
        <v>31952.66272</v>
      </c>
      <c r="Q359" s="146">
        <v>33727.81065</v>
      </c>
      <c r="R359" s="146">
        <v>37278.10651</v>
      </c>
      <c r="S359" s="146">
        <v>56804.73373</v>
      </c>
    </row>
    <row r="360">
      <c r="A360" s="145">
        <v>21.813</v>
      </c>
      <c r="B360" s="145">
        <f t="shared" si="1"/>
        <v>7045.599</v>
      </c>
      <c r="C360" s="145">
        <v>51479.28994</v>
      </c>
      <c r="D360" s="145">
        <v>49704.14201</v>
      </c>
      <c r="E360" s="146">
        <v>51479.28994</v>
      </c>
      <c r="F360" s="145">
        <v>58579.88166</v>
      </c>
      <c r="G360" s="146">
        <v>60355.02959</v>
      </c>
      <c r="H360" s="146">
        <v>71005.91716</v>
      </c>
      <c r="I360" s="146">
        <v>58579.88166</v>
      </c>
      <c r="J360" s="145">
        <v>60355.02959</v>
      </c>
      <c r="K360" s="145">
        <v>71005.91716</v>
      </c>
      <c r="L360" s="145">
        <v>58579.88166</v>
      </c>
      <c r="M360" s="145">
        <v>62130.17752</v>
      </c>
      <c r="N360" s="145">
        <v>42603.5503</v>
      </c>
      <c r="O360" s="145">
        <v>40828.40237</v>
      </c>
      <c r="P360" s="146">
        <v>31952.66272</v>
      </c>
      <c r="Q360" s="146">
        <v>33727.81065</v>
      </c>
      <c r="R360" s="146">
        <v>37278.10651</v>
      </c>
      <c r="S360" s="146">
        <v>56804.73373</v>
      </c>
    </row>
    <row r="361">
      <c r="A361" s="145">
        <v>21.875</v>
      </c>
      <c r="B361" s="145">
        <f t="shared" si="1"/>
        <v>7065.625</v>
      </c>
      <c r="C361" s="145">
        <v>51479.28994</v>
      </c>
      <c r="D361" s="145">
        <v>49704.14201</v>
      </c>
      <c r="E361" s="146">
        <v>51479.28994</v>
      </c>
      <c r="F361" s="145">
        <v>58579.88166</v>
      </c>
      <c r="G361" s="146">
        <v>60355.02959</v>
      </c>
      <c r="H361" s="146">
        <v>71005.91716</v>
      </c>
      <c r="I361" s="146">
        <v>58579.88166</v>
      </c>
      <c r="J361" s="145">
        <v>60355.02959</v>
      </c>
      <c r="K361" s="145">
        <v>71005.91716</v>
      </c>
      <c r="L361" s="145">
        <v>58579.88166</v>
      </c>
      <c r="M361" s="145">
        <v>62130.17752</v>
      </c>
      <c r="N361" s="145">
        <v>42603.5503</v>
      </c>
      <c r="O361" s="145">
        <v>40828.40237</v>
      </c>
      <c r="P361" s="146">
        <v>31952.66272</v>
      </c>
      <c r="Q361" s="146">
        <v>33727.81065</v>
      </c>
      <c r="R361" s="146">
        <v>37278.10651</v>
      </c>
      <c r="S361" s="146">
        <v>56804.73373</v>
      </c>
    </row>
    <row r="362">
      <c r="A362" s="145">
        <v>21.954</v>
      </c>
      <c r="B362" s="145">
        <f t="shared" si="1"/>
        <v>7091.142</v>
      </c>
      <c r="C362" s="145">
        <v>51479.28994</v>
      </c>
      <c r="D362" s="145">
        <v>49704.14201</v>
      </c>
      <c r="E362" s="146">
        <v>51479.28994</v>
      </c>
      <c r="F362" s="145">
        <v>58579.88166</v>
      </c>
      <c r="G362" s="146">
        <v>60355.02959</v>
      </c>
      <c r="H362" s="146">
        <v>71005.91716</v>
      </c>
      <c r="I362" s="146">
        <v>58579.88166</v>
      </c>
      <c r="J362" s="145">
        <v>60355.02959</v>
      </c>
      <c r="K362" s="145">
        <v>71005.91716</v>
      </c>
      <c r="L362" s="145">
        <v>58579.88166</v>
      </c>
      <c r="M362" s="145">
        <v>62130.17752</v>
      </c>
      <c r="N362" s="145">
        <v>42603.5503</v>
      </c>
      <c r="O362" s="145">
        <v>40828.40237</v>
      </c>
      <c r="P362" s="146">
        <v>31952.66272</v>
      </c>
      <c r="Q362" s="146">
        <v>33727.81065</v>
      </c>
      <c r="R362" s="146">
        <v>37278.10651</v>
      </c>
      <c r="S362" s="146">
        <v>56804.73373</v>
      </c>
    </row>
    <row r="363">
      <c r="A363" s="145">
        <v>22.0</v>
      </c>
      <c r="B363" s="145">
        <f t="shared" si="1"/>
        <v>7106</v>
      </c>
      <c r="C363" s="145">
        <v>51479.28994</v>
      </c>
      <c r="D363" s="145">
        <v>49704.14201</v>
      </c>
      <c r="E363" s="146">
        <v>51479.28994</v>
      </c>
      <c r="F363" s="145">
        <v>58579.88166</v>
      </c>
      <c r="G363" s="146">
        <v>60355.02959</v>
      </c>
      <c r="H363" s="146">
        <v>71005.91716</v>
      </c>
      <c r="I363" s="146">
        <v>58579.88166</v>
      </c>
      <c r="J363" s="145">
        <v>60355.02959</v>
      </c>
      <c r="K363" s="145">
        <v>71005.91716</v>
      </c>
      <c r="L363" s="145">
        <v>58579.88166</v>
      </c>
      <c r="M363" s="145">
        <v>62130.17752</v>
      </c>
      <c r="N363" s="145">
        <v>42603.5503</v>
      </c>
      <c r="O363" s="145">
        <v>40828.40237</v>
      </c>
      <c r="P363" s="146">
        <v>31952.66272</v>
      </c>
      <c r="Q363" s="146">
        <v>33727.81065</v>
      </c>
      <c r="R363" s="146">
        <v>37278.10651</v>
      </c>
      <c r="S363" s="146">
        <v>56804.73373</v>
      </c>
    </row>
    <row r="364">
      <c r="A364" s="145">
        <v>22.063</v>
      </c>
      <c r="B364" s="145">
        <f t="shared" si="1"/>
        <v>7126.349</v>
      </c>
      <c r="C364" s="145">
        <v>51479.28994</v>
      </c>
      <c r="D364" s="145">
        <v>49704.14201</v>
      </c>
      <c r="E364" s="146">
        <v>51479.28994</v>
      </c>
      <c r="F364" s="145">
        <v>58579.88166</v>
      </c>
      <c r="G364" s="146">
        <v>60355.02959</v>
      </c>
      <c r="H364" s="146">
        <v>71005.91716</v>
      </c>
      <c r="I364" s="146">
        <v>58579.88166</v>
      </c>
      <c r="J364" s="145">
        <v>60355.02959</v>
      </c>
      <c r="K364" s="145">
        <v>74556.21302</v>
      </c>
      <c r="L364" s="145">
        <v>58579.88166</v>
      </c>
      <c r="M364" s="145">
        <v>62130.17752</v>
      </c>
      <c r="N364" s="145">
        <v>44378.69823</v>
      </c>
      <c r="O364" s="145">
        <v>40828.40237</v>
      </c>
      <c r="P364" s="146">
        <v>31952.66272</v>
      </c>
      <c r="Q364" s="146">
        <v>33727.81065</v>
      </c>
      <c r="R364" s="146">
        <v>37278.10651</v>
      </c>
      <c r="S364" s="146">
        <v>56804.73373</v>
      </c>
    </row>
    <row r="365">
      <c r="A365" s="145">
        <v>22.125</v>
      </c>
      <c r="B365" s="145">
        <f t="shared" si="1"/>
        <v>7146.375</v>
      </c>
      <c r="C365" s="145">
        <v>51479.28994</v>
      </c>
      <c r="D365" s="145">
        <v>49704.14201</v>
      </c>
      <c r="E365" s="146">
        <v>51479.28994</v>
      </c>
      <c r="F365" s="145">
        <v>58579.88166</v>
      </c>
      <c r="G365" s="146">
        <v>60355.02959</v>
      </c>
      <c r="H365" s="146">
        <v>71005.91716</v>
      </c>
      <c r="I365" s="146">
        <v>58579.88166</v>
      </c>
      <c r="J365" s="145">
        <v>60355.02959</v>
      </c>
      <c r="K365" s="145">
        <v>74556.21302</v>
      </c>
      <c r="L365" s="145">
        <v>58579.88166</v>
      </c>
      <c r="M365" s="145">
        <v>62130.17752</v>
      </c>
      <c r="N365" s="145">
        <v>44378.69823</v>
      </c>
      <c r="O365" s="145">
        <v>40828.40237</v>
      </c>
      <c r="P365" s="146">
        <v>31952.66272</v>
      </c>
      <c r="Q365" s="146">
        <v>33727.81065</v>
      </c>
      <c r="R365" s="146">
        <v>37278.10651</v>
      </c>
      <c r="S365" s="146">
        <v>56804.73373</v>
      </c>
    </row>
    <row r="366">
      <c r="A366" s="145">
        <v>22.188</v>
      </c>
      <c r="B366" s="145">
        <f t="shared" si="1"/>
        <v>7166.724</v>
      </c>
      <c r="C366" s="145">
        <v>51479.28994</v>
      </c>
      <c r="D366" s="145">
        <v>49704.14201</v>
      </c>
      <c r="E366" s="146">
        <v>51479.28994</v>
      </c>
      <c r="F366" s="145">
        <v>58579.88166</v>
      </c>
      <c r="G366" s="146">
        <v>60355.02959</v>
      </c>
      <c r="H366" s="146">
        <v>71005.91716</v>
      </c>
      <c r="I366" s="146">
        <v>58579.88166</v>
      </c>
      <c r="J366" s="145">
        <v>60355.02959</v>
      </c>
      <c r="K366" s="145">
        <v>74556.21302</v>
      </c>
      <c r="L366" s="145">
        <v>58579.88166</v>
      </c>
      <c r="M366" s="145">
        <v>62130.17752</v>
      </c>
      <c r="N366" s="145">
        <v>44378.69823</v>
      </c>
      <c r="O366" s="145">
        <v>40828.40237</v>
      </c>
      <c r="P366" s="146">
        <v>31952.66272</v>
      </c>
      <c r="Q366" s="146">
        <v>33727.81065</v>
      </c>
      <c r="R366" s="146">
        <v>37278.10651</v>
      </c>
      <c r="S366" s="146">
        <v>56804.73373</v>
      </c>
    </row>
    <row r="367">
      <c r="A367" s="145">
        <v>22.266</v>
      </c>
      <c r="B367" s="145">
        <f t="shared" si="1"/>
        <v>7191.918</v>
      </c>
      <c r="C367" s="145">
        <v>51479.28994</v>
      </c>
      <c r="D367" s="145">
        <v>49704.14201</v>
      </c>
      <c r="E367" s="146">
        <v>51479.28994</v>
      </c>
      <c r="F367" s="145">
        <v>58579.88166</v>
      </c>
      <c r="G367" s="146">
        <v>60355.02959</v>
      </c>
      <c r="H367" s="146">
        <v>71005.91716</v>
      </c>
      <c r="I367" s="146">
        <v>58579.88166</v>
      </c>
      <c r="J367" s="145">
        <v>60355.02959</v>
      </c>
      <c r="K367" s="145">
        <v>74556.21302</v>
      </c>
      <c r="L367" s="145">
        <v>58579.88166</v>
      </c>
      <c r="M367" s="145">
        <v>62130.17752</v>
      </c>
      <c r="N367" s="145">
        <v>46153.84615</v>
      </c>
      <c r="O367" s="145">
        <v>40828.40237</v>
      </c>
      <c r="P367" s="146">
        <v>31952.66272</v>
      </c>
      <c r="Q367" s="146">
        <v>33727.81065</v>
      </c>
      <c r="R367" s="146">
        <v>37278.10651</v>
      </c>
      <c r="S367" s="146">
        <v>56804.73373</v>
      </c>
    </row>
    <row r="368">
      <c r="A368" s="145">
        <v>22.313</v>
      </c>
      <c r="B368" s="145">
        <f t="shared" si="1"/>
        <v>7207.099</v>
      </c>
      <c r="C368" s="145">
        <v>51479.28994</v>
      </c>
      <c r="D368" s="145">
        <v>49704.14201</v>
      </c>
      <c r="E368" s="146">
        <v>51479.28994</v>
      </c>
      <c r="F368" s="145">
        <v>58579.88166</v>
      </c>
      <c r="G368" s="146">
        <v>60355.02959</v>
      </c>
      <c r="H368" s="146">
        <v>71005.91716</v>
      </c>
      <c r="I368" s="146">
        <v>58579.88166</v>
      </c>
      <c r="J368" s="145">
        <v>60355.02959</v>
      </c>
      <c r="K368" s="145">
        <v>74556.21302</v>
      </c>
      <c r="L368" s="145">
        <v>58579.88166</v>
      </c>
      <c r="M368" s="145">
        <v>62130.17752</v>
      </c>
      <c r="N368" s="145">
        <v>46153.84615</v>
      </c>
      <c r="O368" s="145">
        <v>40828.40237</v>
      </c>
      <c r="P368" s="146">
        <v>33727.81065</v>
      </c>
      <c r="Q368" s="146">
        <v>33727.81065</v>
      </c>
      <c r="R368" s="146">
        <v>37278.10651</v>
      </c>
      <c r="S368" s="146">
        <v>56804.73373</v>
      </c>
    </row>
    <row r="369">
      <c r="A369" s="145">
        <v>22.375</v>
      </c>
      <c r="B369" s="145">
        <f t="shared" si="1"/>
        <v>7227.125</v>
      </c>
      <c r="C369" s="145">
        <v>51479.28994</v>
      </c>
      <c r="D369" s="145">
        <v>49704.14201</v>
      </c>
      <c r="E369" s="146">
        <v>51479.28994</v>
      </c>
      <c r="F369" s="145">
        <v>58579.88166</v>
      </c>
      <c r="G369" s="146">
        <v>60355.02959</v>
      </c>
      <c r="H369" s="146">
        <v>71005.91716</v>
      </c>
      <c r="I369" s="146">
        <v>58579.88166</v>
      </c>
      <c r="J369" s="145">
        <v>60355.02959</v>
      </c>
      <c r="K369" s="145">
        <v>74556.21302</v>
      </c>
      <c r="L369" s="145">
        <v>58579.88166</v>
      </c>
      <c r="M369" s="145">
        <v>62130.17752</v>
      </c>
      <c r="N369" s="145">
        <v>46153.84615</v>
      </c>
      <c r="O369" s="145">
        <v>40828.40237</v>
      </c>
      <c r="P369" s="146">
        <v>33727.81065</v>
      </c>
      <c r="Q369" s="146">
        <v>33727.81065</v>
      </c>
      <c r="R369" s="146">
        <v>37278.10651</v>
      </c>
      <c r="S369" s="146">
        <v>56804.73373</v>
      </c>
    </row>
    <row r="370">
      <c r="A370" s="145">
        <v>22.438</v>
      </c>
      <c r="B370" s="145">
        <f t="shared" si="1"/>
        <v>7247.474</v>
      </c>
      <c r="C370" s="145">
        <v>51479.28994</v>
      </c>
      <c r="D370" s="145">
        <v>49704.14201</v>
      </c>
      <c r="E370" s="146">
        <v>51479.28994</v>
      </c>
      <c r="F370" s="145">
        <v>58579.88166</v>
      </c>
      <c r="G370" s="146">
        <v>60355.02959</v>
      </c>
      <c r="H370" s="146">
        <v>71005.91716</v>
      </c>
      <c r="I370" s="146">
        <v>58579.88166</v>
      </c>
      <c r="J370" s="145">
        <v>60355.02959</v>
      </c>
      <c r="K370" s="145">
        <v>74556.21302</v>
      </c>
      <c r="L370" s="145">
        <v>58579.88166</v>
      </c>
      <c r="M370" s="145">
        <v>62130.17752</v>
      </c>
      <c r="N370" s="145">
        <v>46153.84615</v>
      </c>
      <c r="O370" s="145">
        <v>40828.40237</v>
      </c>
      <c r="P370" s="146">
        <v>33727.81065</v>
      </c>
      <c r="Q370" s="146">
        <v>33727.81065</v>
      </c>
      <c r="R370" s="146">
        <v>37278.10651</v>
      </c>
      <c r="S370" s="146">
        <v>56804.73373</v>
      </c>
    </row>
    <row r="371">
      <c r="A371" s="145">
        <v>22.5</v>
      </c>
      <c r="B371" s="145">
        <f t="shared" si="1"/>
        <v>7267.5</v>
      </c>
      <c r="C371" s="145">
        <v>51479.28994</v>
      </c>
      <c r="D371" s="145">
        <v>49704.14201</v>
      </c>
      <c r="E371" s="146">
        <v>51479.28994</v>
      </c>
      <c r="F371" s="145">
        <v>58579.88166</v>
      </c>
      <c r="G371" s="146">
        <v>60355.02959</v>
      </c>
      <c r="H371" s="146">
        <v>71005.91716</v>
      </c>
      <c r="I371" s="146">
        <v>58579.88166</v>
      </c>
      <c r="J371" s="145">
        <v>62130.17752</v>
      </c>
      <c r="K371" s="145">
        <v>74556.21302</v>
      </c>
      <c r="L371" s="145">
        <v>58579.88166</v>
      </c>
      <c r="M371" s="145">
        <v>65680.47337</v>
      </c>
      <c r="N371" s="145">
        <v>46153.84615</v>
      </c>
      <c r="O371" s="145">
        <v>40828.40237</v>
      </c>
      <c r="P371" s="146">
        <v>33727.81065</v>
      </c>
      <c r="Q371" s="146">
        <v>33727.81065</v>
      </c>
      <c r="R371" s="146">
        <v>39053.25444</v>
      </c>
      <c r="S371" s="146">
        <v>58579.88166</v>
      </c>
    </row>
    <row r="372">
      <c r="A372" s="145">
        <v>22.563</v>
      </c>
      <c r="B372" s="145">
        <f t="shared" si="1"/>
        <v>7287.849</v>
      </c>
      <c r="C372" s="145">
        <v>51479.28994</v>
      </c>
      <c r="D372" s="145">
        <v>49704.14201</v>
      </c>
      <c r="E372" s="146">
        <v>51479.28994</v>
      </c>
      <c r="F372" s="145">
        <v>58579.88166</v>
      </c>
      <c r="G372" s="146">
        <v>60355.02959</v>
      </c>
      <c r="H372" s="146">
        <v>71005.91716</v>
      </c>
      <c r="I372" s="146">
        <v>58579.88166</v>
      </c>
      <c r="J372" s="145">
        <v>62130.17752</v>
      </c>
      <c r="K372" s="145">
        <v>74556.21302</v>
      </c>
      <c r="L372" s="145">
        <v>58579.88166</v>
      </c>
      <c r="M372" s="145">
        <v>65680.47337</v>
      </c>
      <c r="N372" s="145">
        <v>46153.84615</v>
      </c>
      <c r="O372" s="145">
        <v>40828.40237</v>
      </c>
      <c r="P372" s="146">
        <v>33727.81065</v>
      </c>
      <c r="Q372" s="146">
        <v>33727.81065</v>
      </c>
      <c r="R372" s="146">
        <v>39053.25444</v>
      </c>
      <c r="S372" s="146">
        <v>58579.88166</v>
      </c>
    </row>
    <row r="373">
      <c r="A373" s="145">
        <v>22.625</v>
      </c>
      <c r="B373" s="145">
        <f t="shared" si="1"/>
        <v>7307.875</v>
      </c>
      <c r="C373" s="145">
        <v>51479.28994</v>
      </c>
      <c r="D373" s="145">
        <v>49704.14201</v>
      </c>
      <c r="E373" s="146">
        <v>51479.28994</v>
      </c>
      <c r="F373" s="145">
        <v>58579.88166</v>
      </c>
      <c r="G373" s="146">
        <v>60355.02959</v>
      </c>
      <c r="H373" s="146">
        <v>71005.91716</v>
      </c>
      <c r="I373" s="146">
        <v>58579.88166</v>
      </c>
      <c r="J373" s="145">
        <v>62130.17752</v>
      </c>
      <c r="K373" s="145">
        <v>74556.21302</v>
      </c>
      <c r="L373" s="145">
        <v>58579.88166</v>
      </c>
      <c r="M373" s="145">
        <v>65680.47337</v>
      </c>
      <c r="N373" s="145">
        <v>46153.84615</v>
      </c>
      <c r="O373" s="145">
        <v>40828.40237</v>
      </c>
      <c r="P373" s="146">
        <v>33727.81065</v>
      </c>
      <c r="Q373" s="146">
        <v>33727.81065</v>
      </c>
      <c r="R373" s="146">
        <v>39053.25444</v>
      </c>
      <c r="S373" s="146">
        <v>58579.88166</v>
      </c>
    </row>
    <row r="374">
      <c r="A374" s="145">
        <v>22.688</v>
      </c>
      <c r="B374" s="145">
        <f t="shared" si="1"/>
        <v>7328.224</v>
      </c>
      <c r="C374" s="145">
        <v>51479.28994</v>
      </c>
      <c r="D374" s="145">
        <v>49704.14201</v>
      </c>
      <c r="E374" s="146">
        <v>51479.28994</v>
      </c>
      <c r="F374" s="145">
        <v>58579.88166</v>
      </c>
      <c r="G374" s="146">
        <v>60355.02959</v>
      </c>
      <c r="H374" s="146">
        <v>71005.91716</v>
      </c>
      <c r="I374" s="146">
        <v>58579.88166</v>
      </c>
      <c r="J374" s="145">
        <v>62130.17752</v>
      </c>
      <c r="K374" s="145">
        <v>74556.21302</v>
      </c>
      <c r="L374" s="145">
        <v>58579.88166</v>
      </c>
      <c r="M374" s="145">
        <v>65680.47337</v>
      </c>
      <c r="N374" s="145">
        <v>46153.84615</v>
      </c>
      <c r="O374" s="145">
        <v>40828.40237</v>
      </c>
      <c r="P374" s="146">
        <v>33727.81065</v>
      </c>
      <c r="Q374" s="146">
        <v>33727.81065</v>
      </c>
      <c r="R374" s="146">
        <v>39053.25444</v>
      </c>
      <c r="S374" s="146">
        <v>58579.88166</v>
      </c>
    </row>
    <row r="375">
      <c r="A375" s="145">
        <v>22.75</v>
      </c>
      <c r="B375" s="145">
        <f t="shared" si="1"/>
        <v>7348.25</v>
      </c>
      <c r="C375" s="145">
        <v>51479.28994</v>
      </c>
      <c r="D375" s="145">
        <v>49704.14201</v>
      </c>
      <c r="E375" s="146">
        <v>51479.28994</v>
      </c>
      <c r="F375" s="145">
        <v>58579.88166</v>
      </c>
      <c r="G375" s="146">
        <v>62130.17752</v>
      </c>
      <c r="H375" s="146">
        <v>71005.91716</v>
      </c>
      <c r="I375" s="146">
        <v>58579.88166</v>
      </c>
      <c r="J375" s="145">
        <v>62130.17752</v>
      </c>
      <c r="K375" s="145">
        <v>74556.21302</v>
      </c>
      <c r="L375" s="145">
        <v>58579.88166</v>
      </c>
      <c r="M375" s="145">
        <v>65680.47337</v>
      </c>
      <c r="N375" s="145">
        <v>46153.84615</v>
      </c>
      <c r="O375" s="145">
        <v>40828.40237</v>
      </c>
      <c r="P375" s="146">
        <v>33727.81065</v>
      </c>
      <c r="Q375" s="146">
        <v>33727.81065</v>
      </c>
      <c r="R375" s="146">
        <v>39053.25444</v>
      </c>
      <c r="S375" s="146">
        <v>58579.88166</v>
      </c>
    </row>
    <row r="376">
      <c r="A376" s="145">
        <v>22.813</v>
      </c>
      <c r="B376" s="145">
        <f t="shared" si="1"/>
        <v>7368.599</v>
      </c>
      <c r="C376" s="145">
        <v>51479.28994</v>
      </c>
      <c r="D376" s="145">
        <v>49704.14201</v>
      </c>
      <c r="E376" s="146">
        <v>51479.28994</v>
      </c>
      <c r="F376" s="145">
        <v>58579.88166</v>
      </c>
      <c r="G376" s="146">
        <v>62130.17752</v>
      </c>
      <c r="H376" s="146">
        <v>71005.91716</v>
      </c>
      <c r="I376" s="146">
        <v>58579.88166</v>
      </c>
      <c r="J376" s="145">
        <v>62130.17752</v>
      </c>
      <c r="K376" s="145">
        <v>74556.21302</v>
      </c>
      <c r="L376" s="145">
        <v>58579.88166</v>
      </c>
      <c r="M376" s="145">
        <v>65680.47337</v>
      </c>
      <c r="N376" s="145">
        <v>47928.99408</v>
      </c>
      <c r="O376" s="145">
        <v>40828.40237</v>
      </c>
      <c r="P376" s="146">
        <v>33727.81065</v>
      </c>
      <c r="Q376" s="146">
        <v>33727.81065</v>
      </c>
      <c r="R376" s="146">
        <v>39053.25444</v>
      </c>
      <c r="S376" s="146">
        <v>58579.88166</v>
      </c>
    </row>
    <row r="377">
      <c r="A377" s="145">
        <v>22.875</v>
      </c>
      <c r="B377" s="145">
        <f t="shared" si="1"/>
        <v>7388.625</v>
      </c>
      <c r="C377" s="145">
        <v>51479.28994</v>
      </c>
      <c r="D377" s="145">
        <v>49704.14201</v>
      </c>
      <c r="E377" s="146">
        <v>53254.43787</v>
      </c>
      <c r="F377" s="145">
        <v>58579.88166</v>
      </c>
      <c r="G377" s="146">
        <v>62130.17752</v>
      </c>
      <c r="H377" s="146">
        <v>71005.91716</v>
      </c>
      <c r="I377" s="146">
        <v>58579.88166</v>
      </c>
      <c r="J377" s="145">
        <v>62130.17752</v>
      </c>
      <c r="K377" s="145">
        <v>74556.21302</v>
      </c>
      <c r="L377" s="145">
        <v>58579.88166</v>
      </c>
      <c r="M377" s="145">
        <v>65680.47337</v>
      </c>
      <c r="N377" s="145">
        <v>47928.99408</v>
      </c>
      <c r="O377" s="145">
        <v>40828.40237</v>
      </c>
      <c r="P377" s="146">
        <v>33727.81065</v>
      </c>
      <c r="Q377" s="146">
        <v>33727.81065</v>
      </c>
      <c r="R377" s="146">
        <v>39053.25444</v>
      </c>
      <c r="S377" s="146">
        <v>58579.88166</v>
      </c>
    </row>
    <row r="378">
      <c r="A378" s="145">
        <v>22.938</v>
      </c>
      <c r="B378" s="145">
        <f t="shared" si="1"/>
        <v>7408.974</v>
      </c>
      <c r="C378" s="145">
        <v>51479.28994</v>
      </c>
      <c r="D378" s="145">
        <v>51479.28994</v>
      </c>
      <c r="E378" s="146">
        <v>53254.43787</v>
      </c>
      <c r="F378" s="145">
        <v>58579.88166</v>
      </c>
      <c r="G378" s="146">
        <v>62130.17752</v>
      </c>
      <c r="H378" s="146">
        <v>71005.91716</v>
      </c>
      <c r="I378" s="146">
        <v>58579.88166</v>
      </c>
      <c r="J378" s="145">
        <v>62130.17752</v>
      </c>
      <c r="K378" s="145">
        <v>74556.21302</v>
      </c>
      <c r="L378" s="145">
        <v>58579.88166</v>
      </c>
      <c r="M378" s="145">
        <v>65680.47337</v>
      </c>
      <c r="N378" s="145">
        <v>47928.99408</v>
      </c>
      <c r="O378" s="145">
        <v>40828.40237</v>
      </c>
      <c r="P378" s="146">
        <v>33727.81065</v>
      </c>
      <c r="Q378" s="146">
        <v>33727.81065</v>
      </c>
      <c r="R378" s="146">
        <v>39053.25444</v>
      </c>
      <c r="S378" s="146">
        <v>58579.88166</v>
      </c>
    </row>
    <row r="379">
      <c r="A379" s="145">
        <v>23.0</v>
      </c>
      <c r="B379" s="145">
        <f t="shared" si="1"/>
        <v>7429</v>
      </c>
      <c r="C379" s="145">
        <v>51479.28994</v>
      </c>
      <c r="D379" s="145">
        <v>51479.28994</v>
      </c>
      <c r="E379" s="146">
        <v>53254.43787</v>
      </c>
      <c r="F379" s="145">
        <v>58579.88166</v>
      </c>
      <c r="G379" s="146">
        <v>62130.17752</v>
      </c>
      <c r="H379" s="146">
        <v>71005.91716</v>
      </c>
      <c r="I379" s="146">
        <v>58579.88166</v>
      </c>
      <c r="J379" s="145">
        <v>62130.17752</v>
      </c>
      <c r="K379" s="145">
        <v>74556.21302</v>
      </c>
      <c r="L379" s="145">
        <v>58579.88166</v>
      </c>
      <c r="M379" s="145">
        <v>65680.47337</v>
      </c>
      <c r="N379" s="145">
        <v>47928.99408</v>
      </c>
      <c r="O379" s="145">
        <v>40828.40237</v>
      </c>
      <c r="P379" s="146">
        <v>33727.81065</v>
      </c>
      <c r="Q379" s="146">
        <v>33727.81065</v>
      </c>
      <c r="R379" s="146">
        <v>39053.25444</v>
      </c>
      <c r="S379" s="146">
        <v>58579.88166</v>
      </c>
    </row>
    <row r="380">
      <c r="A380" s="145">
        <v>23.063</v>
      </c>
      <c r="B380" s="145">
        <f t="shared" si="1"/>
        <v>7449.349</v>
      </c>
      <c r="C380" s="145">
        <v>51479.28994</v>
      </c>
      <c r="D380" s="145">
        <v>51479.28994</v>
      </c>
      <c r="E380" s="146">
        <v>53254.43787</v>
      </c>
      <c r="F380" s="145">
        <v>58579.88166</v>
      </c>
      <c r="G380" s="146">
        <v>62130.17752</v>
      </c>
      <c r="H380" s="146">
        <v>72781.06509</v>
      </c>
      <c r="I380" s="146">
        <v>58579.88166</v>
      </c>
      <c r="J380" s="145">
        <v>62130.17752</v>
      </c>
      <c r="K380" s="145">
        <v>74556.21302</v>
      </c>
      <c r="L380" s="145">
        <v>58579.88166</v>
      </c>
      <c r="M380" s="145">
        <v>65680.47337</v>
      </c>
      <c r="N380" s="145">
        <v>47928.99408</v>
      </c>
      <c r="O380" s="145">
        <v>40828.40237</v>
      </c>
      <c r="P380" s="146">
        <v>33727.81065</v>
      </c>
      <c r="Q380" s="146">
        <v>33727.81065</v>
      </c>
      <c r="R380" s="146">
        <v>39053.25444</v>
      </c>
      <c r="S380" s="146">
        <v>58579.88166</v>
      </c>
    </row>
    <row r="381">
      <c r="A381" s="145">
        <v>23.125</v>
      </c>
      <c r="B381" s="145">
        <f t="shared" si="1"/>
        <v>7469.375</v>
      </c>
      <c r="C381" s="145">
        <v>51479.28994</v>
      </c>
      <c r="D381" s="145">
        <v>51479.28994</v>
      </c>
      <c r="E381" s="146">
        <v>53254.43787</v>
      </c>
      <c r="F381" s="145">
        <v>58579.88166</v>
      </c>
      <c r="G381" s="146">
        <v>62130.17752</v>
      </c>
      <c r="H381" s="146">
        <v>72781.06509</v>
      </c>
      <c r="I381" s="146">
        <v>58579.88166</v>
      </c>
      <c r="J381" s="145">
        <v>62130.17752</v>
      </c>
      <c r="K381" s="145">
        <v>74556.21302</v>
      </c>
      <c r="L381" s="145">
        <v>58579.88166</v>
      </c>
      <c r="M381" s="145">
        <v>65680.47337</v>
      </c>
      <c r="N381" s="145">
        <v>47928.99408</v>
      </c>
      <c r="O381" s="145">
        <v>40828.40237</v>
      </c>
      <c r="P381" s="146">
        <v>33727.81065</v>
      </c>
      <c r="Q381" s="146">
        <v>33727.81065</v>
      </c>
      <c r="R381" s="146">
        <v>39053.25444</v>
      </c>
      <c r="S381" s="146">
        <v>58579.88166</v>
      </c>
    </row>
    <row r="382">
      <c r="A382" s="145">
        <v>23.188</v>
      </c>
      <c r="B382" s="145">
        <f t="shared" si="1"/>
        <v>7489.724</v>
      </c>
      <c r="C382" s="145">
        <v>51479.28994</v>
      </c>
      <c r="D382" s="145">
        <v>51479.28994</v>
      </c>
      <c r="E382" s="146">
        <v>53254.43787</v>
      </c>
      <c r="F382" s="145">
        <v>58579.88166</v>
      </c>
      <c r="G382" s="146">
        <v>62130.17752</v>
      </c>
      <c r="H382" s="146">
        <v>72781.06509</v>
      </c>
      <c r="I382" s="146">
        <v>60355.02959</v>
      </c>
      <c r="J382" s="145">
        <v>62130.17752</v>
      </c>
      <c r="K382" s="145">
        <v>74556.21302</v>
      </c>
      <c r="L382" s="145">
        <v>58579.88166</v>
      </c>
      <c r="M382" s="145">
        <v>65680.47337</v>
      </c>
      <c r="N382" s="145">
        <v>47928.99408</v>
      </c>
      <c r="O382" s="145">
        <v>40828.40237</v>
      </c>
      <c r="P382" s="146">
        <v>33727.81065</v>
      </c>
      <c r="Q382" s="146">
        <v>33727.81065</v>
      </c>
      <c r="R382" s="146">
        <v>39053.25444</v>
      </c>
      <c r="S382" s="146">
        <v>58579.88166</v>
      </c>
    </row>
    <row r="383">
      <c r="A383" s="145">
        <v>23.25</v>
      </c>
      <c r="B383" s="145">
        <f t="shared" si="1"/>
        <v>7509.75</v>
      </c>
      <c r="C383" s="145">
        <v>51479.28994</v>
      </c>
      <c r="D383" s="145">
        <v>51479.28994</v>
      </c>
      <c r="E383" s="146">
        <v>53254.43787</v>
      </c>
      <c r="F383" s="145">
        <v>58579.88166</v>
      </c>
      <c r="G383" s="146">
        <v>62130.17752</v>
      </c>
      <c r="H383" s="146">
        <v>72781.06509</v>
      </c>
      <c r="I383" s="146">
        <v>60355.02959</v>
      </c>
      <c r="J383" s="145">
        <v>62130.17752</v>
      </c>
      <c r="K383" s="145">
        <v>74556.21302</v>
      </c>
      <c r="L383" s="145">
        <v>58579.88166</v>
      </c>
      <c r="M383" s="145">
        <v>65680.47337</v>
      </c>
      <c r="N383" s="145">
        <v>47928.99408</v>
      </c>
      <c r="O383" s="145">
        <v>40828.40237</v>
      </c>
      <c r="P383" s="146">
        <v>33727.81065</v>
      </c>
      <c r="Q383" s="146">
        <v>33727.81065</v>
      </c>
      <c r="R383" s="146">
        <v>39053.25444</v>
      </c>
      <c r="S383" s="146">
        <v>58579.88166</v>
      </c>
    </row>
    <row r="384">
      <c r="A384" s="145">
        <v>23.313</v>
      </c>
      <c r="B384" s="145">
        <f t="shared" si="1"/>
        <v>7530.099</v>
      </c>
      <c r="C384" s="145">
        <v>51479.28994</v>
      </c>
      <c r="D384" s="145">
        <v>51479.28994</v>
      </c>
      <c r="E384" s="146">
        <v>53254.43787</v>
      </c>
      <c r="F384" s="145">
        <v>58579.88166</v>
      </c>
      <c r="G384" s="146">
        <v>62130.17752</v>
      </c>
      <c r="H384" s="146">
        <v>72781.06509</v>
      </c>
      <c r="I384" s="146">
        <v>60355.02959</v>
      </c>
      <c r="J384" s="145">
        <v>62130.17752</v>
      </c>
      <c r="K384" s="145">
        <v>74556.21302</v>
      </c>
      <c r="L384" s="145">
        <v>58579.88166</v>
      </c>
      <c r="M384" s="145">
        <v>65680.47337</v>
      </c>
      <c r="N384" s="145">
        <v>47928.99408</v>
      </c>
      <c r="O384" s="145">
        <v>40828.40237</v>
      </c>
      <c r="P384" s="146">
        <v>33727.81065</v>
      </c>
      <c r="Q384" s="146">
        <v>33727.81065</v>
      </c>
      <c r="R384" s="146">
        <v>39053.25444</v>
      </c>
      <c r="S384" s="146">
        <v>58579.88166</v>
      </c>
    </row>
    <row r="385">
      <c r="A385" s="145">
        <v>23.375</v>
      </c>
      <c r="B385" s="145">
        <f t="shared" si="1"/>
        <v>7550.125</v>
      </c>
      <c r="C385" s="145">
        <v>51479.28994</v>
      </c>
      <c r="D385" s="145">
        <v>51479.28994</v>
      </c>
      <c r="E385" s="146">
        <v>53254.43787</v>
      </c>
      <c r="F385" s="145">
        <v>60355.02959</v>
      </c>
      <c r="G385" s="146">
        <v>62130.17752</v>
      </c>
      <c r="H385" s="146">
        <v>72781.06509</v>
      </c>
      <c r="I385" s="146">
        <v>60355.02959</v>
      </c>
      <c r="J385" s="145">
        <v>62130.17752</v>
      </c>
      <c r="K385" s="145">
        <v>74556.21302</v>
      </c>
      <c r="L385" s="145">
        <v>58579.88166</v>
      </c>
      <c r="M385" s="145">
        <v>65680.47337</v>
      </c>
      <c r="N385" s="145">
        <v>47928.99408</v>
      </c>
      <c r="O385" s="145">
        <v>40828.40237</v>
      </c>
      <c r="P385" s="146">
        <v>33727.81065</v>
      </c>
      <c r="Q385" s="146">
        <v>33727.81065</v>
      </c>
      <c r="R385" s="146">
        <v>39053.25444</v>
      </c>
      <c r="S385" s="146">
        <v>58579.88166</v>
      </c>
    </row>
    <row r="386">
      <c r="A386" s="145">
        <v>23.438</v>
      </c>
      <c r="B386" s="145">
        <f t="shared" si="1"/>
        <v>7570.474</v>
      </c>
      <c r="C386" s="145">
        <v>51479.28994</v>
      </c>
      <c r="D386" s="145">
        <v>51479.28994</v>
      </c>
      <c r="E386" s="146">
        <v>55029.5858</v>
      </c>
      <c r="F386" s="145">
        <v>60355.02959</v>
      </c>
      <c r="G386" s="146">
        <v>62130.17752</v>
      </c>
      <c r="H386" s="146">
        <v>72781.06509</v>
      </c>
      <c r="I386" s="146">
        <v>60355.02959</v>
      </c>
      <c r="J386" s="145">
        <v>62130.17752</v>
      </c>
      <c r="K386" s="145">
        <v>74556.21302</v>
      </c>
      <c r="L386" s="145">
        <v>58579.88166</v>
      </c>
      <c r="M386" s="145">
        <v>65680.47337</v>
      </c>
      <c r="N386" s="145">
        <v>47928.99408</v>
      </c>
      <c r="O386" s="145">
        <v>40828.40237</v>
      </c>
      <c r="P386" s="146">
        <v>33727.81065</v>
      </c>
      <c r="Q386" s="146">
        <v>33727.81065</v>
      </c>
      <c r="R386" s="146">
        <v>39053.25444</v>
      </c>
      <c r="S386" s="146">
        <v>58579.88166</v>
      </c>
    </row>
    <row r="387">
      <c r="A387" s="145">
        <v>23.516</v>
      </c>
      <c r="B387" s="145">
        <f t="shared" si="1"/>
        <v>7595.668</v>
      </c>
      <c r="C387" s="145">
        <v>51479.28994</v>
      </c>
      <c r="D387" s="145">
        <v>51479.28994</v>
      </c>
      <c r="E387" s="146">
        <v>55029.5858</v>
      </c>
      <c r="F387" s="145">
        <v>60355.02959</v>
      </c>
      <c r="G387" s="146">
        <v>62130.17752</v>
      </c>
      <c r="H387" s="146">
        <v>72781.06509</v>
      </c>
      <c r="I387" s="146">
        <v>60355.02959</v>
      </c>
      <c r="J387" s="145">
        <v>62130.17752</v>
      </c>
      <c r="K387" s="145">
        <v>74556.21302</v>
      </c>
      <c r="L387" s="145">
        <v>58579.88166</v>
      </c>
      <c r="M387" s="145">
        <v>65680.47337</v>
      </c>
      <c r="N387" s="145">
        <v>47928.99408</v>
      </c>
      <c r="O387" s="145">
        <v>40828.40237</v>
      </c>
      <c r="P387" s="146">
        <v>33727.81065</v>
      </c>
      <c r="Q387" s="146">
        <v>33727.81065</v>
      </c>
      <c r="R387" s="146">
        <v>39053.25444</v>
      </c>
      <c r="S387" s="146">
        <v>58579.88166</v>
      </c>
    </row>
    <row r="388">
      <c r="A388" s="145">
        <v>23.563</v>
      </c>
      <c r="B388" s="145">
        <f t="shared" si="1"/>
        <v>7610.849</v>
      </c>
      <c r="C388" s="145">
        <v>51479.28994</v>
      </c>
      <c r="D388" s="145">
        <v>51479.28994</v>
      </c>
      <c r="E388" s="146">
        <v>55029.5858</v>
      </c>
      <c r="F388" s="145">
        <v>60355.02959</v>
      </c>
      <c r="G388" s="146">
        <v>62130.17752</v>
      </c>
      <c r="H388" s="146">
        <v>72781.06509</v>
      </c>
      <c r="I388" s="146">
        <v>60355.02959</v>
      </c>
      <c r="J388" s="145">
        <v>62130.17752</v>
      </c>
      <c r="K388" s="145">
        <v>74556.21302</v>
      </c>
      <c r="L388" s="145">
        <v>58579.88166</v>
      </c>
      <c r="M388" s="145">
        <v>65680.47337</v>
      </c>
      <c r="N388" s="145">
        <v>49704.14201</v>
      </c>
      <c r="O388" s="145">
        <v>42603.5503</v>
      </c>
      <c r="P388" s="146">
        <v>33727.81065</v>
      </c>
      <c r="Q388" s="146">
        <v>33727.81065</v>
      </c>
      <c r="R388" s="146">
        <v>39053.25444</v>
      </c>
      <c r="S388" s="146">
        <v>58579.88166</v>
      </c>
    </row>
    <row r="389">
      <c r="A389" s="145">
        <v>23.625</v>
      </c>
      <c r="B389" s="145">
        <f t="shared" si="1"/>
        <v>7630.875</v>
      </c>
      <c r="C389" s="145">
        <v>51479.28994</v>
      </c>
      <c r="D389" s="145">
        <v>51479.28994</v>
      </c>
      <c r="E389" s="146">
        <v>55029.5858</v>
      </c>
      <c r="F389" s="145">
        <v>60355.02959</v>
      </c>
      <c r="G389" s="146">
        <v>62130.17752</v>
      </c>
      <c r="H389" s="146">
        <v>74556.21302</v>
      </c>
      <c r="I389" s="146">
        <v>60355.02959</v>
      </c>
      <c r="J389" s="145">
        <v>62130.17752</v>
      </c>
      <c r="K389" s="145">
        <v>74556.21302</v>
      </c>
      <c r="L389" s="145">
        <v>58579.88166</v>
      </c>
      <c r="M389" s="145">
        <v>65680.47337</v>
      </c>
      <c r="N389" s="145">
        <v>49704.14201</v>
      </c>
      <c r="O389" s="145">
        <v>42603.5503</v>
      </c>
      <c r="P389" s="146">
        <v>33727.81065</v>
      </c>
      <c r="Q389" s="146">
        <v>33727.81065</v>
      </c>
      <c r="R389" s="146">
        <v>39053.25444</v>
      </c>
      <c r="S389" s="146">
        <v>58579.88166</v>
      </c>
    </row>
    <row r="390">
      <c r="A390" s="145">
        <v>23.688</v>
      </c>
      <c r="B390" s="145">
        <f t="shared" si="1"/>
        <v>7651.224</v>
      </c>
      <c r="C390" s="145">
        <v>51479.28994</v>
      </c>
      <c r="D390" s="145">
        <v>51479.28994</v>
      </c>
      <c r="E390" s="146">
        <v>55029.5858</v>
      </c>
      <c r="F390" s="145">
        <v>60355.02959</v>
      </c>
      <c r="G390" s="146">
        <v>63905.32544</v>
      </c>
      <c r="H390" s="146">
        <v>74556.21302</v>
      </c>
      <c r="I390" s="146">
        <v>60355.02959</v>
      </c>
      <c r="J390" s="145">
        <v>62130.17752</v>
      </c>
      <c r="K390" s="145">
        <v>74556.21302</v>
      </c>
      <c r="L390" s="145">
        <v>58579.88166</v>
      </c>
      <c r="M390" s="145">
        <v>65680.47337</v>
      </c>
      <c r="N390" s="145">
        <v>49704.14201</v>
      </c>
      <c r="O390" s="145">
        <v>42603.5503</v>
      </c>
      <c r="P390" s="146">
        <v>33727.81065</v>
      </c>
      <c r="Q390" s="146">
        <v>33727.81065</v>
      </c>
      <c r="R390" s="146">
        <v>39053.25444</v>
      </c>
      <c r="S390" s="146">
        <v>58579.88166</v>
      </c>
    </row>
    <row r="391">
      <c r="A391" s="145">
        <v>23.75</v>
      </c>
      <c r="B391" s="145">
        <f t="shared" si="1"/>
        <v>7671.25</v>
      </c>
      <c r="C391" s="145">
        <v>51479.28994</v>
      </c>
      <c r="D391" s="145">
        <v>51479.28994</v>
      </c>
      <c r="E391" s="146">
        <v>55029.5858</v>
      </c>
      <c r="F391" s="145">
        <v>60355.02959</v>
      </c>
      <c r="G391" s="146">
        <v>63905.32544</v>
      </c>
      <c r="H391" s="146">
        <v>74556.21302</v>
      </c>
      <c r="I391" s="146">
        <v>62130.17752</v>
      </c>
      <c r="J391" s="145">
        <v>62130.17752</v>
      </c>
      <c r="K391" s="145">
        <v>74556.21302</v>
      </c>
      <c r="L391" s="145">
        <v>58579.88166</v>
      </c>
      <c r="M391" s="145">
        <v>65680.47337</v>
      </c>
      <c r="N391" s="145">
        <v>49704.14201</v>
      </c>
      <c r="O391" s="145">
        <v>42603.5503</v>
      </c>
      <c r="P391" s="146">
        <v>33727.81065</v>
      </c>
      <c r="Q391" s="146">
        <v>33727.81065</v>
      </c>
      <c r="R391" s="146">
        <v>39053.25444</v>
      </c>
      <c r="S391" s="146">
        <v>58579.88166</v>
      </c>
    </row>
    <row r="392">
      <c r="A392" s="145">
        <v>23.813</v>
      </c>
      <c r="B392" s="145">
        <f t="shared" si="1"/>
        <v>7691.599</v>
      </c>
      <c r="C392" s="145">
        <v>51479.28994</v>
      </c>
      <c r="D392" s="145">
        <v>51479.28994</v>
      </c>
      <c r="E392" s="146">
        <v>55029.5858</v>
      </c>
      <c r="F392" s="145">
        <v>60355.02959</v>
      </c>
      <c r="G392" s="146">
        <v>63905.32544</v>
      </c>
      <c r="H392" s="146">
        <v>74556.21302</v>
      </c>
      <c r="I392" s="146">
        <v>62130.17752</v>
      </c>
      <c r="J392" s="145">
        <v>62130.17752</v>
      </c>
      <c r="K392" s="145">
        <v>74556.21302</v>
      </c>
      <c r="L392" s="145">
        <v>58579.88166</v>
      </c>
      <c r="M392" s="145">
        <v>67455.6213</v>
      </c>
      <c r="N392" s="145">
        <v>49704.14201</v>
      </c>
      <c r="O392" s="145">
        <v>42603.5503</v>
      </c>
      <c r="P392" s="146">
        <v>33727.81065</v>
      </c>
      <c r="Q392" s="146">
        <v>33727.81065</v>
      </c>
      <c r="R392" s="146">
        <v>39053.25444</v>
      </c>
      <c r="S392" s="146">
        <v>58579.88166</v>
      </c>
    </row>
    <row r="393">
      <c r="A393" s="145">
        <v>23.875</v>
      </c>
      <c r="B393" s="145">
        <f t="shared" si="1"/>
        <v>7711.625</v>
      </c>
      <c r="C393" s="145">
        <v>51479.28994</v>
      </c>
      <c r="D393" s="145">
        <v>51479.28994</v>
      </c>
      <c r="E393" s="146">
        <v>55029.5858</v>
      </c>
      <c r="F393" s="145">
        <v>60355.02959</v>
      </c>
      <c r="G393" s="146">
        <v>63905.32544</v>
      </c>
      <c r="H393" s="146">
        <v>74556.21302</v>
      </c>
      <c r="I393" s="146">
        <v>62130.17752</v>
      </c>
      <c r="J393" s="145">
        <v>63905.32544</v>
      </c>
      <c r="K393" s="145">
        <v>74556.21302</v>
      </c>
      <c r="L393" s="145">
        <v>58579.88166</v>
      </c>
      <c r="M393" s="145">
        <v>67455.6213</v>
      </c>
      <c r="N393" s="145">
        <v>49704.14201</v>
      </c>
      <c r="O393" s="145">
        <v>42603.5503</v>
      </c>
      <c r="P393" s="146">
        <v>33727.81065</v>
      </c>
      <c r="Q393" s="146">
        <v>33727.81065</v>
      </c>
      <c r="R393" s="146">
        <v>39053.25444</v>
      </c>
      <c r="S393" s="146">
        <v>58579.88166</v>
      </c>
    </row>
    <row r="394">
      <c r="A394" s="145">
        <v>23.938</v>
      </c>
      <c r="B394" s="145">
        <f t="shared" si="1"/>
        <v>7731.974</v>
      </c>
      <c r="C394" s="145">
        <v>51479.28994</v>
      </c>
      <c r="D394" s="145">
        <v>51479.28994</v>
      </c>
      <c r="E394" s="146">
        <v>56804.73373</v>
      </c>
      <c r="F394" s="145">
        <v>60355.02959</v>
      </c>
      <c r="G394" s="146">
        <v>63905.32544</v>
      </c>
      <c r="H394" s="146">
        <v>76331.36095</v>
      </c>
      <c r="I394" s="146">
        <v>62130.17752</v>
      </c>
      <c r="J394" s="145">
        <v>63905.32544</v>
      </c>
      <c r="K394" s="145">
        <v>74556.21302</v>
      </c>
      <c r="L394" s="145">
        <v>58579.88166</v>
      </c>
      <c r="M394" s="145">
        <v>67455.6213</v>
      </c>
      <c r="N394" s="145">
        <v>49704.14201</v>
      </c>
      <c r="O394" s="145">
        <v>42603.5503</v>
      </c>
      <c r="P394" s="146">
        <v>33727.81065</v>
      </c>
      <c r="Q394" s="146">
        <v>35502.95858</v>
      </c>
      <c r="R394" s="146">
        <v>39053.25444</v>
      </c>
      <c r="S394" s="146">
        <v>58579.88166</v>
      </c>
    </row>
    <row r="395">
      <c r="A395" s="145">
        <v>24.0</v>
      </c>
      <c r="B395" s="145">
        <f t="shared" si="1"/>
        <v>7752</v>
      </c>
      <c r="C395" s="145">
        <v>51479.28994</v>
      </c>
      <c r="D395" s="145">
        <v>51479.28994</v>
      </c>
      <c r="E395" s="146">
        <v>56804.73373</v>
      </c>
      <c r="F395" s="145">
        <v>60355.02959</v>
      </c>
      <c r="G395" s="146">
        <v>63905.32544</v>
      </c>
      <c r="H395" s="146">
        <v>76331.36095</v>
      </c>
      <c r="I395" s="146">
        <v>62130.17752</v>
      </c>
      <c r="J395" s="145">
        <v>63905.32544</v>
      </c>
      <c r="K395" s="145">
        <v>74556.21302</v>
      </c>
      <c r="L395" s="145">
        <v>58579.88166</v>
      </c>
      <c r="M395" s="145">
        <v>67455.6213</v>
      </c>
      <c r="N395" s="145">
        <v>49704.14201</v>
      </c>
      <c r="O395" s="145">
        <v>42603.5503</v>
      </c>
      <c r="P395" s="146">
        <v>33727.81065</v>
      </c>
      <c r="Q395" s="146">
        <v>35502.95858</v>
      </c>
      <c r="R395" s="146">
        <v>40828.40237</v>
      </c>
      <c r="S395" s="146">
        <v>58579.88166</v>
      </c>
    </row>
    <row r="396">
      <c r="A396" s="145">
        <v>24.063</v>
      </c>
      <c r="B396" s="145">
        <f t="shared" si="1"/>
        <v>7772.349</v>
      </c>
      <c r="C396" s="145">
        <v>51479.28994</v>
      </c>
      <c r="D396" s="145">
        <v>53254.43787</v>
      </c>
      <c r="E396" s="146">
        <v>56804.73373</v>
      </c>
      <c r="F396" s="145">
        <v>60355.02959</v>
      </c>
      <c r="G396" s="146">
        <v>63905.32544</v>
      </c>
      <c r="H396" s="146">
        <v>76331.36095</v>
      </c>
      <c r="I396" s="146">
        <v>62130.17752</v>
      </c>
      <c r="J396" s="145">
        <v>63905.32544</v>
      </c>
      <c r="K396" s="145">
        <v>74556.21302</v>
      </c>
      <c r="L396" s="145">
        <v>58579.88166</v>
      </c>
      <c r="M396" s="145">
        <v>67455.6213</v>
      </c>
      <c r="N396" s="145">
        <v>51479.28994</v>
      </c>
      <c r="O396" s="145">
        <v>42603.5503</v>
      </c>
      <c r="P396" s="146">
        <v>35502.95858</v>
      </c>
      <c r="Q396" s="146">
        <v>35502.95858</v>
      </c>
      <c r="R396" s="146">
        <v>40828.40237</v>
      </c>
      <c r="S396" s="146">
        <v>58579.88166</v>
      </c>
    </row>
    <row r="397">
      <c r="A397" s="145">
        <v>24.125</v>
      </c>
      <c r="B397" s="145">
        <f t="shared" si="1"/>
        <v>7792.375</v>
      </c>
      <c r="C397" s="145">
        <v>51479.28994</v>
      </c>
      <c r="D397" s="145">
        <v>53254.43787</v>
      </c>
      <c r="E397" s="146">
        <v>56804.73373</v>
      </c>
      <c r="F397" s="145">
        <v>60355.02959</v>
      </c>
      <c r="G397" s="146">
        <v>63905.32544</v>
      </c>
      <c r="H397" s="146">
        <v>76331.36095</v>
      </c>
      <c r="I397" s="146">
        <v>62130.17752</v>
      </c>
      <c r="J397" s="145">
        <v>63905.32544</v>
      </c>
      <c r="K397" s="145">
        <v>74556.21302</v>
      </c>
      <c r="L397" s="145">
        <v>58579.88166</v>
      </c>
      <c r="M397" s="145">
        <v>67455.6213</v>
      </c>
      <c r="N397" s="145">
        <v>51479.28994</v>
      </c>
      <c r="O397" s="145">
        <v>42603.5503</v>
      </c>
      <c r="P397" s="146">
        <v>35502.95858</v>
      </c>
      <c r="Q397" s="146">
        <v>35502.95858</v>
      </c>
      <c r="R397" s="146">
        <v>40828.40237</v>
      </c>
      <c r="S397" s="146">
        <v>58579.88166</v>
      </c>
    </row>
    <row r="398">
      <c r="A398" s="145">
        <v>24.188</v>
      </c>
      <c r="B398" s="145">
        <f t="shared" si="1"/>
        <v>7812.724</v>
      </c>
      <c r="C398" s="145">
        <v>51479.28994</v>
      </c>
      <c r="D398" s="145">
        <v>53254.43787</v>
      </c>
      <c r="E398" s="146">
        <v>56804.73373</v>
      </c>
      <c r="F398" s="145">
        <v>60355.02959</v>
      </c>
      <c r="G398" s="146">
        <v>63905.32544</v>
      </c>
      <c r="H398" s="146">
        <v>76331.36095</v>
      </c>
      <c r="I398" s="146">
        <v>62130.17752</v>
      </c>
      <c r="J398" s="145">
        <v>63905.32544</v>
      </c>
      <c r="K398" s="145">
        <v>74556.21302</v>
      </c>
      <c r="L398" s="145">
        <v>58579.88166</v>
      </c>
      <c r="M398" s="145">
        <v>67455.6213</v>
      </c>
      <c r="N398" s="145">
        <v>51479.28994</v>
      </c>
      <c r="O398" s="145">
        <v>42603.5503</v>
      </c>
      <c r="P398" s="146">
        <v>35502.95858</v>
      </c>
      <c r="Q398" s="146">
        <v>35502.95858</v>
      </c>
      <c r="R398" s="146">
        <v>40828.40237</v>
      </c>
      <c r="S398" s="146">
        <v>58579.88166</v>
      </c>
    </row>
    <row r="399">
      <c r="A399" s="145">
        <v>24.25</v>
      </c>
      <c r="B399" s="145">
        <f t="shared" si="1"/>
        <v>7832.75</v>
      </c>
      <c r="C399" s="145">
        <v>51479.28994</v>
      </c>
      <c r="D399" s="145">
        <v>53254.43787</v>
      </c>
      <c r="E399" s="146">
        <v>56804.73373</v>
      </c>
      <c r="F399" s="145">
        <v>60355.02959</v>
      </c>
      <c r="G399" s="146">
        <v>63905.32544</v>
      </c>
      <c r="H399" s="146">
        <v>76331.36095</v>
      </c>
      <c r="I399" s="146">
        <v>62130.17752</v>
      </c>
      <c r="J399" s="145">
        <v>63905.32544</v>
      </c>
      <c r="K399" s="145">
        <v>74556.21302</v>
      </c>
      <c r="L399" s="145">
        <v>58579.88166</v>
      </c>
      <c r="M399" s="145">
        <v>67455.6213</v>
      </c>
      <c r="N399" s="145">
        <v>51479.28994</v>
      </c>
      <c r="O399" s="145">
        <v>42603.5503</v>
      </c>
      <c r="P399" s="146">
        <v>35502.95858</v>
      </c>
      <c r="Q399" s="146">
        <v>35502.95858</v>
      </c>
      <c r="R399" s="146">
        <v>40828.40237</v>
      </c>
      <c r="S399" s="146">
        <v>58579.88166</v>
      </c>
    </row>
    <row r="400">
      <c r="A400" s="145">
        <v>24.313</v>
      </c>
      <c r="B400" s="145">
        <f t="shared" si="1"/>
        <v>7853.099</v>
      </c>
      <c r="C400" s="145">
        <v>51479.28994</v>
      </c>
      <c r="D400" s="145">
        <v>53254.43787</v>
      </c>
      <c r="E400" s="146">
        <v>56804.73373</v>
      </c>
      <c r="F400" s="145">
        <v>60355.02959</v>
      </c>
      <c r="G400" s="146">
        <v>63905.32544</v>
      </c>
      <c r="H400" s="146">
        <v>76331.36095</v>
      </c>
      <c r="I400" s="146">
        <v>62130.17752</v>
      </c>
      <c r="J400" s="145">
        <v>63905.32544</v>
      </c>
      <c r="K400" s="145">
        <v>74556.21302</v>
      </c>
      <c r="L400" s="145">
        <v>58579.88166</v>
      </c>
      <c r="M400" s="145">
        <v>67455.6213</v>
      </c>
      <c r="N400" s="145">
        <v>51479.28994</v>
      </c>
      <c r="O400" s="145">
        <v>42603.5503</v>
      </c>
      <c r="P400" s="146">
        <v>35502.95858</v>
      </c>
      <c r="Q400" s="146">
        <v>35502.95858</v>
      </c>
      <c r="R400" s="146">
        <v>40828.40237</v>
      </c>
      <c r="S400" s="146">
        <v>58579.88166</v>
      </c>
    </row>
    <row r="401">
      <c r="A401" s="145">
        <v>24.375</v>
      </c>
      <c r="B401" s="145">
        <f t="shared" si="1"/>
        <v>7873.125</v>
      </c>
      <c r="C401" s="145">
        <v>51479.28994</v>
      </c>
      <c r="D401" s="145">
        <v>53254.43787</v>
      </c>
      <c r="E401" s="146">
        <v>56804.73373</v>
      </c>
      <c r="F401" s="145">
        <v>60355.02959</v>
      </c>
      <c r="G401" s="146">
        <v>63905.32544</v>
      </c>
      <c r="H401" s="146">
        <v>76331.36095</v>
      </c>
      <c r="I401" s="146">
        <v>62130.17752</v>
      </c>
      <c r="J401" s="145">
        <v>63905.32544</v>
      </c>
      <c r="K401" s="145">
        <v>74556.21302</v>
      </c>
      <c r="L401" s="145">
        <v>58579.88166</v>
      </c>
      <c r="M401" s="145">
        <v>67455.6213</v>
      </c>
      <c r="N401" s="145">
        <v>51479.28994</v>
      </c>
      <c r="O401" s="145">
        <v>42603.5503</v>
      </c>
      <c r="P401" s="146">
        <v>35502.95858</v>
      </c>
      <c r="Q401" s="146">
        <v>35502.95858</v>
      </c>
      <c r="R401" s="146">
        <v>40828.40237</v>
      </c>
      <c r="S401" s="146">
        <v>58579.88166</v>
      </c>
    </row>
    <row r="402">
      <c r="A402" s="145">
        <v>24.438</v>
      </c>
      <c r="B402" s="145">
        <f t="shared" si="1"/>
        <v>7893.474</v>
      </c>
      <c r="C402" s="145">
        <v>51479.28994</v>
      </c>
      <c r="D402" s="145">
        <v>53254.43787</v>
      </c>
      <c r="E402" s="146">
        <v>56804.73373</v>
      </c>
      <c r="F402" s="145">
        <v>60355.02959</v>
      </c>
      <c r="G402" s="146">
        <v>63905.32544</v>
      </c>
      <c r="H402" s="146">
        <v>76331.36095</v>
      </c>
      <c r="I402" s="146">
        <v>62130.17752</v>
      </c>
      <c r="J402" s="145">
        <v>63905.32544</v>
      </c>
      <c r="K402" s="145">
        <v>74556.21302</v>
      </c>
      <c r="L402" s="145">
        <v>58579.88166</v>
      </c>
      <c r="M402" s="145">
        <v>67455.6213</v>
      </c>
      <c r="N402" s="145">
        <v>51479.28994</v>
      </c>
      <c r="O402" s="145">
        <v>42603.5503</v>
      </c>
      <c r="P402" s="146">
        <v>35502.95858</v>
      </c>
      <c r="Q402" s="146">
        <v>35502.95858</v>
      </c>
      <c r="R402" s="146">
        <v>40828.40237</v>
      </c>
      <c r="S402" s="146">
        <v>58579.88166</v>
      </c>
    </row>
    <row r="403">
      <c r="A403" s="145">
        <v>24.5</v>
      </c>
      <c r="B403" s="145">
        <f t="shared" si="1"/>
        <v>7913.5</v>
      </c>
      <c r="C403" s="145">
        <v>51479.28994</v>
      </c>
      <c r="D403" s="145">
        <v>53254.43787</v>
      </c>
      <c r="E403" s="146">
        <v>56804.73373</v>
      </c>
      <c r="F403" s="145">
        <v>60355.02959</v>
      </c>
      <c r="G403" s="146">
        <v>63905.32544</v>
      </c>
      <c r="H403" s="146">
        <v>76331.36095</v>
      </c>
      <c r="I403" s="146">
        <v>62130.17752</v>
      </c>
      <c r="J403" s="145">
        <v>63905.32544</v>
      </c>
      <c r="K403" s="145">
        <v>74556.21302</v>
      </c>
      <c r="L403" s="145">
        <v>60355.02959</v>
      </c>
      <c r="M403" s="145">
        <v>67455.6213</v>
      </c>
      <c r="N403" s="145">
        <v>51479.28994</v>
      </c>
      <c r="O403" s="145">
        <v>42603.5503</v>
      </c>
      <c r="P403" s="146">
        <v>35502.95858</v>
      </c>
      <c r="Q403" s="146">
        <v>35502.95858</v>
      </c>
      <c r="R403" s="146">
        <v>40828.40237</v>
      </c>
      <c r="S403" s="146">
        <v>58579.88166</v>
      </c>
    </row>
    <row r="404">
      <c r="A404" s="145">
        <v>24.563</v>
      </c>
      <c r="B404" s="145">
        <f t="shared" si="1"/>
        <v>7933.849</v>
      </c>
      <c r="C404" s="145">
        <v>51479.28994</v>
      </c>
      <c r="D404" s="145">
        <v>53254.43787</v>
      </c>
      <c r="E404" s="146">
        <v>56804.73373</v>
      </c>
      <c r="F404" s="145">
        <v>60355.02959</v>
      </c>
      <c r="G404" s="146">
        <v>63905.32544</v>
      </c>
      <c r="H404" s="146">
        <v>78106.50888</v>
      </c>
      <c r="I404" s="146">
        <v>62130.17752</v>
      </c>
      <c r="J404" s="145">
        <v>63905.32544</v>
      </c>
      <c r="K404" s="145">
        <v>74556.21302</v>
      </c>
      <c r="L404" s="145">
        <v>60355.02959</v>
      </c>
      <c r="M404" s="145">
        <v>67455.6213</v>
      </c>
      <c r="N404" s="145">
        <v>51479.28994</v>
      </c>
      <c r="O404" s="145">
        <v>42603.5503</v>
      </c>
      <c r="P404" s="146">
        <v>35502.95858</v>
      </c>
      <c r="Q404" s="146">
        <v>35502.95858</v>
      </c>
      <c r="R404" s="146">
        <v>42603.5503</v>
      </c>
      <c r="S404" s="146">
        <v>58579.88166</v>
      </c>
    </row>
    <row r="405">
      <c r="A405" s="145">
        <v>24.625</v>
      </c>
      <c r="B405" s="145">
        <f t="shared" si="1"/>
        <v>7953.875</v>
      </c>
      <c r="C405" s="145">
        <v>51479.28994</v>
      </c>
      <c r="D405" s="145">
        <v>53254.43787</v>
      </c>
      <c r="E405" s="146">
        <v>56804.73373</v>
      </c>
      <c r="F405" s="145">
        <v>62130.17752</v>
      </c>
      <c r="G405" s="146">
        <v>63905.32544</v>
      </c>
      <c r="H405" s="146">
        <v>78106.50888</v>
      </c>
      <c r="I405" s="146">
        <v>62130.17752</v>
      </c>
      <c r="J405" s="145">
        <v>63905.32544</v>
      </c>
      <c r="K405" s="145">
        <v>74556.21302</v>
      </c>
      <c r="L405" s="145">
        <v>60355.02959</v>
      </c>
      <c r="M405" s="145">
        <v>67455.6213</v>
      </c>
      <c r="N405" s="145">
        <v>51479.28994</v>
      </c>
      <c r="O405" s="145">
        <v>42603.5503</v>
      </c>
      <c r="P405" s="146">
        <v>35502.95858</v>
      </c>
      <c r="Q405" s="146">
        <v>35502.95858</v>
      </c>
      <c r="R405" s="146">
        <v>42603.5503</v>
      </c>
      <c r="S405" s="146">
        <v>58579.88166</v>
      </c>
    </row>
    <row r="406">
      <c r="A406" s="145">
        <v>24.688</v>
      </c>
      <c r="B406" s="145">
        <f t="shared" si="1"/>
        <v>7974.224</v>
      </c>
      <c r="C406" s="145">
        <v>51479.28994</v>
      </c>
      <c r="D406" s="145">
        <v>55029.5858</v>
      </c>
      <c r="E406" s="146">
        <v>56804.73373</v>
      </c>
      <c r="F406" s="145">
        <v>62130.17752</v>
      </c>
      <c r="G406" s="146">
        <v>63905.32544</v>
      </c>
      <c r="H406" s="146">
        <v>78106.50888</v>
      </c>
      <c r="I406" s="146">
        <v>63905.32544</v>
      </c>
      <c r="J406" s="145">
        <v>63905.32544</v>
      </c>
      <c r="K406" s="145">
        <v>74556.21302</v>
      </c>
      <c r="L406" s="145">
        <v>60355.02959</v>
      </c>
      <c r="M406" s="145">
        <v>67455.6213</v>
      </c>
      <c r="N406" s="145">
        <v>51479.28994</v>
      </c>
      <c r="O406" s="145">
        <v>42603.5503</v>
      </c>
      <c r="P406" s="146">
        <v>35502.95858</v>
      </c>
      <c r="Q406" s="146">
        <v>35502.95858</v>
      </c>
      <c r="R406" s="146">
        <v>42603.5503</v>
      </c>
      <c r="S406" s="146">
        <v>58579.88166</v>
      </c>
    </row>
    <row r="407">
      <c r="A407" s="145">
        <v>24.75</v>
      </c>
      <c r="B407" s="145">
        <f t="shared" si="1"/>
        <v>7994.25</v>
      </c>
      <c r="C407" s="145">
        <v>51479.28994</v>
      </c>
      <c r="D407" s="145">
        <v>55029.5858</v>
      </c>
      <c r="E407" s="146">
        <v>56804.73373</v>
      </c>
      <c r="F407" s="145">
        <v>62130.17752</v>
      </c>
      <c r="G407" s="146">
        <v>65680.47337</v>
      </c>
      <c r="H407" s="146">
        <v>78106.50888</v>
      </c>
      <c r="I407" s="146">
        <v>63905.32544</v>
      </c>
      <c r="J407" s="145">
        <v>63905.32544</v>
      </c>
      <c r="K407" s="145">
        <v>74556.21302</v>
      </c>
      <c r="L407" s="145">
        <v>60355.02959</v>
      </c>
      <c r="M407" s="145">
        <v>67455.6213</v>
      </c>
      <c r="N407" s="145">
        <v>51479.28994</v>
      </c>
      <c r="O407" s="145">
        <v>42603.5503</v>
      </c>
      <c r="P407" s="146">
        <v>35502.95858</v>
      </c>
      <c r="Q407" s="146">
        <v>37278.10651</v>
      </c>
      <c r="R407" s="146">
        <v>42603.5503</v>
      </c>
      <c r="S407" s="146">
        <v>58579.88166</v>
      </c>
    </row>
    <row r="408">
      <c r="A408" s="145">
        <v>24.813</v>
      </c>
      <c r="B408" s="145">
        <f t="shared" si="1"/>
        <v>8014.599</v>
      </c>
      <c r="C408" s="145">
        <v>51479.28994</v>
      </c>
      <c r="D408" s="145">
        <v>55029.5858</v>
      </c>
      <c r="E408" s="146">
        <v>56804.73373</v>
      </c>
      <c r="F408" s="145">
        <v>62130.17752</v>
      </c>
      <c r="G408" s="146">
        <v>65680.47337</v>
      </c>
      <c r="H408" s="146">
        <v>78106.50888</v>
      </c>
      <c r="I408" s="146">
        <v>63905.32544</v>
      </c>
      <c r="J408" s="145">
        <v>63905.32544</v>
      </c>
      <c r="K408" s="145">
        <v>76331.36095</v>
      </c>
      <c r="L408" s="145">
        <v>60355.02959</v>
      </c>
      <c r="M408" s="145">
        <v>67455.6213</v>
      </c>
      <c r="N408" s="145">
        <v>51479.28994</v>
      </c>
      <c r="O408" s="145">
        <v>42603.5503</v>
      </c>
      <c r="P408" s="146">
        <v>35502.95858</v>
      </c>
      <c r="Q408" s="146">
        <v>37278.10651</v>
      </c>
      <c r="R408" s="146">
        <v>42603.5503</v>
      </c>
      <c r="S408" s="146">
        <v>58579.88166</v>
      </c>
    </row>
    <row r="409">
      <c r="A409" s="145">
        <v>24.875</v>
      </c>
      <c r="B409" s="145">
        <f t="shared" si="1"/>
        <v>8034.625</v>
      </c>
      <c r="C409" s="145">
        <v>51479.28994</v>
      </c>
      <c r="D409" s="145">
        <v>55029.5858</v>
      </c>
      <c r="E409" s="146">
        <v>56804.73373</v>
      </c>
      <c r="F409" s="145">
        <v>62130.17752</v>
      </c>
      <c r="G409" s="146">
        <v>65680.47337</v>
      </c>
      <c r="H409" s="146">
        <v>78106.50888</v>
      </c>
      <c r="I409" s="146">
        <v>63905.32544</v>
      </c>
      <c r="J409" s="145">
        <v>67455.6213</v>
      </c>
      <c r="K409" s="145">
        <v>76331.36095</v>
      </c>
      <c r="L409" s="145">
        <v>60355.02959</v>
      </c>
      <c r="M409" s="145">
        <v>67455.6213</v>
      </c>
      <c r="N409" s="145">
        <v>51479.28994</v>
      </c>
      <c r="O409" s="145">
        <v>42603.5503</v>
      </c>
      <c r="P409" s="146">
        <v>35502.95858</v>
      </c>
      <c r="Q409" s="146">
        <v>37278.10651</v>
      </c>
      <c r="R409" s="146">
        <v>42603.5503</v>
      </c>
      <c r="S409" s="146">
        <v>58579.88166</v>
      </c>
    </row>
    <row r="410">
      <c r="A410" s="145">
        <v>24.938</v>
      </c>
      <c r="B410" s="145">
        <f t="shared" si="1"/>
        <v>8054.974</v>
      </c>
      <c r="C410" s="145">
        <v>51479.28994</v>
      </c>
      <c r="D410" s="145">
        <v>55029.5858</v>
      </c>
      <c r="E410" s="146">
        <v>56804.73373</v>
      </c>
      <c r="F410" s="145">
        <v>62130.17752</v>
      </c>
      <c r="G410" s="146">
        <v>65680.47337</v>
      </c>
      <c r="H410" s="146">
        <v>78106.50888</v>
      </c>
      <c r="I410" s="146">
        <v>63905.32544</v>
      </c>
      <c r="J410" s="145">
        <v>67455.6213</v>
      </c>
      <c r="K410" s="145">
        <v>76331.36095</v>
      </c>
      <c r="L410" s="145">
        <v>60355.02959</v>
      </c>
      <c r="M410" s="145">
        <v>67455.6213</v>
      </c>
      <c r="N410" s="145">
        <v>51479.28994</v>
      </c>
      <c r="O410" s="145">
        <v>42603.5503</v>
      </c>
      <c r="P410" s="146">
        <v>35502.95858</v>
      </c>
      <c r="Q410" s="146">
        <v>37278.10651</v>
      </c>
      <c r="R410" s="146">
        <v>42603.5503</v>
      </c>
      <c r="S410" s="146">
        <v>58579.88166</v>
      </c>
    </row>
    <row r="411">
      <c r="A411" s="145">
        <v>25.0</v>
      </c>
      <c r="B411" s="145">
        <f t="shared" si="1"/>
        <v>8075</v>
      </c>
      <c r="C411" s="145">
        <v>51479.28994</v>
      </c>
      <c r="D411" s="145">
        <v>55029.5858</v>
      </c>
      <c r="E411" s="146">
        <v>56804.73373</v>
      </c>
      <c r="F411" s="145">
        <v>62130.17752</v>
      </c>
      <c r="G411" s="146">
        <v>65680.47337</v>
      </c>
      <c r="H411" s="146">
        <v>78106.50888</v>
      </c>
      <c r="I411" s="146">
        <v>63905.32544</v>
      </c>
      <c r="J411" s="145">
        <v>67455.6213</v>
      </c>
      <c r="K411" s="145">
        <v>76331.36095</v>
      </c>
      <c r="L411" s="145">
        <v>60355.02959</v>
      </c>
      <c r="M411" s="145">
        <v>67455.6213</v>
      </c>
      <c r="N411" s="145">
        <v>51479.28994</v>
      </c>
      <c r="O411" s="145">
        <v>42603.5503</v>
      </c>
      <c r="P411" s="146">
        <v>35502.95858</v>
      </c>
      <c r="Q411" s="146">
        <v>37278.10651</v>
      </c>
      <c r="R411" s="146">
        <v>42603.5503</v>
      </c>
      <c r="S411" s="146">
        <v>58579.88166</v>
      </c>
    </row>
    <row r="412">
      <c r="A412" s="145">
        <v>25.063</v>
      </c>
      <c r="B412" s="145">
        <f t="shared" si="1"/>
        <v>8095.349</v>
      </c>
      <c r="C412" s="145">
        <v>51479.28994</v>
      </c>
      <c r="D412" s="145">
        <v>55029.5858</v>
      </c>
      <c r="E412" s="146">
        <v>56804.73373</v>
      </c>
      <c r="F412" s="145">
        <v>62130.17752</v>
      </c>
      <c r="G412" s="146">
        <v>65680.47337</v>
      </c>
      <c r="H412" s="146">
        <v>78106.50888</v>
      </c>
      <c r="I412" s="146">
        <v>63905.32544</v>
      </c>
      <c r="J412" s="145">
        <v>67455.6213</v>
      </c>
      <c r="K412" s="145">
        <v>76331.36095</v>
      </c>
      <c r="L412" s="145">
        <v>60355.02959</v>
      </c>
      <c r="M412" s="145">
        <v>67455.6213</v>
      </c>
      <c r="N412" s="145">
        <v>51479.28994</v>
      </c>
      <c r="O412" s="145">
        <v>42603.5503</v>
      </c>
      <c r="P412" s="146">
        <v>35502.95858</v>
      </c>
      <c r="Q412" s="146">
        <v>37278.10651</v>
      </c>
      <c r="R412" s="146">
        <v>42603.5503</v>
      </c>
      <c r="S412" s="146">
        <v>58579.88166</v>
      </c>
    </row>
    <row r="413">
      <c r="A413" s="145">
        <v>25.125</v>
      </c>
      <c r="B413" s="145">
        <f t="shared" si="1"/>
        <v>8115.375</v>
      </c>
      <c r="C413" s="145">
        <v>51479.28994</v>
      </c>
      <c r="D413" s="145">
        <v>55029.5858</v>
      </c>
      <c r="E413" s="146">
        <v>56804.73373</v>
      </c>
      <c r="F413" s="145">
        <v>62130.17752</v>
      </c>
      <c r="G413" s="146">
        <v>65680.47337</v>
      </c>
      <c r="H413" s="146">
        <v>78106.50888</v>
      </c>
      <c r="I413" s="146">
        <v>63905.32544</v>
      </c>
      <c r="J413" s="145">
        <v>67455.6213</v>
      </c>
      <c r="K413" s="145">
        <v>76331.36095</v>
      </c>
      <c r="L413" s="145">
        <v>60355.02959</v>
      </c>
      <c r="M413" s="145">
        <v>69230.76923</v>
      </c>
      <c r="N413" s="145">
        <v>51479.28994</v>
      </c>
      <c r="O413" s="145">
        <v>42603.5503</v>
      </c>
      <c r="P413" s="146">
        <v>35502.95858</v>
      </c>
      <c r="Q413" s="146">
        <v>37278.10651</v>
      </c>
      <c r="R413" s="146">
        <v>42603.5503</v>
      </c>
      <c r="S413" s="146">
        <v>58579.88166</v>
      </c>
    </row>
    <row r="414">
      <c r="A414" s="145">
        <v>25.188</v>
      </c>
      <c r="B414" s="145">
        <f t="shared" si="1"/>
        <v>8135.724</v>
      </c>
      <c r="C414" s="145">
        <v>51479.28994</v>
      </c>
      <c r="D414" s="145">
        <v>56804.73373</v>
      </c>
      <c r="E414" s="146">
        <v>56804.73373</v>
      </c>
      <c r="F414" s="145">
        <v>62130.17752</v>
      </c>
      <c r="G414" s="146">
        <v>67455.6213</v>
      </c>
      <c r="H414" s="146">
        <v>78106.50888</v>
      </c>
      <c r="I414" s="146">
        <v>63905.32544</v>
      </c>
      <c r="J414" s="145">
        <v>67455.6213</v>
      </c>
      <c r="K414" s="145">
        <v>76331.36095</v>
      </c>
      <c r="L414" s="145">
        <v>60355.02959</v>
      </c>
      <c r="M414" s="145">
        <v>69230.76923</v>
      </c>
      <c r="N414" s="145">
        <v>51479.28994</v>
      </c>
      <c r="O414" s="145">
        <v>42603.5503</v>
      </c>
      <c r="P414" s="146">
        <v>35502.95858</v>
      </c>
      <c r="Q414" s="146">
        <v>37278.10651</v>
      </c>
      <c r="R414" s="146">
        <v>42603.5503</v>
      </c>
      <c r="S414" s="146">
        <v>58579.88166</v>
      </c>
    </row>
    <row r="415">
      <c r="A415" s="145">
        <v>25.25</v>
      </c>
      <c r="B415" s="145">
        <f t="shared" si="1"/>
        <v>8155.75</v>
      </c>
      <c r="C415" s="145">
        <v>51479.28994</v>
      </c>
      <c r="D415" s="145">
        <v>56804.73373</v>
      </c>
      <c r="E415" s="146">
        <v>56804.73373</v>
      </c>
      <c r="F415" s="145">
        <v>62130.17752</v>
      </c>
      <c r="G415" s="146">
        <v>67455.6213</v>
      </c>
      <c r="H415" s="146">
        <v>78106.50888</v>
      </c>
      <c r="I415" s="146">
        <v>63905.32544</v>
      </c>
      <c r="J415" s="145">
        <v>67455.6213</v>
      </c>
      <c r="K415" s="145">
        <v>76331.36095</v>
      </c>
      <c r="L415" s="145">
        <v>60355.02959</v>
      </c>
      <c r="M415" s="145">
        <v>69230.76923</v>
      </c>
      <c r="N415" s="145">
        <v>51479.28994</v>
      </c>
      <c r="O415" s="145">
        <v>42603.5503</v>
      </c>
      <c r="P415" s="146">
        <v>35502.95858</v>
      </c>
      <c r="Q415" s="146">
        <v>37278.10651</v>
      </c>
      <c r="R415" s="146">
        <v>42603.5503</v>
      </c>
      <c r="S415" s="146">
        <v>58579.88166</v>
      </c>
    </row>
    <row r="416">
      <c r="A416" s="145">
        <v>25.313</v>
      </c>
      <c r="B416" s="145">
        <f t="shared" si="1"/>
        <v>8176.099</v>
      </c>
      <c r="C416" s="145">
        <v>51479.28994</v>
      </c>
      <c r="D416" s="145">
        <v>56804.73373</v>
      </c>
      <c r="E416" s="146">
        <v>58579.88166</v>
      </c>
      <c r="F416" s="145">
        <v>62130.17752</v>
      </c>
      <c r="G416" s="146">
        <v>67455.6213</v>
      </c>
      <c r="H416" s="146">
        <v>78106.50888</v>
      </c>
      <c r="I416" s="146">
        <v>63905.32544</v>
      </c>
      <c r="J416" s="145">
        <v>67455.6213</v>
      </c>
      <c r="K416" s="145">
        <v>76331.36095</v>
      </c>
      <c r="L416" s="145">
        <v>60355.02959</v>
      </c>
      <c r="M416" s="145">
        <v>69230.76923</v>
      </c>
      <c r="N416" s="145">
        <v>51479.28994</v>
      </c>
      <c r="O416" s="145">
        <v>42603.5503</v>
      </c>
      <c r="P416" s="146">
        <v>35502.95858</v>
      </c>
      <c r="Q416" s="146">
        <v>37278.10651</v>
      </c>
      <c r="R416" s="146">
        <v>42603.5503</v>
      </c>
      <c r="S416" s="146">
        <v>58579.88166</v>
      </c>
    </row>
    <row r="417">
      <c r="A417" s="145">
        <v>25.375</v>
      </c>
      <c r="B417" s="145">
        <f t="shared" si="1"/>
        <v>8196.125</v>
      </c>
      <c r="C417" s="145">
        <v>53254.43787</v>
      </c>
      <c r="D417" s="145">
        <v>56804.73373</v>
      </c>
      <c r="E417" s="146">
        <v>58579.88166</v>
      </c>
      <c r="F417" s="145">
        <v>63905.32544</v>
      </c>
      <c r="G417" s="146">
        <v>67455.6213</v>
      </c>
      <c r="H417" s="146">
        <v>78106.50888</v>
      </c>
      <c r="I417" s="146">
        <v>63905.32544</v>
      </c>
      <c r="J417" s="145">
        <v>67455.6213</v>
      </c>
      <c r="K417" s="145">
        <v>76331.36095</v>
      </c>
      <c r="L417" s="145">
        <v>60355.02959</v>
      </c>
      <c r="M417" s="145">
        <v>69230.76923</v>
      </c>
      <c r="N417" s="145">
        <v>51479.28994</v>
      </c>
      <c r="O417" s="145">
        <v>42603.5503</v>
      </c>
      <c r="P417" s="146">
        <v>35502.95858</v>
      </c>
      <c r="Q417" s="146">
        <v>37278.10651</v>
      </c>
      <c r="R417" s="146">
        <v>42603.5503</v>
      </c>
      <c r="S417" s="146">
        <v>58579.88166</v>
      </c>
    </row>
    <row r="418">
      <c r="A418" s="145">
        <v>25.438</v>
      </c>
      <c r="B418" s="145">
        <f t="shared" si="1"/>
        <v>8216.474</v>
      </c>
      <c r="C418" s="145">
        <v>55029.5858</v>
      </c>
      <c r="D418" s="145">
        <v>56804.73373</v>
      </c>
      <c r="E418" s="146">
        <v>58579.88166</v>
      </c>
      <c r="F418" s="145">
        <v>63905.32544</v>
      </c>
      <c r="G418" s="146">
        <v>67455.6213</v>
      </c>
      <c r="H418" s="146">
        <v>78106.50888</v>
      </c>
      <c r="I418" s="146">
        <v>63905.32544</v>
      </c>
      <c r="J418" s="145">
        <v>67455.6213</v>
      </c>
      <c r="K418" s="145">
        <v>76331.36095</v>
      </c>
      <c r="L418" s="145">
        <v>60355.02959</v>
      </c>
      <c r="M418" s="145">
        <v>69230.76923</v>
      </c>
      <c r="N418" s="145">
        <v>51479.28994</v>
      </c>
      <c r="O418" s="145">
        <v>42603.5503</v>
      </c>
      <c r="P418" s="146">
        <v>35502.95858</v>
      </c>
      <c r="Q418" s="146">
        <v>37278.10651</v>
      </c>
      <c r="R418" s="146">
        <v>42603.5503</v>
      </c>
      <c r="S418" s="146">
        <v>58579.88166</v>
      </c>
    </row>
    <row r="419">
      <c r="A419" s="145">
        <v>25.516</v>
      </c>
      <c r="B419" s="145">
        <f t="shared" si="1"/>
        <v>8241.668</v>
      </c>
      <c r="C419" s="145">
        <v>55029.5858</v>
      </c>
      <c r="D419" s="145">
        <v>56804.73373</v>
      </c>
      <c r="E419" s="146">
        <v>58579.88166</v>
      </c>
      <c r="F419" s="145">
        <v>63905.32544</v>
      </c>
      <c r="G419" s="146">
        <v>67455.6213</v>
      </c>
      <c r="H419" s="146">
        <v>78106.50888</v>
      </c>
      <c r="I419" s="146">
        <v>63905.32544</v>
      </c>
      <c r="J419" s="145">
        <v>67455.6213</v>
      </c>
      <c r="K419" s="145">
        <v>76331.36095</v>
      </c>
      <c r="L419" s="145">
        <v>60355.02959</v>
      </c>
      <c r="M419" s="145">
        <v>69230.76923</v>
      </c>
      <c r="N419" s="145">
        <v>51479.28994</v>
      </c>
      <c r="O419" s="145">
        <v>42603.5503</v>
      </c>
      <c r="P419" s="146">
        <v>35502.95858</v>
      </c>
      <c r="Q419" s="146">
        <v>39053.25444</v>
      </c>
      <c r="R419" s="146">
        <v>42603.5503</v>
      </c>
      <c r="S419" s="146">
        <v>58579.88166</v>
      </c>
    </row>
    <row r="420">
      <c r="A420" s="145">
        <v>25.563</v>
      </c>
      <c r="B420" s="145">
        <f t="shared" si="1"/>
        <v>8256.849</v>
      </c>
      <c r="C420" s="145">
        <v>55029.5858</v>
      </c>
      <c r="D420" s="145">
        <v>56804.73373</v>
      </c>
      <c r="E420" s="146">
        <v>58579.88166</v>
      </c>
      <c r="F420" s="145">
        <v>63905.32544</v>
      </c>
      <c r="G420" s="146">
        <v>67455.6213</v>
      </c>
      <c r="H420" s="146">
        <v>81656.80473</v>
      </c>
      <c r="I420" s="146">
        <v>63905.32544</v>
      </c>
      <c r="J420" s="145">
        <v>67455.6213</v>
      </c>
      <c r="K420" s="145">
        <v>76331.36095</v>
      </c>
      <c r="L420" s="145">
        <v>63905.32544</v>
      </c>
      <c r="M420" s="145">
        <v>69230.76923</v>
      </c>
      <c r="N420" s="145">
        <v>51479.28994</v>
      </c>
      <c r="O420" s="145">
        <v>42603.5503</v>
      </c>
      <c r="P420" s="146">
        <v>35502.95858</v>
      </c>
      <c r="Q420" s="146">
        <v>39053.25444</v>
      </c>
      <c r="R420" s="146">
        <v>42603.5503</v>
      </c>
      <c r="S420" s="146">
        <v>58579.88166</v>
      </c>
    </row>
    <row r="421">
      <c r="A421" s="145">
        <v>25.625</v>
      </c>
      <c r="B421" s="145">
        <f t="shared" si="1"/>
        <v>8276.875</v>
      </c>
      <c r="C421" s="145">
        <v>56804.73373</v>
      </c>
      <c r="D421" s="145">
        <v>56804.73373</v>
      </c>
      <c r="E421" s="146">
        <v>58579.88166</v>
      </c>
      <c r="F421" s="145">
        <v>63905.32544</v>
      </c>
      <c r="G421" s="146">
        <v>67455.6213</v>
      </c>
      <c r="H421" s="146">
        <v>81656.80473</v>
      </c>
      <c r="I421" s="146">
        <v>63905.32544</v>
      </c>
      <c r="J421" s="145">
        <v>67455.6213</v>
      </c>
      <c r="K421" s="145">
        <v>76331.36095</v>
      </c>
      <c r="L421" s="145">
        <v>63905.32544</v>
      </c>
      <c r="M421" s="145">
        <v>69230.76923</v>
      </c>
      <c r="N421" s="145">
        <v>51479.28994</v>
      </c>
      <c r="O421" s="145">
        <v>42603.5503</v>
      </c>
      <c r="P421" s="146">
        <v>35502.95858</v>
      </c>
      <c r="Q421" s="146">
        <v>39053.25444</v>
      </c>
      <c r="R421" s="146">
        <v>42603.5503</v>
      </c>
      <c r="S421" s="146">
        <v>58579.88166</v>
      </c>
    </row>
    <row r="422">
      <c r="A422" s="145">
        <v>25.688</v>
      </c>
      <c r="B422" s="145">
        <f t="shared" si="1"/>
        <v>8297.224</v>
      </c>
      <c r="C422" s="145">
        <v>56804.73373</v>
      </c>
      <c r="D422" s="145">
        <v>56804.73373</v>
      </c>
      <c r="E422" s="146">
        <v>58579.88166</v>
      </c>
      <c r="F422" s="145">
        <v>63905.32544</v>
      </c>
      <c r="G422" s="146">
        <v>67455.6213</v>
      </c>
      <c r="H422" s="146">
        <v>81656.80473</v>
      </c>
      <c r="I422" s="146">
        <v>63905.32544</v>
      </c>
      <c r="J422" s="145">
        <v>67455.6213</v>
      </c>
      <c r="K422" s="145">
        <v>76331.36095</v>
      </c>
      <c r="L422" s="145">
        <v>63905.32544</v>
      </c>
      <c r="M422" s="145">
        <v>69230.76923</v>
      </c>
      <c r="N422" s="145">
        <v>51479.28994</v>
      </c>
      <c r="O422" s="145">
        <v>42603.5503</v>
      </c>
      <c r="P422" s="146">
        <v>35502.95858</v>
      </c>
      <c r="Q422" s="146">
        <v>39053.25444</v>
      </c>
      <c r="R422" s="146">
        <v>42603.5503</v>
      </c>
      <c r="S422" s="146">
        <v>58579.88166</v>
      </c>
    </row>
    <row r="423">
      <c r="A423" s="145">
        <v>25.75</v>
      </c>
      <c r="B423" s="145">
        <f t="shared" si="1"/>
        <v>8317.25</v>
      </c>
      <c r="C423" s="145">
        <v>56804.73373</v>
      </c>
      <c r="D423" s="145">
        <v>56804.73373</v>
      </c>
      <c r="E423" s="146">
        <v>58579.88166</v>
      </c>
      <c r="F423" s="145">
        <v>63905.32544</v>
      </c>
      <c r="G423" s="146">
        <v>67455.6213</v>
      </c>
      <c r="H423" s="146">
        <v>81656.80473</v>
      </c>
      <c r="I423" s="146">
        <v>63905.32544</v>
      </c>
      <c r="J423" s="145">
        <v>67455.6213</v>
      </c>
      <c r="K423" s="145">
        <v>76331.36095</v>
      </c>
      <c r="L423" s="145">
        <v>63905.32544</v>
      </c>
      <c r="M423" s="145">
        <v>69230.76923</v>
      </c>
      <c r="N423" s="145">
        <v>51479.28994</v>
      </c>
      <c r="O423" s="145">
        <v>42603.5503</v>
      </c>
      <c r="P423" s="146">
        <v>35502.95858</v>
      </c>
      <c r="Q423" s="146">
        <v>39053.25444</v>
      </c>
      <c r="R423" s="146">
        <v>42603.5503</v>
      </c>
      <c r="S423" s="146">
        <v>58579.88166</v>
      </c>
    </row>
    <row r="424">
      <c r="A424" s="145">
        <v>25.813</v>
      </c>
      <c r="B424" s="145">
        <f t="shared" si="1"/>
        <v>8337.599</v>
      </c>
      <c r="C424" s="145">
        <v>56804.73373</v>
      </c>
      <c r="D424" s="145">
        <v>56804.73373</v>
      </c>
      <c r="E424" s="146">
        <v>58579.88166</v>
      </c>
      <c r="F424" s="145">
        <v>63905.32544</v>
      </c>
      <c r="G424" s="146">
        <v>67455.6213</v>
      </c>
      <c r="H424" s="146">
        <v>81656.80473</v>
      </c>
      <c r="I424" s="146">
        <v>63905.32544</v>
      </c>
      <c r="J424" s="145">
        <v>67455.6213</v>
      </c>
      <c r="K424" s="145">
        <v>76331.36095</v>
      </c>
      <c r="L424" s="145">
        <v>65680.47337</v>
      </c>
      <c r="M424" s="145">
        <v>69230.76923</v>
      </c>
      <c r="N424" s="145">
        <v>51479.28994</v>
      </c>
      <c r="O424" s="145">
        <v>42603.5503</v>
      </c>
      <c r="P424" s="146">
        <v>35502.95858</v>
      </c>
      <c r="Q424" s="146">
        <v>39053.25444</v>
      </c>
      <c r="R424" s="146">
        <v>42603.5503</v>
      </c>
      <c r="S424" s="146">
        <v>60355.02959</v>
      </c>
    </row>
    <row r="425">
      <c r="A425" s="145">
        <v>25.875</v>
      </c>
      <c r="B425" s="145">
        <f t="shared" si="1"/>
        <v>8357.625</v>
      </c>
      <c r="C425" s="145">
        <v>56804.73373</v>
      </c>
      <c r="D425" s="145">
        <v>56804.73373</v>
      </c>
      <c r="E425" s="146">
        <v>58579.88166</v>
      </c>
      <c r="F425" s="145">
        <v>63905.32544</v>
      </c>
      <c r="G425" s="146">
        <v>67455.6213</v>
      </c>
      <c r="H425" s="146">
        <v>81656.80473</v>
      </c>
      <c r="I425" s="146">
        <v>63905.32544</v>
      </c>
      <c r="J425" s="145">
        <v>67455.6213</v>
      </c>
      <c r="K425" s="145">
        <v>76331.36095</v>
      </c>
      <c r="L425" s="145">
        <v>65680.47337</v>
      </c>
      <c r="M425" s="145">
        <v>69230.76923</v>
      </c>
      <c r="N425" s="145">
        <v>51479.28994</v>
      </c>
      <c r="O425" s="145">
        <v>42603.5503</v>
      </c>
      <c r="P425" s="146">
        <v>35502.95858</v>
      </c>
      <c r="Q425" s="146">
        <v>39053.25444</v>
      </c>
      <c r="R425" s="146">
        <v>42603.5503</v>
      </c>
      <c r="S425" s="146">
        <v>60355.02959</v>
      </c>
    </row>
    <row r="426">
      <c r="A426" s="145">
        <v>25.938</v>
      </c>
      <c r="B426" s="145">
        <f t="shared" si="1"/>
        <v>8377.974</v>
      </c>
      <c r="C426" s="145">
        <v>56804.73373</v>
      </c>
      <c r="D426" s="145">
        <v>58579.88166</v>
      </c>
      <c r="E426" s="146">
        <v>58579.88166</v>
      </c>
      <c r="F426" s="145">
        <v>63905.32544</v>
      </c>
      <c r="G426" s="146">
        <v>67455.6213</v>
      </c>
      <c r="H426" s="146">
        <v>81656.80473</v>
      </c>
      <c r="I426" s="146">
        <v>63905.32544</v>
      </c>
      <c r="J426" s="145">
        <v>67455.6213</v>
      </c>
      <c r="K426" s="145">
        <v>76331.36095</v>
      </c>
      <c r="L426" s="145">
        <v>65680.47337</v>
      </c>
      <c r="M426" s="145">
        <v>69230.76923</v>
      </c>
      <c r="N426" s="145">
        <v>51479.28994</v>
      </c>
      <c r="O426" s="145">
        <v>42603.5503</v>
      </c>
      <c r="P426" s="146">
        <v>35502.95858</v>
      </c>
      <c r="Q426" s="146">
        <v>39053.25444</v>
      </c>
      <c r="R426" s="146">
        <v>42603.5503</v>
      </c>
      <c r="S426" s="146">
        <v>60355.02959</v>
      </c>
    </row>
    <row r="427">
      <c r="A427" s="145">
        <v>26.016</v>
      </c>
      <c r="B427" s="145">
        <f t="shared" si="1"/>
        <v>8403.168</v>
      </c>
      <c r="C427" s="145">
        <v>56804.73373</v>
      </c>
      <c r="D427" s="145">
        <v>58579.88166</v>
      </c>
      <c r="E427" s="146">
        <v>58579.88166</v>
      </c>
      <c r="F427" s="145">
        <v>63905.32544</v>
      </c>
      <c r="G427" s="146">
        <v>67455.6213</v>
      </c>
      <c r="H427" s="146">
        <v>81656.80473</v>
      </c>
      <c r="I427" s="146">
        <v>63905.32544</v>
      </c>
      <c r="J427" s="145">
        <v>67455.6213</v>
      </c>
      <c r="K427" s="145">
        <v>76331.36095</v>
      </c>
      <c r="L427" s="145">
        <v>65680.47337</v>
      </c>
      <c r="M427" s="145">
        <v>69230.76923</v>
      </c>
      <c r="N427" s="145">
        <v>51479.28994</v>
      </c>
      <c r="O427" s="145">
        <v>42603.5503</v>
      </c>
      <c r="P427" s="146">
        <v>35502.95858</v>
      </c>
      <c r="Q427" s="146">
        <v>39053.25444</v>
      </c>
      <c r="R427" s="146">
        <v>42603.5503</v>
      </c>
      <c r="S427" s="146">
        <v>60355.02959</v>
      </c>
    </row>
    <row r="428">
      <c r="A428" s="145">
        <v>26.063</v>
      </c>
      <c r="B428" s="145">
        <f t="shared" si="1"/>
        <v>8418.349</v>
      </c>
      <c r="C428" s="145">
        <v>56804.73373</v>
      </c>
      <c r="D428" s="145">
        <v>58579.88166</v>
      </c>
      <c r="E428" s="146">
        <v>58579.88166</v>
      </c>
      <c r="F428" s="145">
        <v>63905.32544</v>
      </c>
      <c r="G428" s="146">
        <v>67455.6213</v>
      </c>
      <c r="H428" s="146">
        <v>81656.80473</v>
      </c>
      <c r="I428" s="146">
        <v>67455.6213</v>
      </c>
      <c r="J428" s="145">
        <v>67455.6213</v>
      </c>
      <c r="K428" s="145">
        <v>76331.36095</v>
      </c>
      <c r="L428" s="145">
        <v>65680.47337</v>
      </c>
      <c r="M428" s="145">
        <v>69230.76923</v>
      </c>
      <c r="N428" s="145">
        <v>51479.28994</v>
      </c>
      <c r="O428" s="145">
        <v>42603.5503</v>
      </c>
      <c r="P428" s="146">
        <v>37278.10651</v>
      </c>
      <c r="Q428" s="146">
        <v>39053.25444</v>
      </c>
      <c r="R428" s="146">
        <v>42603.5503</v>
      </c>
      <c r="S428" s="146">
        <v>60355.02959</v>
      </c>
    </row>
    <row r="429">
      <c r="A429" s="145">
        <v>26.125</v>
      </c>
      <c r="B429" s="145">
        <f t="shared" si="1"/>
        <v>8438.375</v>
      </c>
      <c r="C429" s="145">
        <v>56804.73373</v>
      </c>
      <c r="D429" s="145">
        <v>58579.88166</v>
      </c>
      <c r="E429" s="146">
        <v>58579.88166</v>
      </c>
      <c r="F429" s="145">
        <v>63905.32544</v>
      </c>
      <c r="G429" s="146">
        <v>67455.6213</v>
      </c>
      <c r="H429" s="146">
        <v>81656.80473</v>
      </c>
      <c r="I429" s="146">
        <v>67455.6213</v>
      </c>
      <c r="J429" s="145">
        <v>67455.6213</v>
      </c>
      <c r="K429" s="145">
        <v>76331.36095</v>
      </c>
      <c r="L429" s="145">
        <v>65680.47337</v>
      </c>
      <c r="M429" s="145">
        <v>69230.76923</v>
      </c>
      <c r="N429" s="145">
        <v>51479.28994</v>
      </c>
      <c r="O429" s="145">
        <v>44378.69823</v>
      </c>
      <c r="P429" s="146">
        <v>37278.10651</v>
      </c>
      <c r="Q429" s="146">
        <v>39053.25444</v>
      </c>
      <c r="R429" s="146">
        <v>42603.5503</v>
      </c>
      <c r="S429" s="146">
        <v>60355.02959</v>
      </c>
    </row>
    <row r="430">
      <c r="A430" s="145">
        <v>26.188</v>
      </c>
      <c r="B430" s="145">
        <f t="shared" si="1"/>
        <v>8458.724</v>
      </c>
      <c r="C430" s="145">
        <v>56804.73373</v>
      </c>
      <c r="D430" s="145">
        <v>58579.88166</v>
      </c>
      <c r="E430" s="146">
        <v>58579.88166</v>
      </c>
      <c r="F430" s="145">
        <v>63905.32544</v>
      </c>
      <c r="G430" s="146">
        <v>67455.6213</v>
      </c>
      <c r="H430" s="146">
        <v>81656.80473</v>
      </c>
      <c r="I430" s="146">
        <v>67455.6213</v>
      </c>
      <c r="J430" s="145">
        <v>67455.6213</v>
      </c>
      <c r="K430" s="145">
        <v>76331.36095</v>
      </c>
      <c r="L430" s="145">
        <v>67455.6213</v>
      </c>
      <c r="M430" s="145">
        <v>69230.76923</v>
      </c>
      <c r="N430" s="145">
        <v>51479.28994</v>
      </c>
      <c r="O430" s="145">
        <v>44378.69823</v>
      </c>
      <c r="P430" s="146">
        <v>37278.10651</v>
      </c>
      <c r="Q430" s="146">
        <v>39053.25444</v>
      </c>
      <c r="R430" s="146">
        <v>42603.5503</v>
      </c>
      <c r="S430" s="146">
        <v>60355.02959</v>
      </c>
    </row>
    <row r="431">
      <c r="A431" s="145">
        <v>26.25</v>
      </c>
      <c r="B431" s="145">
        <f t="shared" si="1"/>
        <v>8478.75</v>
      </c>
      <c r="C431" s="145">
        <v>56804.73373</v>
      </c>
      <c r="D431" s="145">
        <v>58579.88166</v>
      </c>
      <c r="E431" s="146">
        <v>58579.88166</v>
      </c>
      <c r="F431" s="145">
        <v>63905.32544</v>
      </c>
      <c r="G431" s="146">
        <v>67455.6213</v>
      </c>
      <c r="H431" s="146">
        <v>81656.80473</v>
      </c>
      <c r="I431" s="146">
        <v>67455.6213</v>
      </c>
      <c r="J431" s="145">
        <v>67455.6213</v>
      </c>
      <c r="K431" s="145">
        <v>78106.50888</v>
      </c>
      <c r="L431" s="145">
        <v>67455.6213</v>
      </c>
      <c r="M431" s="145">
        <v>69230.76923</v>
      </c>
      <c r="N431" s="145">
        <v>51479.28994</v>
      </c>
      <c r="O431" s="145">
        <v>44378.69823</v>
      </c>
      <c r="P431" s="146">
        <v>37278.10651</v>
      </c>
      <c r="Q431" s="146">
        <v>39053.25444</v>
      </c>
      <c r="R431" s="146">
        <v>42603.5503</v>
      </c>
      <c r="S431" s="146">
        <v>60355.02959</v>
      </c>
    </row>
    <row r="432">
      <c r="A432" s="145">
        <v>26.313</v>
      </c>
      <c r="B432" s="145">
        <f t="shared" si="1"/>
        <v>8499.099</v>
      </c>
      <c r="C432" s="145">
        <v>56804.73373</v>
      </c>
      <c r="D432" s="145">
        <v>58579.88166</v>
      </c>
      <c r="E432" s="146">
        <v>58579.88166</v>
      </c>
      <c r="F432" s="145">
        <v>63905.32544</v>
      </c>
      <c r="G432" s="146">
        <v>67455.6213</v>
      </c>
      <c r="H432" s="146">
        <v>81656.80473</v>
      </c>
      <c r="I432" s="146">
        <v>67455.6213</v>
      </c>
      <c r="J432" s="145">
        <v>67455.6213</v>
      </c>
      <c r="K432" s="145">
        <v>78106.50888</v>
      </c>
      <c r="L432" s="145">
        <v>67455.6213</v>
      </c>
      <c r="M432" s="145">
        <v>69230.76923</v>
      </c>
      <c r="N432" s="145">
        <v>51479.28994</v>
      </c>
      <c r="O432" s="145">
        <v>44378.69823</v>
      </c>
      <c r="P432" s="146">
        <v>37278.10651</v>
      </c>
      <c r="Q432" s="146">
        <v>39053.25444</v>
      </c>
      <c r="R432" s="146">
        <v>42603.5503</v>
      </c>
      <c r="S432" s="146">
        <v>62130.17752</v>
      </c>
    </row>
    <row r="433">
      <c r="A433" s="145">
        <v>26.375</v>
      </c>
      <c r="B433" s="145">
        <f t="shared" si="1"/>
        <v>8519.125</v>
      </c>
      <c r="C433" s="145">
        <v>58579.88166</v>
      </c>
      <c r="D433" s="145">
        <v>58579.88166</v>
      </c>
      <c r="E433" s="146">
        <v>58579.88166</v>
      </c>
      <c r="F433" s="145">
        <v>63905.32544</v>
      </c>
      <c r="G433" s="146">
        <v>67455.6213</v>
      </c>
      <c r="H433" s="146">
        <v>81656.80473</v>
      </c>
      <c r="I433" s="146">
        <v>67455.6213</v>
      </c>
      <c r="J433" s="145">
        <v>67455.6213</v>
      </c>
      <c r="K433" s="145">
        <v>78106.50888</v>
      </c>
      <c r="L433" s="145">
        <v>67455.6213</v>
      </c>
      <c r="M433" s="145">
        <v>69230.76923</v>
      </c>
      <c r="N433" s="145">
        <v>53254.43787</v>
      </c>
      <c r="O433" s="145">
        <v>44378.69823</v>
      </c>
      <c r="P433" s="146">
        <v>37278.10651</v>
      </c>
      <c r="Q433" s="146">
        <v>39053.25444</v>
      </c>
      <c r="R433" s="146">
        <v>42603.5503</v>
      </c>
      <c r="S433" s="146">
        <v>62130.17752</v>
      </c>
    </row>
    <row r="434">
      <c r="A434" s="145">
        <v>26.438</v>
      </c>
      <c r="B434" s="145">
        <f t="shared" si="1"/>
        <v>8539.474</v>
      </c>
      <c r="C434" s="145">
        <v>58579.88166</v>
      </c>
      <c r="D434" s="145">
        <v>58579.88166</v>
      </c>
      <c r="E434" s="146">
        <v>58579.88166</v>
      </c>
      <c r="F434" s="145">
        <v>65680.47337</v>
      </c>
      <c r="G434" s="146">
        <v>67455.6213</v>
      </c>
      <c r="H434" s="146">
        <v>81656.80473</v>
      </c>
      <c r="I434" s="146">
        <v>67455.6213</v>
      </c>
      <c r="J434" s="145">
        <v>67455.6213</v>
      </c>
      <c r="K434" s="145">
        <v>78106.50888</v>
      </c>
      <c r="L434" s="145">
        <v>67455.6213</v>
      </c>
      <c r="M434" s="145">
        <v>69230.76923</v>
      </c>
      <c r="N434" s="145">
        <v>53254.43787</v>
      </c>
      <c r="O434" s="145">
        <v>44378.69823</v>
      </c>
      <c r="P434" s="146">
        <v>37278.10651</v>
      </c>
      <c r="Q434" s="146">
        <v>39053.25444</v>
      </c>
      <c r="R434" s="146">
        <v>42603.5503</v>
      </c>
      <c r="S434" s="146">
        <v>62130.17752</v>
      </c>
    </row>
    <row r="435">
      <c r="A435" s="145">
        <v>26.5</v>
      </c>
      <c r="B435" s="145">
        <f t="shared" si="1"/>
        <v>8559.5</v>
      </c>
      <c r="C435" s="145">
        <v>58579.88166</v>
      </c>
      <c r="D435" s="145">
        <v>58579.88166</v>
      </c>
      <c r="E435" s="146">
        <v>58579.88166</v>
      </c>
      <c r="F435" s="145">
        <v>65680.47337</v>
      </c>
      <c r="G435" s="146">
        <v>67455.6213</v>
      </c>
      <c r="H435" s="146">
        <v>81656.80473</v>
      </c>
      <c r="I435" s="146">
        <v>67455.6213</v>
      </c>
      <c r="J435" s="145">
        <v>67455.6213</v>
      </c>
      <c r="K435" s="145">
        <v>78106.50888</v>
      </c>
      <c r="L435" s="145">
        <v>67455.6213</v>
      </c>
      <c r="M435" s="145">
        <v>69230.76923</v>
      </c>
      <c r="N435" s="145">
        <v>53254.43787</v>
      </c>
      <c r="O435" s="145">
        <v>44378.69823</v>
      </c>
      <c r="P435" s="146">
        <v>37278.10651</v>
      </c>
      <c r="Q435" s="146">
        <v>39053.25444</v>
      </c>
      <c r="R435" s="146">
        <v>42603.5503</v>
      </c>
      <c r="S435" s="146">
        <v>62130.17752</v>
      </c>
    </row>
    <row r="436">
      <c r="A436" s="145">
        <v>26.563</v>
      </c>
      <c r="B436" s="145">
        <f t="shared" si="1"/>
        <v>8579.849</v>
      </c>
      <c r="C436" s="145">
        <v>58579.88166</v>
      </c>
      <c r="D436" s="145">
        <v>58579.88166</v>
      </c>
      <c r="E436" s="146">
        <v>58579.88166</v>
      </c>
      <c r="F436" s="145">
        <v>65680.47337</v>
      </c>
      <c r="G436" s="146">
        <v>67455.6213</v>
      </c>
      <c r="H436" s="146">
        <v>81656.80473</v>
      </c>
      <c r="I436" s="146">
        <v>67455.6213</v>
      </c>
      <c r="J436" s="145">
        <v>67455.6213</v>
      </c>
      <c r="K436" s="145">
        <v>78106.50888</v>
      </c>
      <c r="L436" s="145">
        <v>69230.76923</v>
      </c>
      <c r="M436" s="145">
        <v>69230.76923</v>
      </c>
      <c r="N436" s="145">
        <v>53254.43787</v>
      </c>
      <c r="O436" s="145">
        <v>44378.69823</v>
      </c>
      <c r="P436" s="146">
        <v>37278.10651</v>
      </c>
      <c r="Q436" s="146">
        <v>39053.25444</v>
      </c>
      <c r="R436" s="146">
        <v>42603.5503</v>
      </c>
      <c r="S436" s="146">
        <v>62130.17752</v>
      </c>
    </row>
    <row r="437">
      <c r="A437" s="145">
        <v>26.625</v>
      </c>
      <c r="B437" s="145">
        <f t="shared" si="1"/>
        <v>8599.875</v>
      </c>
      <c r="C437" s="145">
        <v>58579.88166</v>
      </c>
      <c r="D437" s="145">
        <v>58579.88166</v>
      </c>
      <c r="E437" s="146">
        <v>60355.02959</v>
      </c>
      <c r="F437" s="145">
        <v>65680.47337</v>
      </c>
      <c r="G437" s="146">
        <v>67455.6213</v>
      </c>
      <c r="H437" s="146">
        <v>81656.80473</v>
      </c>
      <c r="I437" s="146">
        <v>67455.6213</v>
      </c>
      <c r="J437" s="145">
        <v>67455.6213</v>
      </c>
      <c r="K437" s="145">
        <v>78106.50888</v>
      </c>
      <c r="L437" s="145">
        <v>69230.76923</v>
      </c>
      <c r="M437" s="145">
        <v>69230.76923</v>
      </c>
      <c r="N437" s="145">
        <v>53254.43787</v>
      </c>
      <c r="O437" s="145">
        <v>44378.69823</v>
      </c>
      <c r="P437" s="146">
        <v>37278.10651</v>
      </c>
      <c r="Q437" s="146">
        <v>39053.25444</v>
      </c>
      <c r="R437" s="146">
        <v>42603.5503</v>
      </c>
      <c r="S437" s="146">
        <v>62130.17752</v>
      </c>
    </row>
    <row r="438">
      <c r="A438" s="145">
        <v>26.688</v>
      </c>
      <c r="B438" s="145">
        <f t="shared" si="1"/>
        <v>8620.224</v>
      </c>
      <c r="C438" s="145">
        <v>58579.88166</v>
      </c>
      <c r="D438" s="145">
        <v>58579.88166</v>
      </c>
      <c r="E438" s="146">
        <v>60355.02959</v>
      </c>
      <c r="F438" s="145">
        <v>65680.47337</v>
      </c>
      <c r="G438" s="146">
        <v>69230.76923</v>
      </c>
      <c r="H438" s="146">
        <v>81656.80473</v>
      </c>
      <c r="I438" s="146">
        <v>67455.6213</v>
      </c>
      <c r="J438" s="145">
        <v>67455.6213</v>
      </c>
      <c r="K438" s="145">
        <v>78106.50888</v>
      </c>
      <c r="L438" s="145">
        <v>69230.76923</v>
      </c>
      <c r="M438" s="145">
        <v>69230.76923</v>
      </c>
      <c r="N438" s="145">
        <v>53254.43787</v>
      </c>
      <c r="O438" s="145">
        <v>44378.69823</v>
      </c>
      <c r="P438" s="146">
        <v>37278.10651</v>
      </c>
      <c r="Q438" s="146">
        <v>39053.25444</v>
      </c>
      <c r="R438" s="146">
        <v>42603.5503</v>
      </c>
      <c r="S438" s="146">
        <v>62130.17752</v>
      </c>
    </row>
    <row r="439">
      <c r="A439" s="145">
        <v>26.75</v>
      </c>
      <c r="B439" s="145">
        <f t="shared" si="1"/>
        <v>8640.25</v>
      </c>
      <c r="C439" s="145">
        <v>58579.88166</v>
      </c>
      <c r="D439" s="145">
        <v>58579.88166</v>
      </c>
      <c r="E439" s="146">
        <v>60355.02959</v>
      </c>
      <c r="F439" s="145">
        <v>65680.47337</v>
      </c>
      <c r="G439" s="146">
        <v>69230.76923</v>
      </c>
      <c r="H439" s="146">
        <v>81656.80473</v>
      </c>
      <c r="I439" s="146">
        <v>71005.91716</v>
      </c>
      <c r="J439" s="145">
        <v>67455.6213</v>
      </c>
      <c r="K439" s="145">
        <v>78106.50888</v>
      </c>
      <c r="L439" s="145">
        <v>69230.76923</v>
      </c>
      <c r="M439" s="145">
        <v>69230.76923</v>
      </c>
      <c r="N439" s="145">
        <v>53254.43787</v>
      </c>
      <c r="O439" s="145">
        <v>44378.69823</v>
      </c>
      <c r="P439" s="146">
        <v>37278.10651</v>
      </c>
      <c r="Q439" s="146">
        <v>39053.25444</v>
      </c>
      <c r="R439" s="146">
        <v>42603.5503</v>
      </c>
      <c r="S439" s="146">
        <v>62130.17752</v>
      </c>
    </row>
    <row r="440">
      <c r="A440" s="145">
        <v>26.813</v>
      </c>
      <c r="B440" s="145">
        <f t="shared" si="1"/>
        <v>8660.599</v>
      </c>
      <c r="C440" s="145">
        <v>58579.88166</v>
      </c>
      <c r="D440" s="145">
        <v>58579.88166</v>
      </c>
      <c r="E440" s="146">
        <v>62130.17752</v>
      </c>
      <c r="F440" s="145">
        <v>65680.47337</v>
      </c>
      <c r="G440" s="146">
        <v>69230.76923</v>
      </c>
      <c r="H440" s="146">
        <v>81656.80473</v>
      </c>
      <c r="I440" s="146">
        <v>71005.91716</v>
      </c>
      <c r="J440" s="145">
        <v>67455.6213</v>
      </c>
      <c r="K440" s="145">
        <v>78106.50888</v>
      </c>
      <c r="L440" s="145">
        <v>69230.76923</v>
      </c>
      <c r="M440" s="145">
        <v>69230.76923</v>
      </c>
      <c r="N440" s="145">
        <v>53254.43787</v>
      </c>
      <c r="O440" s="145">
        <v>46153.84615</v>
      </c>
      <c r="P440" s="146">
        <v>37278.10651</v>
      </c>
      <c r="Q440" s="146">
        <v>39053.25444</v>
      </c>
      <c r="R440" s="146">
        <v>42603.5503</v>
      </c>
      <c r="S440" s="146">
        <v>62130.17752</v>
      </c>
    </row>
    <row r="441">
      <c r="A441" s="145">
        <v>26.875</v>
      </c>
      <c r="B441" s="145">
        <f t="shared" si="1"/>
        <v>8680.625</v>
      </c>
      <c r="C441" s="145">
        <v>58579.88166</v>
      </c>
      <c r="D441" s="145">
        <v>58579.88166</v>
      </c>
      <c r="E441" s="146">
        <v>62130.17752</v>
      </c>
      <c r="F441" s="145">
        <v>65680.47337</v>
      </c>
      <c r="G441" s="146">
        <v>69230.76923</v>
      </c>
      <c r="H441" s="146">
        <v>81656.80473</v>
      </c>
      <c r="I441" s="146">
        <v>71005.91716</v>
      </c>
      <c r="J441" s="145">
        <v>67455.6213</v>
      </c>
      <c r="K441" s="145">
        <v>78106.50888</v>
      </c>
      <c r="L441" s="145">
        <v>69230.76923</v>
      </c>
      <c r="M441" s="145">
        <v>69230.76923</v>
      </c>
      <c r="N441" s="145">
        <v>53254.43787</v>
      </c>
      <c r="O441" s="145">
        <v>46153.84615</v>
      </c>
      <c r="P441" s="146">
        <v>37278.10651</v>
      </c>
      <c r="Q441" s="146">
        <v>39053.25444</v>
      </c>
      <c r="R441" s="146">
        <v>42603.5503</v>
      </c>
      <c r="S441" s="146">
        <v>62130.17752</v>
      </c>
    </row>
    <row r="442">
      <c r="A442" s="145">
        <v>26.938</v>
      </c>
      <c r="B442" s="145">
        <f t="shared" si="1"/>
        <v>8700.974</v>
      </c>
      <c r="C442" s="145">
        <v>58579.88166</v>
      </c>
      <c r="D442" s="145">
        <v>58579.88166</v>
      </c>
      <c r="E442" s="146">
        <v>62130.17752</v>
      </c>
      <c r="F442" s="145">
        <v>65680.47337</v>
      </c>
      <c r="G442" s="146">
        <v>69230.76923</v>
      </c>
      <c r="H442" s="146">
        <v>81656.80473</v>
      </c>
      <c r="I442" s="146">
        <v>71005.91716</v>
      </c>
      <c r="J442" s="145">
        <v>67455.6213</v>
      </c>
      <c r="K442" s="145">
        <v>78106.50888</v>
      </c>
      <c r="L442" s="145">
        <v>71005.91716</v>
      </c>
      <c r="M442" s="145">
        <v>76331.36095</v>
      </c>
      <c r="N442" s="145">
        <v>53254.43787</v>
      </c>
      <c r="O442" s="145">
        <v>46153.84615</v>
      </c>
      <c r="P442" s="146">
        <v>37278.10651</v>
      </c>
      <c r="Q442" s="146">
        <v>39053.25444</v>
      </c>
      <c r="R442" s="146">
        <v>42603.5503</v>
      </c>
      <c r="S442" s="146">
        <v>62130.17752</v>
      </c>
    </row>
    <row r="443">
      <c r="A443" s="145">
        <v>27.0</v>
      </c>
      <c r="B443" s="145">
        <f t="shared" si="1"/>
        <v>8721</v>
      </c>
      <c r="C443" s="145">
        <v>58579.88166</v>
      </c>
      <c r="D443" s="145">
        <v>58579.88166</v>
      </c>
      <c r="E443" s="146">
        <v>62130.17752</v>
      </c>
      <c r="F443" s="145">
        <v>65680.47337</v>
      </c>
      <c r="G443" s="146">
        <v>69230.76923</v>
      </c>
      <c r="H443" s="146">
        <v>81656.80473</v>
      </c>
      <c r="I443" s="146">
        <v>71005.91716</v>
      </c>
      <c r="J443" s="145">
        <v>67455.6213</v>
      </c>
      <c r="K443" s="145">
        <v>78106.50888</v>
      </c>
      <c r="L443" s="145">
        <v>71005.91716</v>
      </c>
      <c r="M443" s="145">
        <v>76331.36095</v>
      </c>
      <c r="N443" s="145">
        <v>53254.43787</v>
      </c>
      <c r="O443" s="145">
        <v>46153.84615</v>
      </c>
      <c r="P443" s="146">
        <v>37278.10651</v>
      </c>
      <c r="Q443" s="146">
        <v>39053.25444</v>
      </c>
      <c r="R443" s="146">
        <v>42603.5503</v>
      </c>
      <c r="S443" s="146">
        <v>62130.17752</v>
      </c>
    </row>
    <row r="444">
      <c r="A444" s="145">
        <v>27.063</v>
      </c>
      <c r="B444" s="145">
        <f t="shared" si="1"/>
        <v>8741.349</v>
      </c>
      <c r="C444" s="145">
        <v>58579.88166</v>
      </c>
      <c r="D444" s="145">
        <v>58579.88166</v>
      </c>
      <c r="E444" s="146">
        <v>62130.17752</v>
      </c>
      <c r="F444" s="145">
        <v>65680.47337</v>
      </c>
      <c r="G444" s="146">
        <v>69230.76923</v>
      </c>
      <c r="H444" s="146">
        <v>81656.80473</v>
      </c>
      <c r="I444" s="146">
        <v>71005.91716</v>
      </c>
      <c r="J444" s="145">
        <v>67455.6213</v>
      </c>
      <c r="K444" s="145">
        <v>78106.50888</v>
      </c>
      <c r="L444" s="145">
        <v>71005.91716</v>
      </c>
      <c r="M444" s="145">
        <v>76331.36095</v>
      </c>
      <c r="N444" s="145">
        <v>53254.43787</v>
      </c>
      <c r="O444" s="145">
        <v>46153.84615</v>
      </c>
      <c r="P444" s="146">
        <v>37278.10651</v>
      </c>
      <c r="Q444" s="146">
        <v>39053.25444</v>
      </c>
      <c r="R444" s="146">
        <v>42603.5503</v>
      </c>
      <c r="S444" s="146">
        <v>62130.17752</v>
      </c>
    </row>
    <row r="445">
      <c r="A445" s="145">
        <v>27.125</v>
      </c>
      <c r="B445" s="145">
        <f t="shared" si="1"/>
        <v>8761.375</v>
      </c>
      <c r="C445" s="145">
        <v>58579.88166</v>
      </c>
      <c r="D445" s="145">
        <v>58579.88166</v>
      </c>
      <c r="E445" s="146">
        <v>62130.17752</v>
      </c>
      <c r="F445" s="145">
        <v>65680.47337</v>
      </c>
      <c r="G445" s="146">
        <v>69230.76923</v>
      </c>
      <c r="H445" s="146">
        <v>81656.80473</v>
      </c>
      <c r="I445" s="146">
        <v>71005.91716</v>
      </c>
      <c r="J445" s="145">
        <v>67455.6213</v>
      </c>
      <c r="K445" s="145">
        <v>78106.50888</v>
      </c>
      <c r="L445" s="145">
        <v>71005.91716</v>
      </c>
      <c r="M445" s="145">
        <v>76331.36095</v>
      </c>
      <c r="N445" s="145">
        <v>53254.43787</v>
      </c>
      <c r="O445" s="145">
        <v>46153.84615</v>
      </c>
      <c r="P445" s="146">
        <v>37278.10651</v>
      </c>
      <c r="Q445" s="146">
        <v>40828.40237</v>
      </c>
      <c r="R445" s="146">
        <v>42603.5503</v>
      </c>
      <c r="S445" s="146">
        <v>62130.17752</v>
      </c>
    </row>
    <row r="446">
      <c r="A446" s="145">
        <v>27.188</v>
      </c>
      <c r="B446" s="145">
        <f t="shared" si="1"/>
        <v>8781.724</v>
      </c>
      <c r="C446" s="145">
        <v>58579.88166</v>
      </c>
      <c r="D446" s="145">
        <v>58579.88166</v>
      </c>
      <c r="E446" s="146">
        <v>62130.17752</v>
      </c>
      <c r="F446" s="145">
        <v>65680.47337</v>
      </c>
      <c r="G446" s="146">
        <v>69230.76923</v>
      </c>
      <c r="H446" s="146">
        <v>81656.80473</v>
      </c>
      <c r="I446" s="146">
        <v>71005.91716</v>
      </c>
      <c r="J446" s="145">
        <v>67455.6213</v>
      </c>
      <c r="K446" s="145">
        <v>78106.50888</v>
      </c>
      <c r="L446" s="145">
        <v>71005.91716</v>
      </c>
      <c r="M446" s="145">
        <v>76331.36095</v>
      </c>
      <c r="N446" s="145">
        <v>53254.43787</v>
      </c>
      <c r="O446" s="145">
        <v>46153.84615</v>
      </c>
      <c r="P446" s="146">
        <v>37278.10651</v>
      </c>
      <c r="Q446" s="146">
        <v>40828.40237</v>
      </c>
      <c r="R446" s="146">
        <v>42603.5503</v>
      </c>
      <c r="S446" s="146">
        <v>62130.17752</v>
      </c>
    </row>
    <row r="447">
      <c r="A447" s="145">
        <v>27.25</v>
      </c>
      <c r="B447" s="145">
        <f t="shared" si="1"/>
        <v>8801.75</v>
      </c>
      <c r="C447" s="145">
        <v>58579.88166</v>
      </c>
      <c r="D447" s="145">
        <v>58579.88166</v>
      </c>
      <c r="E447" s="146">
        <v>62130.17752</v>
      </c>
      <c r="F447" s="145">
        <v>65680.47337</v>
      </c>
      <c r="G447" s="146">
        <v>69230.76923</v>
      </c>
      <c r="H447" s="146">
        <v>81656.80473</v>
      </c>
      <c r="I447" s="146">
        <v>71005.91716</v>
      </c>
      <c r="J447" s="145">
        <v>67455.6213</v>
      </c>
      <c r="K447" s="145">
        <v>78106.50888</v>
      </c>
      <c r="L447" s="145">
        <v>72781.06509</v>
      </c>
      <c r="M447" s="145">
        <v>76331.36095</v>
      </c>
      <c r="N447" s="147">
        <v>53254.43787</v>
      </c>
      <c r="O447" s="145">
        <v>46153.84615</v>
      </c>
      <c r="P447" s="146">
        <v>37278.10651</v>
      </c>
      <c r="Q447" s="146">
        <v>40828.40237</v>
      </c>
      <c r="R447" s="146">
        <v>42603.5503</v>
      </c>
      <c r="S447" s="146">
        <v>62130.17752</v>
      </c>
    </row>
    <row r="448">
      <c r="A448" s="145">
        <v>27.313</v>
      </c>
      <c r="B448" s="145">
        <f t="shared" si="1"/>
        <v>8822.099</v>
      </c>
      <c r="C448" s="145">
        <v>58579.88166</v>
      </c>
      <c r="D448" s="145">
        <v>58579.88166</v>
      </c>
      <c r="E448" s="146">
        <v>62130.17752</v>
      </c>
      <c r="F448" s="145">
        <v>65680.47337</v>
      </c>
      <c r="G448" s="146">
        <v>69230.76923</v>
      </c>
      <c r="H448" s="146">
        <v>81656.80473</v>
      </c>
      <c r="I448" s="146">
        <v>71005.91716</v>
      </c>
      <c r="J448" s="145">
        <v>67455.6213</v>
      </c>
      <c r="K448" s="145">
        <v>78106.50888</v>
      </c>
      <c r="L448" s="145">
        <v>72781.06509</v>
      </c>
      <c r="M448" s="145">
        <v>76331.36095</v>
      </c>
      <c r="N448" s="145">
        <v>53254.43787</v>
      </c>
      <c r="O448" s="145">
        <v>46153.84615</v>
      </c>
      <c r="P448" s="146">
        <v>39053.25444</v>
      </c>
      <c r="Q448" s="146">
        <v>40828.40237</v>
      </c>
      <c r="R448" s="146">
        <v>42603.5503</v>
      </c>
      <c r="S448" s="146">
        <v>62130.17752</v>
      </c>
    </row>
    <row r="449">
      <c r="A449" s="145">
        <v>27.391</v>
      </c>
      <c r="B449" s="145">
        <f t="shared" si="1"/>
        <v>8847.293</v>
      </c>
      <c r="C449" s="145">
        <v>58579.88166</v>
      </c>
      <c r="D449" s="145">
        <v>58579.88166</v>
      </c>
      <c r="E449" s="146">
        <v>62130.17752</v>
      </c>
      <c r="F449" s="145">
        <v>65680.47337</v>
      </c>
      <c r="G449" s="146">
        <v>69230.76923</v>
      </c>
      <c r="H449" s="146">
        <v>83431.95266</v>
      </c>
      <c r="I449" s="146">
        <v>71005.91716</v>
      </c>
      <c r="J449" s="145">
        <v>67455.6213</v>
      </c>
      <c r="K449" s="145">
        <v>78106.50888</v>
      </c>
      <c r="L449" s="145">
        <v>72781.06509</v>
      </c>
      <c r="M449" s="145">
        <v>76331.36095</v>
      </c>
      <c r="N449" s="145">
        <v>53254.43787</v>
      </c>
      <c r="O449" s="145">
        <v>46153.84615</v>
      </c>
      <c r="P449" s="146">
        <v>39053.25444</v>
      </c>
      <c r="Q449" s="146">
        <v>40828.40237</v>
      </c>
      <c r="R449" s="146">
        <v>42603.5503</v>
      </c>
      <c r="S449" s="146">
        <v>62130.17752</v>
      </c>
    </row>
    <row r="450">
      <c r="A450" s="145">
        <v>27.438</v>
      </c>
      <c r="B450" s="145">
        <f t="shared" si="1"/>
        <v>8862.474</v>
      </c>
      <c r="C450" s="145">
        <v>58579.88166</v>
      </c>
      <c r="D450" s="145">
        <v>58579.88166</v>
      </c>
      <c r="E450" s="146">
        <v>62130.17752</v>
      </c>
      <c r="F450" s="145">
        <v>65680.47337</v>
      </c>
      <c r="G450" s="146">
        <v>69230.76923</v>
      </c>
      <c r="H450" s="146">
        <v>83431.95266</v>
      </c>
      <c r="I450" s="146">
        <v>71005.91716</v>
      </c>
      <c r="J450" s="145">
        <v>67455.6213</v>
      </c>
      <c r="K450" s="145">
        <v>78106.50888</v>
      </c>
      <c r="L450" s="145">
        <v>72781.06509</v>
      </c>
      <c r="M450" s="145">
        <v>76331.36095</v>
      </c>
      <c r="N450" s="145">
        <v>53254.43787</v>
      </c>
      <c r="O450" s="145">
        <v>46153.84615</v>
      </c>
      <c r="P450" s="146">
        <v>39053.25444</v>
      </c>
      <c r="Q450" s="146">
        <v>40828.40237</v>
      </c>
      <c r="R450" s="146">
        <v>42603.5503</v>
      </c>
      <c r="S450" s="146">
        <v>62130.17752</v>
      </c>
    </row>
    <row r="451">
      <c r="A451" s="145">
        <v>27.5</v>
      </c>
      <c r="B451" s="145">
        <f t="shared" si="1"/>
        <v>8882.5</v>
      </c>
      <c r="C451" s="145">
        <v>58579.88166</v>
      </c>
      <c r="D451" s="145">
        <v>58579.88166</v>
      </c>
      <c r="E451" s="146">
        <v>62130.17752</v>
      </c>
      <c r="F451" s="145">
        <v>65680.47337</v>
      </c>
      <c r="G451" s="146">
        <v>69230.76923</v>
      </c>
      <c r="H451" s="146">
        <v>83431.95266</v>
      </c>
      <c r="I451" s="146">
        <v>71005.91716</v>
      </c>
      <c r="J451" s="145">
        <v>67455.6213</v>
      </c>
      <c r="K451" s="145">
        <v>78106.50888</v>
      </c>
      <c r="L451" s="145">
        <v>72781.06509</v>
      </c>
      <c r="M451" s="145">
        <v>76331.36095</v>
      </c>
      <c r="N451" s="145">
        <v>53254.43787</v>
      </c>
      <c r="O451" s="145">
        <v>46153.84615</v>
      </c>
      <c r="P451" s="146">
        <v>39053.25444</v>
      </c>
      <c r="Q451" s="146">
        <v>40828.40237</v>
      </c>
      <c r="R451" s="146">
        <v>42603.5503</v>
      </c>
      <c r="S451" s="146">
        <v>62130.17752</v>
      </c>
    </row>
    <row r="452">
      <c r="A452" s="145">
        <v>27.563</v>
      </c>
      <c r="B452" s="145">
        <f t="shared" si="1"/>
        <v>8902.849</v>
      </c>
      <c r="C452" s="145">
        <v>58579.88166</v>
      </c>
      <c r="D452" s="145">
        <v>58579.88166</v>
      </c>
      <c r="E452" s="146">
        <v>62130.17752</v>
      </c>
      <c r="F452" s="145">
        <v>65680.47337</v>
      </c>
      <c r="G452" s="146">
        <v>69230.76923</v>
      </c>
      <c r="H452" s="146">
        <v>83431.95266</v>
      </c>
      <c r="I452" s="146">
        <v>71005.91716</v>
      </c>
      <c r="J452" s="145">
        <v>71005.91716</v>
      </c>
      <c r="K452" s="145">
        <v>78106.50888</v>
      </c>
      <c r="L452" s="145">
        <v>72781.06509</v>
      </c>
      <c r="M452" s="145">
        <v>76331.36095</v>
      </c>
      <c r="N452" s="145">
        <v>53254.43787</v>
      </c>
      <c r="O452" s="148">
        <v>46153.84615</v>
      </c>
      <c r="P452" s="146">
        <v>39053.25444</v>
      </c>
      <c r="Q452" s="146">
        <v>40828.40237</v>
      </c>
      <c r="R452" s="146">
        <v>42603.5503</v>
      </c>
      <c r="S452" s="146">
        <v>62130.17752</v>
      </c>
    </row>
    <row r="453">
      <c r="A453" s="145">
        <v>27.625</v>
      </c>
      <c r="B453" s="145">
        <f t="shared" si="1"/>
        <v>8922.875</v>
      </c>
      <c r="C453" s="145">
        <v>58579.88166</v>
      </c>
      <c r="D453" s="145">
        <v>58579.88166</v>
      </c>
      <c r="E453" s="146">
        <v>62130.17752</v>
      </c>
      <c r="F453" s="145">
        <v>65680.47337</v>
      </c>
      <c r="G453" s="146">
        <v>69230.76923</v>
      </c>
      <c r="H453" s="146">
        <v>83431.95266</v>
      </c>
      <c r="I453" s="146">
        <v>71005.91716</v>
      </c>
      <c r="J453" s="145">
        <v>71005.91716</v>
      </c>
      <c r="K453" s="145">
        <v>78106.50888</v>
      </c>
      <c r="L453" s="145">
        <v>74556.21302</v>
      </c>
      <c r="M453" s="145">
        <v>76331.36095</v>
      </c>
      <c r="N453" s="145">
        <v>53254.43787</v>
      </c>
      <c r="O453" s="148">
        <v>46153.84615</v>
      </c>
      <c r="P453" s="146">
        <v>39053.25444</v>
      </c>
      <c r="Q453" s="146">
        <v>40828.40237</v>
      </c>
      <c r="R453" s="146">
        <v>42603.5503</v>
      </c>
      <c r="S453" s="146">
        <v>63905.32544</v>
      </c>
    </row>
    <row r="454">
      <c r="A454" s="145">
        <v>27.688</v>
      </c>
      <c r="B454" s="145">
        <f t="shared" si="1"/>
        <v>8943.224</v>
      </c>
      <c r="C454" s="145">
        <v>58579.88166</v>
      </c>
      <c r="D454" s="145">
        <v>60355.02959</v>
      </c>
      <c r="E454" s="146">
        <v>62130.17752</v>
      </c>
      <c r="F454" s="145">
        <v>65680.47337</v>
      </c>
      <c r="G454" s="146">
        <v>69230.76923</v>
      </c>
      <c r="H454" s="146">
        <v>85207.10059</v>
      </c>
      <c r="I454" s="146">
        <v>71005.91716</v>
      </c>
      <c r="J454" s="145">
        <v>71005.91716</v>
      </c>
      <c r="K454" s="145">
        <v>78106.50888</v>
      </c>
      <c r="L454" s="145">
        <v>74556.21302</v>
      </c>
      <c r="M454" s="145">
        <v>76331.36095</v>
      </c>
      <c r="N454" s="145">
        <v>53254.43787</v>
      </c>
      <c r="O454" s="148">
        <v>46153.84615</v>
      </c>
      <c r="P454" s="146">
        <v>39053.25444</v>
      </c>
      <c r="Q454" s="146">
        <v>42603.5503</v>
      </c>
      <c r="R454" s="146">
        <v>42603.5503</v>
      </c>
      <c r="S454" s="146">
        <v>63905.32544</v>
      </c>
    </row>
    <row r="455">
      <c r="A455" s="145">
        <v>27.75</v>
      </c>
      <c r="B455" s="145">
        <f t="shared" si="1"/>
        <v>8963.25</v>
      </c>
      <c r="C455" s="145">
        <v>58579.88166</v>
      </c>
      <c r="D455" s="145">
        <v>60355.02959</v>
      </c>
      <c r="E455" s="146">
        <v>62130.17752</v>
      </c>
      <c r="F455" s="145">
        <v>65680.47337</v>
      </c>
      <c r="G455" s="146">
        <v>69230.76923</v>
      </c>
      <c r="H455" s="146">
        <v>85207.10059</v>
      </c>
      <c r="I455" s="146">
        <v>71005.91716</v>
      </c>
      <c r="J455" s="145">
        <v>71005.91716</v>
      </c>
      <c r="K455" s="145">
        <v>78106.50888</v>
      </c>
      <c r="L455" s="145">
        <v>74556.21302</v>
      </c>
      <c r="M455" s="145">
        <v>76331.36095</v>
      </c>
      <c r="N455" s="145">
        <v>53254.43787</v>
      </c>
      <c r="O455" s="148">
        <v>46153.84615</v>
      </c>
      <c r="P455" s="146">
        <v>39053.25444</v>
      </c>
      <c r="Q455" s="146">
        <v>42603.5503</v>
      </c>
      <c r="R455" s="146">
        <v>42603.5503</v>
      </c>
      <c r="S455" s="146">
        <v>63905.32544</v>
      </c>
    </row>
    <row r="456">
      <c r="A456" s="145">
        <v>27.813</v>
      </c>
      <c r="B456" s="145">
        <f t="shared" si="1"/>
        <v>8983.599</v>
      </c>
      <c r="C456" s="145">
        <v>58579.88166</v>
      </c>
      <c r="D456" s="145">
        <v>60355.02959</v>
      </c>
      <c r="E456" s="146">
        <v>62130.17752</v>
      </c>
      <c r="F456" s="145">
        <v>65680.47337</v>
      </c>
      <c r="G456" s="146">
        <v>69230.76923</v>
      </c>
      <c r="H456" s="146">
        <v>85207.10059</v>
      </c>
      <c r="I456" s="146">
        <v>71005.91716</v>
      </c>
      <c r="J456" s="145">
        <v>71005.91716</v>
      </c>
      <c r="K456" s="145">
        <v>78106.50888</v>
      </c>
      <c r="L456" s="145">
        <v>74556.21302</v>
      </c>
      <c r="M456" s="145">
        <v>76331.36095</v>
      </c>
      <c r="N456" s="145">
        <v>55029.5858</v>
      </c>
      <c r="O456" s="148">
        <v>46153.84615</v>
      </c>
      <c r="P456" s="146">
        <v>39053.25444</v>
      </c>
      <c r="Q456" s="146">
        <v>42603.5503</v>
      </c>
      <c r="R456" s="146">
        <v>42603.5503</v>
      </c>
      <c r="S456" s="146">
        <v>63905.32544</v>
      </c>
    </row>
    <row r="457">
      <c r="A457" s="145">
        <v>27.875</v>
      </c>
      <c r="B457" s="145">
        <f t="shared" si="1"/>
        <v>9003.625</v>
      </c>
      <c r="C457" s="145">
        <v>58579.88166</v>
      </c>
      <c r="D457" s="145">
        <v>60355.02959</v>
      </c>
      <c r="E457" s="146">
        <v>62130.17752</v>
      </c>
      <c r="F457" s="145">
        <v>65680.47337</v>
      </c>
      <c r="G457" s="146">
        <v>69230.76923</v>
      </c>
      <c r="H457" s="146">
        <v>85207.10059</v>
      </c>
      <c r="I457" s="146">
        <v>71005.91716</v>
      </c>
      <c r="J457" s="145">
        <v>71005.91716</v>
      </c>
      <c r="K457" s="145">
        <v>78106.50888</v>
      </c>
      <c r="L457" s="145">
        <v>74556.21302</v>
      </c>
      <c r="M457" s="145">
        <v>76331.36095</v>
      </c>
      <c r="N457" s="145">
        <v>55029.5858</v>
      </c>
      <c r="O457" s="148">
        <v>46153.84615</v>
      </c>
      <c r="P457" s="146">
        <v>39053.25444</v>
      </c>
      <c r="Q457" s="146">
        <v>42603.5503</v>
      </c>
      <c r="R457" s="146">
        <v>42603.5503</v>
      </c>
      <c r="S457" s="146">
        <v>63905.32544</v>
      </c>
    </row>
    <row r="458">
      <c r="A458" s="145">
        <v>27.938</v>
      </c>
      <c r="B458" s="145">
        <f t="shared" si="1"/>
        <v>9023.974</v>
      </c>
      <c r="C458" s="145">
        <v>58579.88166</v>
      </c>
      <c r="D458" s="145">
        <v>60355.02959</v>
      </c>
      <c r="E458" s="146">
        <v>62130.17752</v>
      </c>
      <c r="F458" s="145">
        <v>65680.47337</v>
      </c>
      <c r="G458" s="146">
        <v>69230.76923</v>
      </c>
      <c r="H458" s="146">
        <v>85207.10059</v>
      </c>
      <c r="I458" s="146">
        <v>71005.91716</v>
      </c>
      <c r="J458" s="145">
        <v>71005.91716</v>
      </c>
      <c r="K458" s="145">
        <v>78106.50888</v>
      </c>
      <c r="L458" s="145">
        <v>76331.36095</v>
      </c>
      <c r="M458" s="145">
        <v>76331.36095</v>
      </c>
      <c r="N458" s="145">
        <v>55029.5858</v>
      </c>
      <c r="O458" s="148">
        <v>47928.99408</v>
      </c>
      <c r="P458" s="146">
        <v>39053.25444</v>
      </c>
      <c r="Q458" s="146">
        <v>42603.5503</v>
      </c>
      <c r="R458" s="146">
        <v>42603.5503</v>
      </c>
      <c r="S458" s="146">
        <v>63905.32544</v>
      </c>
    </row>
    <row r="459">
      <c r="A459" s="145">
        <v>28.0</v>
      </c>
      <c r="B459" s="145">
        <f t="shared" si="1"/>
        <v>9044</v>
      </c>
      <c r="C459" s="145">
        <v>58579.88166</v>
      </c>
      <c r="D459" s="145">
        <v>60355.02959</v>
      </c>
      <c r="E459" s="146">
        <v>62130.17752</v>
      </c>
      <c r="F459" s="145">
        <v>65680.47337</v>
      </c>
      <c r="G459" s="146">
        <v>69230.76923</v>
      </c>
      <c r="H459" s="146">
        <v>85207.10059</v>
      </c>
      <c r="I459" s="146">
        <v>71005.91716</v>
      </c>
      <c r="J459" s="145">
        <v>71005.91716</v>
      </c>
      <c r="K459" s="145">
        <v>78106.50888</v>
      </c>
      <c r="L459" s="145">
        <v>76331.36095</v>
      </c>
      <c r="M459" s="145">
        <v>76331.36095</v>
      </c>
      <c r="N459" s="145">
        <v>55029.5858</v>
      </c>
      <c r="O459" s="148">
        <v>47928.99408</v>
      </c>
      <c r="P459" s="146">
        <v>39053.25444</v>
      </c>
      <c r="Q459" s="146">
        <v>42603.5503</v>
      </c>
      <c r="R459" s="146">
        <v>42603.5503</v>
      </c>
      <c r="S459" s="146">
        <v>63905.32544</v>
      </c>
    </row>
    <row r="460">
      <c r="A460" s="145">
        <v>28.063</v>
      </c>
      <c r="B460" s="145">
        <f t="shared" si="1"/>
        <v>9064.349</v>
      </c>
      <c r="C460" s="145">
        <v>58579.88166</v>
      </c>
      <c r="D460" s="145">
        <v>60355.02959</v>
      </c>
      <c r="E460" s="146">
        <v>62130.17752</v>
      </c>
      <c r="F460" s="145">
        <v>65680.47337</v>
      </c>
      <c r="G460" s="146">
        <v>71005.91716</v>
      </c>
      <c r="H460" s="146">
        <v>85207.10059</v>
      </c>
      <c r="I460" s="146">
        <v>71005.91716</v>
      </c>
      <c r="J460" s="145">
        <v>71005.91716</v>
      </c>
      <c r="K460" s="145">
        <v>78106.50888</v>
      </c>
      <c r="L460" s="145">
        <v>76331.36095</v>
      </c>
      <c r="M460" s="145">
        <v>76331.36095</v>
      </c>
      <c r="N460" s="145">
        <v>55029.5858</v>
      </c>
      <c r="O460" s="148">
        <v>47928.99408</v>
      </c>
      <c r="P460" s="146">
        <v>40828.40237</v>
      </c>
      <c r="Q460" s="146">
        <v>42603.5503</v>
      </c>
      <c r="R460" s="146">
        <v>42603.5503</v>
      </c>
      <c r="S460" s="146">
        <v>63905.32544</v>
      </c>
    </row>
    <row r="461">
      <c r="A461" s="145">
        <v>28.125</v>
      </c>
      <c r="B461" s="145">
        <f t="shared" si="1"/>
        <v>9084.375</v>
      </c>
      <c r="C461" s="145">
        <v>58579.88166</v>
      </c>
      <c r="D461" s="145">
        <v>60355.02959</v>
      </c>
      <c r="E461" s="146">
        <v>62130.17752</v>
      </c>
      <c r="F461" s="145">
        <v>65680.47337</v>
      </c>
      <c r="G461" s="146">
        <v>71005.91716</v>
      </c>
      <c r="H461" s="146">
        <v>85207.10059</v>
      </c>
      <c r="I461" s="146">
        <v>71005.91716</v>
      </c>
      <c r="J461" s="145">
        <v>71005.91716</v>
      </c>
      <c r="K461" s="145">
        <v>78106.50888</v>
      </c>
      <c r="L461" s="145">
        <v>76331.36095</v>
      </c>
      <c r="M461" s="145">
        <v>76331.36095</v>
      </c>
      <c r="N461" s="145">
        <v>55029.5858</v>
      </c>
      <c r="O461" s="148">
        <v>47928.99408</v>
      </c>
      <c r="P461" s="146">
        <v>40828.40237</v>
      </c>
      <c r="Q461" s="146">
        <v>42603.5503</v>
      </c>
      <c r="R461" s="146">
        <v>42603.5503</v>
      </c>
      <c r="S461" s="146">
        <v>63905.32544</v>
      </c>
    </row>
    <row r="462">
      <c r="A462" s="145">
        <v>28.188</v>
      </c>
      <c r="B462" s="145">
        <f t="shared" si="1"/>
        <v>9104.724</v>
      </c>
      <c r="C462" s="145">
        <v>58579.88166</v>
      </c>
      <c r="D462" s="145">
        <v>60355.02959</v>
      </c>
      <c r="E462" s="146">
        <v>62130.17752</v>
      </c>
      <c r="F462" s="145">
        <v>65680.47337</v>
      </c>
      <c r="G462" s="146">
        <v>71005.91716</v>
      </c>
      <c r="H462" s="146">
        <v>85207.10059</v>
      </c>
      <c r="I462" s="146">
        <v>71005.91716</v>
      </c>
      <c r="J462" s="145">
        <v>71005.91716</v>
      </c>
      <c r="K462" s="145">
        <v>78106.50888</v>
      </c>
      <c r="L462" s="145">
        <v>76331.36095</v>
      </c>
      <c r="M462" s="145">
        <v>76331.36095</v>
      </c>
      <c r="N462" s="145">
        <v>55029.5858</v>
      </c>
      <c r="O462" s="148">
        <v>47928.99408</v>
      </c>
      <c r="P462" s="146">
        <v>40828.40237</v>
      </c>
      <c r="Q462" s="146">
        <v>42603.5503</v>
      </c>
      <c r="R462" s="146">
        <v>42603.5503</v>
      </c>
      <c r="S462" s="146">
        <v>63905.32544</v>
      </c>
    </row>
    <row r="463">
      <c r="A463" s="145">
        <v>28.25</v>
      </c>
      <c r="B463" s="145">
        <f t="shared" si="1"/>
        <v>9124.75</v>
      </c>
      <c r="C463" s="145">
        <v>60355.02959</v>
      </c>
      <c r="D463" s="145">
        <v>60355.02959</v>
      </c>
      <c r="E463" s="146">
        <v>62130.17752</v>
      </c>
      <c r="F463" s="145">
        <v>65680.47337</v>
      </c>
      <c r="G463" s="146">
        <v>71005.91716</v>
      </c>
      <c r="H463" s="146">
        <v>85207.10059</v>
      </c>
      <c r="I463" s="146">
        <v>71005.91716</v>
      </c>
      <c r="J463" s="145">
        <v>71005.91716</v>
      </c>
      <c r="K463" s="145">
        <v>78106.50888</v>
      </c>
      <c r="L463" s="145">
        <v>76331.36095</v>
      </c>
      <c r="M463" s="145">
        <v>76331.36095</v>
      </c>
      <c r="N463" s="145">
        <v>55029.5858</v>
      </c>
      <c r="O463" s="148">
        <v>47928.99408</v>
      </c>
      <c r="P463" s="146">
        <v>40828.40237</v>
      </c>
      <c r="Q463" s="146">
        <v>42603.5503</v>
      </c>
      <c r="R463" s="146">
        <v>42603.5503</v>
      </c>
      <c r="S463" s="146">
        <v>63905.32544</v>
      </c>
    </row>
    <row r="464">
      <c r="A464" s="145">
        <v>28.313</v>
      </c>
      <c r="B464" s="145">
        <f t="shared" si="1"/>
        <v>9145.099</v>
      </c>
      <c r="C464" s="145">
        <v>60355.02959</v>
      </c>
      <c r="D464" s="145">
        <v>60355.02959</v>
      </c>
      <c r="E464" s="146">
        <v>62130.17752</v>
      </c>
      <c r="F464" s="145">
        <v>65680.47337</v>
      </c>
      <c r="G464" s="146">
        <v>71005.91716</v>
      </c>
      <c r="H464" s="146">
        <v>85207.10059</v>
      </c>
      <c r="I464" s="146">
        <v>71005.91716</v>
      </c>
      <c r="J464" s="145">
        <v>71005.91716</v>
      </c>
      <c r="K464" s="145">
        <v>78106.50888</v>
      </c>
      <c r="L464" s="145">
        <v>76331.36095</v>
      </c>
      <c r="M464" s="145">
        <v>76331.36095</v>
      </c>
      <c r="N464" s="145">
        <v>55029.5858</v>
      </c>
      <c r="O464" s="148">
        <v>47928.99408</v>
      </c>
      <c r="P464" s="146">
        <v>40828.40237</v>
      </c>
      <c r="Q464" s="146">
        <v>42603.5503</v>
      </c>
      <c r="R464" s="146">
        <v>42603.5503</v>
      </c>
      <c r="S464" s="146">
        <v>63905.32544</v>
      </c>
    </row>
    <row r="465">
      <c r="A465" s="145">
        <v>28.391</v>
      </c>
      <c r="B465" s="145">
        <f t="shared" si="1"/>
        <v>9170.293</v>
      </c>
      <c r="C465" s="145">
        <v>60355.02959</v>
      </c>
      <c r="D465" s="145">
        <v>60355.02959</v>
      </c>
      <c r="E465" s="146">
        <v>63905.32544</v>
      </c>
      <c r="F465" s="145">
        <v>65680.47337</v>
      </c>
      <c r="G465" s="146">
        <v>71005.91716</v>
      </c>
      <c r="H465" s="146">
        <v>85207.10059</v>
      </c>
      <c r="I465" s="146">
        <v>71005.91716</v>
      </c>
      <c r="J465" s="145">
        <v>71005.91716</v>
      </c>
      <c r="K465" s="145">
        <v>78106.50888</v>
      </c>
      <c r="L465" s="145">
        <v>78106.50888</v>
      </c>
      <c r="M465" s="145">
        <v>76331.36095</v>
      </c>
      <c r="N465" s="145">
        <v>55029.5858</v>
      </c>
      <c r="O465" s="148">
        <v>49704.14201</v>
      </c>
      <c r="P465" s="146">
        <v>40828.40237</v>
      </c>
      <c r="Q465" s="146">
        <v>42603.5503</v>
      </c>
      <c r="R465" s="146">
        <v>42603.5503</v>
      </c>
      <c r="S465" s="146">
        <v>63905.32544</v>
      </c>
    </row>
    <row r="466">
      <c r="A466" s="145">
        <v>28.438</v>
      </c>
      <c r="B466" s="145">
        <f t="shared" si="1"/>
        <v>9185.474</v>
      </c>
      <c r="C466" s="145">
        <v>60355.02959</v>
      </c>
      <c r="D466" s="145">
        <v>60355.02959</v>
      </c>
      <c r="E466" s="146">
        <v>63905.32544</v>
      </c>
      <c r="F466" s="145">
        <v>65680.47337</v>
      </c>
      <c r="G466" s="146">
        <v>71005.91716</v>
      </c>
      <c r="H466" s="146">
        <v>85207.10059</v>
      </c>
      <c r="I466" s="146">
        <v>71005.91716</v>
      </c>
      <c r="J466" s="145">
        <v>71005.91716</v>
      </c>
      <c r="K466" s="145">
        <v>78106.50888</v>
      </c>
      <c r="L466" s="145">
        <v>78106.50888</v>
      </c>
      <c r="M466" s="145">
        <v>76331.36095</v>
      </c>
      <c r="N466" s="145">
        <v>55029.5858</v>
      </c>
      <c r="O466" s="148">
        <v>49704.14201</v>
      </c>
      <c r="P466" s="146">
        <v>40828.40237</v>
      </c>
      <c r="Q466" s="146">
        <v>42603.5503</v>
      </c>
      <c r="R466" s="146">
        <v>42603.5503</v>
      </c>
      <c r="S466" s="146">
        <v>63905.32544</v>
      </c>
    </row>
    <row r="467">
      <c r="A467" s="145">
        <v>28.5</v>
      </c>
      <c r="B467" s="145">
        <f t="shared" si="1"/>
        <v>9205.5</v>
      </c>
      <c r="C467" s="145">
        <v>60355.02959</v>
      </c>
      <c r="D467" s="145">
        <v>60355.02959</v>
      </c>
      <c r="E467" s="146">
        <v>63905.32544</v>
      </c>
      <c r="F467" s="145">
        <v>65680.47337</v>
      </c>
      <c r="G467" s="146">
        <v>71005.91716</v>
      </c>
      <c r="H467" s="146">
        <v>85207.10059</v>
      </c>
      <c r="I467" s="146">
        <v>71005.91716</v>
      </c>
      <c r="J467" s="145">
        <v>71005.91716</v>
      </c>
      <c r="K467" s="145">
        <v>78106.50888</v>
      </c>
      <c r="L467" s="145">
        <v>78106.50888</v>
      </c>
      <c r="M467" s="145">
        <v>78106.50888</v>
      </c>
      <c r="N467" s="145">
        <v>55029.5858</v>
      </c>
      <c r="O467" s="148">
        <v>49704.14201</v>
      </c>
      <c r="P467" s="146">
        <v>40828.40237</v>
      </c>
      <c r="Q467" s="146">
        <v>42603.5503</v>
      </c>
      <c r="R467" s="146">
        <v>42603.5503</v>
      </c>
      <c r="S467" s="146">
        <v>63905.32544</v>
      </c>
    </row>
    <row r="468">
      <c r="A468" s="145">
        <v>28.563</v>
      </c>
      <c r="B468" s="145">
        <f t="shared" si="1"/>
        <v>9225.849</v>
      </c>
      <c r="C468" s="145">
        <v>60355.02959</v>
      </c>
      <c r="D468" s="145">
        <v>60355.02959</v>
      </c>
      <c r="E468" s="146">
        <v>63905.32544</v>
      </c>
      <c r="F468" s="145">
        <v>65680.47337</v>
      </c>
      <c r="G468" s="146">
        <v>71005.91716</v>
      </c>
      <c r="H468" s="146">
        <v>85207.10059</v>
      </c>
      <c r="I468" s="146">
        <v>72781.06509</v>
      </c>
      <c r="J468" s="145">
        <v>71005.91716</v>
      </c>
      <c r="K468" s="145">
        <v>78106.50888</v>
      </c>
      <c r="L468" s="145">
        <v>78106.50888</v>
      </c>
      <c r="M468" s="145">
        <v>78106.50888</v>
      </c>
      <c r="N468" s="145">
        <v>55029.5858</v>
      </c>
      <c r="O468" s="148">
        <v>49704.14201</v>
      </c>
      <c r="P468" s="146">
        <v>40828.40237</v>
      </c>
      <c r="Q468" s="146">
        <v>42603.5503</v>
      </c>
      <c r="R468" s="146">
        <v>42603.5503</v>
      </c>
      <c r="S468" s="146">
        <v>63905.32544</v>
      </c>
    </row>
    <row r="469">
      <c r="A469" s="145">
        <v>28.625</v>
      </c>
      <c r="B469" s="145">
        <f t="shared" si="1"/>
        <v>9245.875</v>
      </c>
      <c r="C469" s="145">
        <v>60355.02959</v>
      </c>
      <c r="D469" s="145">
        <v>60355.02959</v>
      </c>
      <c r="E469" s="146">
        <v>63905.32544</v>
      </c>
      <c r="F469" s="145">
        <v>67455.6213</v>
      </c>
      <c r="G469" s="146">
        <v>71005.91716</v>
      </c>
      <c r="H469" s="146">
        <v>88757.39645</v>
      </c>
      <c r="I469" s="146">
        <v>72781.06509</v>
      </c>
      <c r="J469" s="145">
        <v>71005.91716</v>
      </c>
      <c r="K469" s="145">
        <v>78106.50888</v>
      </c>
      <c r="L469" s="145">
        <v>79881.65681</v>
      </c>
      <c r="M469" s="145">
        <v>78106.50888</v>
      </c>
      <c r="N469" s="145">
        <v>55029.5858</v>
      </c>
      <c r="O469" s="148">
        <v>49704.14201</v>
      </c>
      <c r="P469" s="146">
        <v>40828.40237</v>
      </c>
      <c r="Q469" s="146">
        <v>42603.5503</v>
      </c>
      <c r="R469" s="146">
        <v>42603.5503</v>
      </c>
      <c r="S469" s="146">
        <v>63905.32544</v>
      </c>
    </row>
    <row r="470">
      <c r="A470" s="145">
        <v>28.688</v>
      </c>
      <c r="B470" s="145">
        <f t="shared" si="1"/>
        <v>9266.224</v>
      </c>
      <c r="C470" s="145">
        <v>60355.02959</v>
      </c>
      <c r="D470" s="145">
        <v>60355.02959</v>
      </c>
      <c r="E470" s="146">
        <v>63905.32544</v>
      </c>
      <c r="F470" s="145">
        <v>67455.6213</v>
      </c>
      <c r="G470" s="146">
        <v>71005.91716</v>
      </c>
      <c r="H470" s="146">
        <v>88757.39645</v>
      </c>
      <c r="I470" s="146">
        <v>72781.06509</v>
      </c>
      <c r="J470" s="145">
        <v>72781.06509</v>
      </c>
      <c r="K470" s="145">
        <v>78106.50888</v>
      </c>
      <c r="L470" s="145">
        <v>79881.65681</v>
      </c>
      <c r="M470" s="145">
        <v>78106.50888</v>
      </c>
      <c r="N470" s="145">
        <v>55029.5858</v>
      </c>
      <c r="O470" s="148">
        <v>49704.14201</v>
      </c>
      <c r="P470" s="146">
        <v>40828.40237</v>
      </c>
      <c r="Q470" s="146">
        <v>42603.5503</v>
      </c>
      <c r="R470" s="146">
        <v>42603.5503</v>
      </c>
      <c r="S470" s="146">
        <v>63905.32544</v>
      </c>
    </row>
    <row r="471">
      <c r="A471" s="145">
        <v>28.75</v>
      </c>
      <c r="B471" s="145">
        <f t="shared" si="1"/>
        <v>9286.25</v>
      </c>
      <c r="C471" s="145">
        <v>60355.02959</v>
      </c>
      <c r="D471" s="145">
        <v>60355.02959</v>
      </c>
      <c r="E471" s="146">
        <v>63905.32544</v>
      </c>
      <c r="F471" s="145">
        <v>67455.6213</v>
      </c>
      <c r="G471" s="146">
        <v>71005.91716</v>
      </c>
      <c r="H471" s="146">
        <v>88757.39645</v>
      </c>
      <c r="I471" s="146">
        <v>72781.06509</v>
      </c>
      <c r="J471" s="145">
        <v>72781.06509</v>
      </c>
      <c r="K471" s="145">
        <v>78106.50888</v>
      </c>
      <c r="L471" s="145">
        <v>79881.65681</v>
      </c>
      <c r="M471" s="145">
        <v>78106.50888</v>
      </c>
      <c r="N471" s="145">
        <v>55029.5858</v>
      </c>
      <c r="O471" s="148">
        <v>49704.14201</v>
      </c>
      <c r="P471" s="146">
        <v>40828.40237</v>
      </c>
      <c r="Q471" s="146">
        <v>42603.5503</v>
      </c>
      <c r="R471" s="146">
        <v>44378.69823</v>
      </c>
      <c r="S471" s="146">
        <v>63905.32544</v>
      </c>
    </row>
    <row r="472">
      <c r="A472" s="145">
        <v>28.813</v>
      </c>
      <c r="B472" s="145">
        <f t="shared" si="1"/>
        <v>9306.599</v>
      </c>
      <c r="C472" s="145">
        <v>60355.02959</v>
      </c>
      <c r="D472" s="145">
        <v>60355.02959</v>
      </c>
      <c r="E472" s="146">
        <v>63905.32544</v>
      </c>
      <c r="F472" s="145">
        <v>67455.6213</v>
      </c>
      <c r="G472" s="146">
        <v>71005.91716</v>
      </c>
      <c r="H472" s="146">
        <v>88757.39645</v>
      </c>
      <c r="I472" s="146">
        <v>72781.06509</v>
      </c>
      <c r="J472" s="145">
        <v>74556.21302</v>
      </c>
      <c r="K472" s="145">
        <v>78106.50888</v>
      </c>
      <c r="L472" s="145">
        <v>79881.65681</v>
      </c>
      <c r="M472" s="145">
        <v>78106.50888</v>
      </c>
      <c r="N472" s="145">
        <v>55029.5858</v>
      </c>
      <c r="O472" s="148">
        <v>49704.14201</v>
      </c>
      <c r="P472" s="146">
        <v>40828.40237</v>
      </c>
      <c r="Q472" s="146">
        <v>42603.5503</v>
      </c>
      <c r="R472" s="146">
        <v>44378.69823</v>
      </c>
      <c r="S472" s="146">
        <v>63905.32544</v>
      </c>
    </row>
    <row r="473">
      <c r="A473" s="145">
        <v>28.875</v>
      </c>
      <c r="B473" s="145">
        <f t="shared" si="1"/>
        <v>9326.625</v>
      </c>
      <c r="C473" s="145">
        <v>60355.02959</v>
      </c>
      <c r="D473" s="145">
        <v>60355.02959</v>
      </c>
      <c r="E473" s="146">
        <v>63905.32544</v>
      </c>
      <c r="F473" s="145">
        <v>67455.6213</v>
      </c>
      <c r="G473" s="146">
        <v>71005.91716</v>
      </c>
      <c r="H473" s="146">
        <v>88757.39645</v>
      </c>
      <c r="I473" s="146">
        <v>72781.06509</v>
      </c>
      <c r="J473" s="145">
        <v>74556.21302</v>
      </c>
      <c r="K473" s="145">
        <v>78106.50888</v>
      </c>
      <c r="L473" s="145">
        <v>79881.65681</v>
      </c>
      <c r="M473" s="145">
        <v>79881.65681</v>
      </c>
      <c r="N473" s="145">
        <v>55029.5858</v>
      </c>
      <c r="O473" s="148">
        <v>49704.14201</v>
      </c>
      <c r="P473" s="146">
        <v>40828.40237</v>
      </c>
      <c r="Q473" s="146">
        <v>42603.5503</v>
      </c>
      <c r="R473" s="146">
        <v>44378.69823</v>
      </c>
      <c r="S473" s="146">
        <v>63905.32544</v>
      </c>
    </row>
    <row r="474">
      <c r="A474" s="145">
        <v>28.938</v>
      </c>
      <c r="B474" s="145">
        <f t="shared" si="1"/>
        <v>9346.974</v>
      </c>
      <c r="C474" s="145">
        <v>60355.02959</v>
      </c>
      <c r="D474" s="145">
        <v>60355.02959</v>
      </c>
      <c r="E474" s="146">
        <v>63905.32544</v>
      </c>
      <c r="F474" s="145">
        <v>67455.6213</v>
      </c>
      <c r="G474" s="146">
        <v>71005.91716</v>
      </c>
      <c r="H474" s="146">
        <v>88757.39645</v>
      </c>
      <c r="I474" s="146">
        <v>72781.06509</v>
      </c>
      <c r="J474" s="145">
        <v>76331.36095</v>
      </c>
      <c r="K474" s="145">
        <v>78106.50888</v>
      </c>
      <c r="L474" s="145">
        <v>83431.95266</v>
      </c>
      <c r="M474" s="145">
        <v>79881.65681</v>
      </c>
      <c r="N474" s="145">
        <v>55029.5858</v>
      </c>
      <c r="O474" s="148">
        <v>49704.14201</v>
      </c>
      <c r="P474" s="146">
        <v>40828.40237</v>
      </c>
      <c r="Q474" s="146">
        <v>42603.5503</v>
      </c>
      <c r="R474" s="146">
        <v>44378.69823</v>
      </c>
      <c r="S474" s="146">
        <v>63905.32544</v>
      </c>
    </row>
    <row r="475">
      <c r="A475" s="145">
        <v>29.0</v>
      </c>
      <c r="B475" s="145">
        <f t="shared" si="1"/>
        <v>9367</v>
      </c>
      <c r="C475" s="145">
        <v>60355.02959</v>
      </c>
      <c r="D475" s="145">
        <v>60355.02959</v>
      </c>
      <c r="E475" s="146">
        <v>63905.32544</v>
      </c>
      <c r="F475" s="145">
        <v>67455.6213</v>
      </c>
      <c r="G475" s="146">
        <v>71005.91716</v>
      </c>
      <c r="H475" s="146">
        <v>88757.39645</v>
      </c>
      <c r="I475" s="146">
        <v>72781.06509</v>
      </c>
      <c r="J475" s="145">
        <v>76331.36095</v>
      </c>
      <c r="K475" s="145">
        <v>78106.50888</v>
      </c>
      <c r="L475" s="145">
        <v>83431.95266</v>
      </c>
      <c r="M475" s="145">
        <v>79881.65681</v>
      </c>
      <c r="N475" s="145">
        <v>55029.5858</v>
      </c>
      <c r="O475" s="148">
        <v>49704.14201</v>
      </c>
      <c r="P475" s="146">
        <v>40828.40237</v>
      </c>
      <c r="Q475" s="146">
        <v>42603.5503</v>
      </c>
      <c r="R475" s="146">
        <v>44378.69823</v>
      </c>
      <c r="S475" s="146">
        <v>63905.32544</v>
      </c>
    </row>
    <row r="476">
      <c r="A476" s="145">
        <v>29.063</v>
      </c>
      <c r="B476" s="145">
        <f t="shared" si="1"/>
        <v>9387.349</v>
      </c>
      <c r="C476" s="145">
        <v>60355.02959</v>
      </c>
      <c r="D476" s="145">
        <v>60355.02959</v>
      </c>
      <c r="E476" s="146">
        <v>63905.32544</v>
      </c>
      <c r="F476" s="145">
        <v>67455.6213</v>
      </c>
      <c r="G476" s="146">
        <v>71005.91716</v>
      </c>
      <c r="H476" s="146">
        <v>88757.39645</v>
      </c>
      <c r="I476" s="146">
        <v>72781.06509</v>
      </c>
      <c r="J476" s="145">
        <v>76331.36095</v>
      </c>
      <c r="K476" s="145">
        <v>78106.50888</v>
      </c>
      <c r="L476" s="145">
        <v>83431.95266</v>
      </c>
      <c r="M476" s="145">
        <v>79881.65681</v>
      </c>
      <c r="N476" s="145">
        <v>55029.5858</v>
      </c>
      <c r="O476" s="148">
        <v>49704.14201</v>
      </c>
      <c r="P476" s="146">
        <v>40828.40237</v>
      </c>
      <c r="Q476" s="146">
        <v>42603.5503</v>
      </c>
      <c r="R476" s="146">
        <v>44378.69823</v>
      </c>
      <c r="S476" s="146">
        <v>63905.32544</v>
      </c>
    </row>
    <row r="477">
      <c r="A477" s="145">
        <v>29.125</v>
      </c>
      <c r="B477" s="145">
        <f t="shared" si="1"/>
        <v>9407.375</v>
      </c>
      <c r="C477" s="145">
        <v>60355.02959</v>
      </c>
      <c r="D477" s="145">
        <v>60355.02959</v>
      </c>
      <c r="E477" s="146">
        <v>63905.32544</v>
      </c>
      <c r="F477" s="145">
        <v>67455.6213</v>
      </c>
      <c r="G477" s="146">
        <v>71005.91716</v>
      </c>
      <c r="H477" s="146">
        <v>88757.39645</v>
      </c>
      <c r="I477" s="146">
        <v>72781.06509</v>
      </c>
      <c r="J477" s="145">
        <v>76331.36095</v>
      </c>
      <c r="K477" s="145">
        <v>78106.50888</v>
      </c>
      <c r="L477" s="145">
        <v>83431.95266</v>
      </c>
      <c r="M477" s="145">
        <v>79881.65681</v>
      </c>
      <c r="N477" s="145">
        <v>55029.5858</v>
      </c>
      <c r="O477" s="148">
        <v>49704.14201</v>
      </c>
      <c r="P477" s="146">
        <v>42603.5503</v>
      </c>
      <c r="Q477" s="146">
        <v>42603.5503</v>
      </c>
      <c r="R477" s="146">
        <v>44378.69823</v>
      </c>
      <c r="S477" s="146">
        <v>63905.32544</v>
      </c>
    </row>
    <row r="478">
      <c r="A478" s="145">
        <v>29.188</v>
      </c>
      <c r="B478" s="145">
        <f t="shared" si="1"/>
        <v>9427.724</v>
      </c>
      <c r="C478" s="145">
        <v>60355.02959</v>
      </c>
      <c r="D478" s="145">
        <v>60355.02959</v>
      </c>
      <c r="E478" s="146">
        <v>63905.32544</v>
      </c>
      <c r="F478" s="145">
        <v>67455.6213</v>
      </c>
      <c r="G478" s="146">
        <v>71005.91716</v>
      </c>
      <c r="H478" s="146">
        <v>88757.39645</v>
      </c>
      <c r="I478" s="146">
        <v>72781.06509</v>
      </c>
      <c r="J478" s="145">
        <v>76331.36095</v>
      </c>
      <c r="K478" s="145">
        <v>78106.50888</v>
      </c>
      <c r="L478" s="145">
        <v>83431.95266</v>
      </c>
      <c r="M478" s="145">
        <v>79881.65681</v>
      </c>
      <c r="N478" s="145">
        <v>55029.5858</v>
      </c>
      <c r="O478" s="148">
        <v>51479.28994</v>
      </c>
      <c r="P478" s="146">
        <v>42603.5503</v>
      </c>
      <c r="Q478" s="146">
        <v>42603.5503</v>
      </c>
      <c r="R478" s="146">
        <v>44378.69823</v>
      </c>
      <c r="S478" s="146">
        <v>63905.32544</v>
      </c>
    </row>
    <row r="479">
      <c r="A479" s="145">
        <v>29.25</v>
      </c>
      <c r="B479" s="145">
        <f t="shared" si="1"/>
        <v>9447.75</v>
      </c>
      <c r="C479" s="145">
        <v>60355.02959</v>
      </c>
      <c r="D479" s="145">
        <v>60355.02959</v>
      </c>
      <c r="E479" s="146">
        <v>63905.32544</v>
      </c>
      <c r="F479" s="145">
        <v>67455.6213</v>
      </c>
      <c r="G479" s="146">
        <v>71005.91716</v>
      </c>
      <c r="H479" s="146">
        <v>88757.39645</v>
      </c>
      <c r="I479" s="146">
        <v>72781.06509</v>
      </c>
      <c r="J479" s="145">
        <v>76331.36095</v>
      </c>
      <c r="K479" s="145">
        <v>78106.50888</v>
      </c>
      <c r="L479" s="145">
        <v>83431.95266</v>
      </c>
      <c r="M479" s="145">
        <v>79881.65681</v>
      </c>
      <c r="N479" s="145">
        <v>55029.5858</v>
      </c>
      <c r="O479" s="148">
        <v>51479.28994</v>
      </c>
      <c r="P479" s="146">
        <v>42603.5503</v>
      </c>
      <c r="Q479" s="146">
        <v>42603.5503</v>
      </c>
      <c r="R479" s="146">
        <v>44378.69823</v>
      </c>
      <c r="S479" s="146">
        <v>63905.32544</v>
      </c>
    </row>
    <row r="480">
      <c r="A480" s="145">
        <v>29.313</v>
      </c>
      <c r="B480" s="145">
        <f t="shared" si="1"/>
        <v>9468.099</v>
      </c>
      <c r="C480" s="145">
        <v>60355.02959</v>
      </c>
      <c r="D480" s="145">
        <v>60355.02959</v>
      </c>
      <c r="E480" s="146">
        <v>63905.32544</v>
      </c>
      <c r="F480" s="145">
        <v>67455.6213</v>
      </c>
      <c r="G480" s="146">
        <v>72781.06509</v>
      </c>
      <c r="H480" s="146">
        <v>88757.39645</v>
      </c>
      <c r="I480" s="146">
        <v>72781.06509</v>
      </c>
      <c r="J480" s="145">
        <v>76331.36095</v>
      </c>
      <c r="K480" s="145">
        <v>78106.50888</v>
      </c>
      <c r="L480" s="145">
        <v>83431.95266</v>
      </c>
      <c r="M480" s="145">
        <v>79881.65681</v>
      </c>
      <c r="N480" s="145">
        <v>55029.5858</v>
      </c>
      <c r="O480" s="148">
        <v>51479.28994</v>
      </c>
      <c r="P480" s="146">
        <v>42603.5503</v>
      </c>
      <c r="Q480" s="146">
        <v>42603.5503</v>
      </c>
      <c r="R480" s="146">
        <v>46153.84615</v>
      </c>
      <c r="S480" s="146">
        <v>63905.32544</v>
      </c>
    </row>
    <row r="481">
      <c r="A481" s="145">
        <v>29.375</v>
      </c>
      <c r="B481" s="145">
        <f t="shared" si="1"/>
        <v>9488.125</v>
      </c>
      <c r="C481" s="145">
        <v>60355.02959</v>
      </c>
      <c r="D481" s="145">
        <v>60355.02959</v>
      </c>
      <c r="E481" s="146">
        <v>63905.32544</v>
      </c>
      <c r="F481" s="145">
        <v>67455.6213</v>
      </c>
      <c r="G481" s="146">
        <v>72781.06509</v>
      </c>
      <c r="H481" s="146">
        <v>88757.39645</v>
      </c>
      <c r="I481" s="146">
        <v>72781.06509</v>
      </c>
      <c r="J481" s="145">
        <v>76331.36095</v>
      </c>
      <c r="K481" s="145">
        <v>78106.50888</v>
      </c>
      <c r="L481" s="145">
        <v>85207.10059</v>
      </c>
      <c r="M481" s="145">
        <v>79881.65681</v>
      </c>
      <c r="N481" s="145">
        <v>55029.5858</v>
      </c>
      <c r="O481" s="148">
        <v>51479.28994</v>
      </c>
      <c r="P481" s="146">
        <v>42603.5503</v>
      </c>
      <c r="Q481" s="146">
        <v>42603.5503</v>
      </c>
      <c r="R481" s="146">
        <v>46153.84615</v>
      </c>
      <c r="S481" s="146">
        <v>63905.32544</v>
      </c>
    </row>
    <row r="482">
      <c r="A482" s="145">
        <v>29.438</v>
      </c>
      <c r="B482" s="145">
        <f t="shared" si="1"/>
        <v>9508.474</v>
      </c>
      <c r="C482" s="145">
        <v>60355.02959</v>
      </c>
      <c r="D482" s="145">
        <v>60355.02959</v>
      </c>
      <c r="E482" s="146">
        <v>63905.32544</v>
      </c>
      <c r="F482" s="145">
        <v>67455.6213</v>
      </c>
      <c r="G482" s="146">
        <v>72781.06509</v>
      </c>
      <c r="H482" s="146">
        <v>88757.39645</v>
      </c>
      <c r="I482" s="146">
        <v>72781.06509</v>
      </c>
      <c r="J482" s="145">
        <v>76331.36095</v>
      </c>
      <c r="K482" s="145">
        <v>78106.50888</v>
      </c>
      <c r="L482" s="145">
        <v>85207.10059</v>
      </c>
      <c r="M482" s="145">
        <v>79881.65681</v>
      </c>
      <c r="N482" s="145">
        <v>55029.5858</v>
      </c>
      <c r="O482" s="148">
        <v>51479.28994</v>
      </c>
      <c r="P482" s="146">
        <v>42603.5503</v>
      </c>
      <c r="Q482" s="146">
        <v>42603.5503</v>
      </c>
      <c r="R482" s="146">
        <v>46153.84615</v>
      </c>
      <c r="S482" s="146">
        <v>63905.32544</v>
      </c>
    </row>
    <row r="483">
      <c r="A483" s="145">
        <v>29.516</v>
      </c>
      <c r="B483" s="145">
        <f t="shared" si="1"/>
        <v>9533.668</v>
      </c>
      <c r="C483" s="145">
        <v>60355.02959</v>
      </c>
      <c r="D483" s="145">
        <v>60355.02959</v>
      </c>
      <c r="E483" s="146">
        <v>63905.32544</v>
      </c>
      <c r="F483" s="145">
        <v>67455.6213</v>
      </c>
      <c r="G483" s="146">
        <v>72781.06509</v>
      </c>
      <c r="H483" s="146">
        <v>88757.39645</v>
      </c>
      <c r="I483" s="146">
        <v>72781.06509</v>
      </c>
      <c r="J483" s="145">
        <v>76331.36095</v>
      </c>
      <c r="K483" s="145">
        <v>79881.65681</v>
      </c>
      <c r="L483" s="145">
        <v>85207.10059</v>
      </c>
      <c r="M483" s="145">
        <v>79881.65681</v>
      </c>
      <c r="N483" s="145">
        <v>56804.73373</v>
      </c>
      <c r="O483" s="148">
        <v>51479.28994</v>
      </c>
      <c r="P483" s="146">
        <v>42603.5503</v>
      </c>
      <c r="Q483" s="146">
        <v>42603.5503</v>
      </c>
      <c r="R483" s="146">
        <v>46153.84615</v>
      </c>
      <c r="S483" s="146">
        <v>63905.32544</v>
      </c>
    </row>
    <row r="484">
      <c r="A484" s="145">
        <v>29.563</v>
      </c>
      <c r="B484" s="145">
        <f t="shared" si="1"/>
        <v>9548.849</v>
      </c>
      <c r="C484" s="145">
        <v>60355.02959</v>
      </c>
      <c r="D484" s="145">
        <v>60355.02959</v>
      </c>
      <c r="E484" s="146">
        <v>63905.32544</v>
      </c>
      <c r="F484" s="145">
        <v>67455.6213</v>
      </c>
      <c r="G484" s="146">
        <v>72781.06509</v>
      </c>
      <c r="H484" s="146">
        <v>88757.39645</v>
      </c>
      <c r="I484" s="146">
        <v>72781.06509</v>
      </c>
      <c r="J484" s="145">
        <v>76331.36095</v>
      </c>
      <c r="K484" s="145">
        <v>79881.65681</v>
      </c>
      <c r="L484" s="145">
        <v>85207.10059</v>
      </c>
      <c r="M484" s="145">
        <v>79881.65681</v>
      </c>
      <c r="N484" s="145">
        <v>56804.73373</v>
      </c>
      <c r="O484" s="148">
        <v>51479.28994</v>
      </c>
      <c r="P484" s="146">
        <v>42603.5503</v>
      </c>
      <c r="Q484" s="146">
        <v>42603.5503</v>
      </c>
      <c r="R484" s="146">
        <v>46153.84615</v>
      </c>
      <c r="S484" s="146">
        <v>65680.47337</v>
      </c>
    </row>
    <row r="485">
      <c r="A485" s="145">
        <v>29.625</v>
      </c>
      <c r="B485" s="145">
        <f t="shared" si="1"/>
        <v>9568.875</v>
      </c>
      <c r="C485" s="145">
        <v>60355.02959</v>
      </c>
      <c r="D485" s="145">
        <v>60355.02959</v>
      </c>
      <c r="E485" s="146">
        <v>63905.32544</v>
      </c>
      <c r="F485" s="145">
        <v>67455.6213</v>
      </c>
      <c r="G485" s="146">
        <v>72781.06509</v>
      </c>
      <c r="H485" s="146">
        <v>92307.69231</v>
      </c>
      <c r="I485" s="146">
        <v>72781.06509</v>
      </c>
      <c r="J485" s="145">
        <v>76331.36095</v>
      </c>
      <c r="K485" s="145">
        <v>79881.65681</v>
      </c>
      <c r="L485" s="145">
        <v>85207.10059</v>
      </c>
      <c r="M485" s="145">
        <v>79881.65681</v>
      </c>
      <c r="N485" s="145">
        <v>56804.73373</v>
      </c>
      <c r="O485" s="148">
        <v>51479.28994</v>
      </c>
      <c r="P485" s="146">
        <v>42603.5503</v>
      </c>
      <c r="Q485" s="146">
        <v>42603.5503</v>
      </c>
      <c r="R485" s="146">
        <v>46153.84615</v>
      </c>
      <c r="S485" s="146">
        <v>65680.47337</v>
      </c>
    </row>
    <row r="486">
      <c r="A486" s="145">
        <v>29.704</v>
      </c>
      <c r="B486" s="145">
        <f t="shared" si="1"/>
        <v>9594.392</v>
      </c>
      <c r="C486" s="145">
        <v>60355.02959</v>
      </c>
      <c r="D486" s="145">
        <v>60355.02959</v>
      </c>
      <c r="E486" s="146">
        <v>63905.32544</v>
      </c>
      <c r="F486" s="145">
        <v>67455.6213</v>
      </c>
      <c r="G486" s="146">
        <v>72781.06509</v>
      </c>
      <c r="H486" s="146">
        <v>92307.69231</v>
      </c>
      <c r="I486" s="146">
        <v>72781.06509</v>
      </c>
      <c r="J486" s="145">
        <v>76331.36095</v>
      </c>
      <c r="K486" s="145">
        <v>79881.65681</v>
      </c>
      <c r="L486" s="145">
        <v>85207.10059</v>
      </c>
      <c r="M486" s="145">
        <v>79881.65681</v>
      </c>
      <c r="N486" s="145">
        <v>56804.73373</v>
      </c>
      <c r="O486" s="148">
        <v>51479.28994</v>
      </c>
      <c r="P486" s="146">
        <v>42603.5503</v>
      </c>
      <c r="Q486" s="146">
        <v>42603.5503</v>
      </c>
      <c r="R486" s="146">
        <v>46153.84615</v>
      </c>
      <c r="S486" s="146">
        <v>65680.47337</v>
      </c>
    </row>
    <row r="487">
      <c r="A487" s="145">
        <v>29.75</v>
      </c>
      <c r="B487" s="145">
        <f t="shared" si="1"/>
        <v>9609.25</v>
      </c>
      <c r="C487" s="145">
        <v>60355.02959</v>
      </c>
      <c r="D487" s="145">
        <v>60355.02959</v>
      </c>
      <c r="E487" s="146">
        <v>63905.32544</v>
      </c>
      <c r="F487" s="145">
        <v>67455.6213</v>
      </c>
      <c r="G487" s="146">
        <v>72781.06509</v>
      </c>
      <c r="H487" s="146">
        <v>92307.69231</v>
      </c>
      <c r="I487" s="146">
        <v>72781.06509</v>
      </c>
      <c r="J487" s="145">
        <v>76331.36095</v>
      </c>
      <c r="K487" s="145">
        <v>79881.65681</v>
      </c>
      <c r="L487" s="145">
        <v>85207.10059</v>
      </c>
      <c r="M487" s="145">
        <v>79881.65681</v>
      </c>
      <c r="N487" s="145">
        <v>56804.73373</v>
      </c>
      <c r="O487" s="148">
        <v>51479.28994</v>
      </c>
      <c r="P487" s="146">
        <v>42603.5503</v>
      </c>
      <c r="Q487" s="146">
        <v>42603.5503</v>
      </c>
      <c r="R487" s="146">
        <v>46153.84615</v>
      </c>
      <c r="S487" s="146">
        <v>65680.47337</v>
      </c>
    </row>
    <row r="488">
      <c r="A488" s="145">
        <v>29.813</v>
      </c>
      <c r="B488" s="145">
        <f t="shared" si="1"/>
        <v>9629.599</v>
      </c>
      <c r="C488" s="145">
        <v>60355.02959</v>
      </c>
      <c r="D488" s="145">
        <v>60355.02959</v>
      </c>
      <c r="E488" s="146">
        <v>63905.32544</v>
      </c>
      <c r="F488" s="145">
        <v>67455.6213</v>
      </c>
      <c r="G488" s="146">
        <v>72781.06509</v>
      </c>
      <c r="H488" s="146">
        <v>92307.69231</v>
      </c>
      <c r="I488" s="146">
        <v>72781.06509</v>
      </c>
      <c r="J488" s="145">
        <v>76331.36095</v>
      </c>
      <c r="K488" s="145">
        <v>79881.65681</v>
      </c>
      <c r="L488" s="145">
        <v>85207.10059</v>
      </c>
      <c r="M488" s="145">
        <v>83431.95266</v>
      </c>
      <c r="N488" s="145">
        <v>56804.73373</v>
      </c>
      <c r="O488" s="148">
        <v>51479.28994</v>
      </c>
      <c r="P488" s="146">
        <v>42603.5503</v>
      </c>
      <c r="Q488" s="146">
        <v>42603.5503</v>
      </c>
      <c r="R488" s="146">
        <v>46153.84615</v>
      </c>
      <c r="S488" s="146">
        <v>65680.47337</v>
      </c>
    </row>
    <row r="489">
      <c r="A489" s="145">
        <v>29.891</v>
      </c>
      <c r="B489" s="145">
        <f t="shared" si="1"/>
        <v>9654.793</v>
      </c>
      <c r="C489" s="145">
        <v>60355.02959</v>
      </c>
      <c r="D489" s="145">
        <v>60355.02959</v>
      </c>
      <c r="E489" s="146">
        <v>63905.32544</v>
      </c>
      <c r="F489" s="145">
        <v>67455.6213</v>
      </c>
      <c r="G489" s="146">
        <v>72781.06509</v>
      </c>
      <c r="H489" s="146">
        <v>92307.69231</v>
      </c>
      <c r="I489" s="146">
        <v>72781.06509</v>
      </c>
      <c r="J489" s="145">
        <v>76331.36095</v>
      </c>
      <c r="K489" s="145">
        <v>79881.65681</v>
      </c>
      <c r="L489" s="145">
        <v>85207.10059</v>
      </c>
      <c r="M489" s="145">
        <v>83431.95266</v>
      </c>
      <c r="N489" s="145">
        <v>56804.73373</v>
      </c>
      <c r="O489" s="148">
        <v>51479.28994</v>
      </c>
      <c r="P489" s="146">
        <v>42603.5503</v>
      </c>
      <c r="Q489" s="146">
        <v>42603.5503</v>
      </c>
      <c r="R489" s="146">
        <v>46153.84615</v>
      </c>
      <c r="S489" s="146">
        <v>65680.47337</v>
      </c>
    </row>
    <row r="490">
      <c r="A490" s="145">
        <v>29.938</v>
      </c>
      <c r="B490" s="145">
        <f t="shared" si="1"/>
        <v>9669.974</v>
      </c>
      <c r="C490" s="145">
        <v>62130.17752</v>
      </c>
      <c r="D490" s="145">
        <v>60355.02959</v>
      </c>
      <c r="E490" s="146">
        <v>63905.32544</v>
      </c>
      <c r="F490" s="145">
        <v>67455.6213</v>
      </c>
      <c r="G490" s="146">
        <v>72781.06509</v>
      </c>
      <c r="H490" s="146">
        <v>92307.69231</v>
      </c>
      <c r="I490" s="146">
        <v>72781.06509</v>
      </c>
      <c r="J490" s="145">
        <v>76331.36095</v>
      </c>
      <c r="K490" s="145">
        <v>79881.65681</v>
      </c>
      <c r="L490" s="145">
        <v>85207.10059</v>
      </c>
      <c r="M490" s="145">
        <v>83431.95266</v>
      </c>
      <c r="N490" s="145">
        <v>56804.73373</v>
      </c>
      <c r="O490" s="148">
        <v>51479.28994</v>
      </c>
      <c r="P490" s="146">
        <v>42603.5503</v>
      </c>
      <c r="Q490" s="146">
        <v>42603.5503</v>
      </c>
      <c r="R490" s="146">
        <v>46153.84615</v>
      </c>
      <c r="S490" s="146">
        <v>65680.47337</v>
      </c>
    </row>
    <row r="491">
      <c r="A491" s="145">
        <v>30.0</v>
      </c>
      <c r="B491" s="145">
        <f t="shared" si="1"/>
        <v>9690</v>
      </c>
      <c r="C491" s="149">
        <v>62130.17752</v>
      </c>
      <c r="D491" s="145">
        <v>62130.17752</v>
      </c>
      <c r="E491" s="146">
        <v>63905.32544</v>
      </c>
      <c r="F491" s="147">
        <v>67455.6213</v>
      </c>
      <c r="G491" s="146">
        <v>72781.06509</v>
      </c>
      <c r="H491" s="146">
        <v>92307.69231</v>
      </c>
      <c r="I491" s="146">
        <v>72781.06509</v>
      </c>
      <c r="J491" s="147">
        <v>76331.36095</v>
      </c>
      <c r="K491" s="147">
        <v>79881.65681</v>
      </c>
      <c r="L491" s="147">
        <v>85207.10059</v>
      </c>
      <c r="M491" s="147">
        <v>83431.95266</v>
      </c>
      <c r="N491" s="145">
        <v>56804.73373</v>
      </c>
      <c r="O491" s="148">
        <v>51479.28994</v>
      </c>
      <c r="P491" s="147">
        <v>42603.5503</v>
      </c>
      <c r="Q491" s="146">
        <v>42603.5503</v>
      </c>
      <c r="R491" s="147">
        <v>46153.84615</v>
      </c>
      <c r="S491" s="147">
        <v>65680.47337</v>
      </c>
    </row>
    <row r="492">
      <c r="A492" s="145">
        <v>30.079</v>
      </c>
      <c r="B492" s="145">
        <f t="shared" si="1"/>
        <v>9715.517</v>
      </c>
      <c r="C492" s="145">
        <v>62130.17752</v>
      </c>
      <c r="D492" s="145">
        <v>62130.17752</v>
      </c>
      <c r="E492" s="146">
        <v>63905.32544</v>
      </c>
      <c r="F492" s="145">
        <v>67455.6213</v>
      </c>
      <c r="G492" s="146">
        <v>72781.06509</v>
      </c>
      <c r="H492" s="146">
        <v>92307.69231</v>
      </c>
      <c r="I492" s="146">
        <v>72781.06509</v>
      </c>
      <c r="J492" s="145">
        <v>76331.36095</v>
      </c>
      <c r="K492" s="145">
        <v>79881.65681</v>
      </c>
      <c r="L492" s="145">
        <v>85207.10059</v>
      </c>
      <c r="M492" s="145">
        <v>83431.95266</v>
      </c>
      <c r="N492" s="145">
        <v>56804.73373</v>
      </c>
      <c r="O492" s="148">
        <v>51479.28994</v>
      </c>
      <c r="P492" s="146">
        <v>42603.5503</v>
      </c>
      <c r="Q492" s="146">
        <v>42603.5503</v>
      </c>
      <c r="R492" s="146">
        <v>47928.99408</v>
      </c>
      <c r="S492" s="146">
        <v>65680.47337</v>
      </c>
    </row>
    <row r="493">
      <c r="A493" s="145">
        <v>30.125</v>
      </c>
      <c r="B493" s="145">
        <f t="shared" si="1"/>
        <v>9730.375</v>
      </c>
      <c r="C493" s="145">
        <v>62130.17752</v>
      </c>
      <c r="D493" s="145">
        <v>62130.17752</v>
      </c>
      <c r="E493" s="146">
        <v>63905.32544</v>
      </c>
      <c r="F493" s="145">
        <v>67455.6213</v>
      </c>
      <c r="G493" s="146">
        <v>72781.06509</v>
      </c>
      <c r="H493" s="146">
        <v>92307.69231</v>
      </c>
      <c r="I493" s="146">
        <v>72781.06509</v>
      </c>
      <c r="J493" s="145">
        <v>76331.36095</v>
      </c>
      <c r="K493" s="145">
        <v>79881.65681</v>
      </c>
      <c r="L493" s="145">
        <v>85207.10059</v>
      </c>
      <c r="M493" s="145">
        <v>83431.95266</v>
      </c>
      <c r="N493" s="145">
        <v>56804.73373</v>
      </c>
      <c r="O493" s="148">
        <v>51479.28994</v>
      </c>
      <c r="P493" s="146">
        <v>42603.5503</v>
      </c>
      <c r="Q493" s="146">
        <v>42603.5503</v>
      </c>
      <c r="R493" s="146">
        <v>47928.99408</v>
      </c>
      <c r="S493" s="146">
        <v>65680.47337</v>
      </c>
    </row>
    <row r="494">
      <c r="A494" s="145">
        <v>30.188</v>
      </c>
      <c r="B494" s="145">
        <f t="shared" si="1"/>
        <v>9750.724</v>
      </c>
      <c r="C494" s="145">
        <v>62130.17752</v>
      </c>
      <c r="D494" s="145">
        <v>62130.17752</v>
      </c>
      <c r="E494" s="146">
        <v>63905.32544</v>
      </c>
      <c r="F494" s="145">
        <v>67455.6213</v>
      </c>
      <c r="G494" s="146">
        <v>72781.06509</v>
      </c>
      <c r="H494" s="146">
        <v>92307.69231</v>
      </c>
      <c r="I494" s="146">
        <v>72781.06509</v>
      </c>
      <c r="J494" s="145">
        <v>78106.50888</v>
      </c>
      <c r="K494" s="145">
        <v>79881.65681</v>
      </c>
      <c r="L494" s="145">
        <v>85207.10059</v>
      </c>
      <c r="M494" s="145">
        <v>83431.95266</v>
      </c>
      <c r="N494" s="145">
        <v>56804.73373</v>
      </c>
      <c r="O494" s="148">
        <v>51479.28994</v>
      </c>
      <c r="P494" s="146">
        <v>42603.5503</v>
      </c>
      <c r="Q494" s="146">
        <v>42603.5503</v>
      </c>
      <c r="R494" s="146">
        <v>47928.99408</v>
      </c>
      <c r="S494" s="146">
        <v>65680.47337</v>
      </c>
    </row>
    <row r="495">
      <c r="A495" s="145">
        <v>30.25</v>
      </c>
      <c r="B495" s="145">
        <f t="shared" si="1"/>
        <v>9770.75</v>
      </c>
      <c r="C495" s="145">
        <v>62130.17752</v>
      </c>
      <c r="D495" s="145">
        <v>62130.17752</v>
      </c>
      <c r="E495" s="146">
        <v>63905.32544</v>
      </c>
      <c r="F495" s="145">
        <v>67455.6213</v>
      </c>
      <c r="G495" s="146">
        <v>72781.06509</v>
      </c>
      <c r="H495" s="146">
        <v>92307.69231</v>
      </c>
      <c r="I495" s="146">
        <v>72781.06509</v>
      </c>
      <c r="J495" s="145">
        <v>78106.50888</v>
      </c>
      <c r="K495" s="145">
        <v>79881.65681</v>
      </c>
      <c r="L495" s="145">
        <v>85207.10059</v>
      </c>
      <c r="M495" s="145">
        <v>83431.95266</v>
      </c>
      <c r="N495" s="145">
        <v>58579.88166</v>
      </c>
      <c r="O495" s="148">
        <v>51479.28994</v>
      </c>
      <c r="P495" s="146">
        <v>42603.5503</v>
      </c>
      <c r="Q495" s="146">
        <v>42603.5503</v>
      </c>
      <c r="R495" s="146">
        <v>47928.99408</v>
      </c>
      <c r="S495" s="146">
        <v>65680.47337</v>
      </c>
    </row>
    <row r="496">
      <c r="A496" s="145">
        <v>30.313</v>
      </c>
      <c r="B496" s="145">
        <f t="shared" si="1"/>
        <v>9791.099</v>
      </c>
      <c r="C496" s="145">
        <v>62130.17752</v>
      </c>
      <c r="D496" s="145">
        <v>62130.17752</v>
      </c>
      <c r="E496" s="146">
        <v>63905.32544</v>
      </c>
      <c r="F496" s="145">
        <v>67455.6213</v>
      </c>
      <c r="G496" s="146">
        <v>72781.06509</v>
      </c>
      <c r="H496" s="146">
        <v>92307.69231</v>
      </c>
      <c r="I496" s="146">
        <v>72781.06509</v>
      </c>
      <c r="J496" s="145">
        <v>78106.50888</v>
      </c>
      <c r="K496" s="145">
        <v>79881.65681</v>
      </c>
      <c r="L496" s="145">
        <v>85207.10059</v>
      </c>
      <c r="M496" s="145">
        <v>83431.95266</v>
      </c>
      <c r="N496" s="145">
        <v>58579.88166</v>
      </c>
      <c r="O496" s="148">
        <v>51479.28994</v>
      </c>
      <c r="P496" s="146">
        <v>42603.5503</v>
      </c>
      <c r="Q496" s="146">
        <v>42603.5503</v>
      </c>
      <c r="R496" s="146">
        <v>47928.99408</v>
      </c>
      <c r="S496" s="146">
        <v>65680.47337</v>
      </c>
    </row>
    <row r="497">
      <c r="A497" s="145">
        <v>30.375</v>
      </c>
      <c r="B497" s="145">
        <f t="shared" si="1"/>
        <v>9811.125</v>
      </c>
      <c r="C497" s="145">
        <v>62130.17752</v>
      </c>
      <c r="D497" s="145">
        <v>62130.17752</v>
      </c>
      <c r="E497" s="146">
        <v>63905.32544</v>
      </c>
      <c r="F497" s="145">
        <v>67455.6213</v>
      </c>
      <c r="G497" s="146">
        <v>74556.21302</v>
      </c>
      <c r="H497" s="146">
        <v>92307.69231</v>
      </c>
      <c r="I497" s="146">
        <v>72781.06509</v>
      </c>
      <c r="J497" s="145">
        <v>78106.50888</v>
      </c>
      <c r="K497" s="145">
        <v>79881.65681</v>
      </c>
      <c r="L497" s="145">
        <v>85207.10059</v>
      </c>
      <c r="M497" s="145">
        <v>83431.95266</v>
      </c>
      <c r="N497" s="145">
        <v>58579.88166</v>
      </c>
      <c r="O497" s="148">
        <v>51479.28994</v>
      </c>
      <c r="P497" s="146">
        <v>42603.5503</v>
      </c>
      <c r="Q497" s="146">
        <v>42603.5503</v>
      </c>
      <c r="R497" s="146">
        <v>47928.99408</v>
      </c>
      <c r="S497" s="146">
        <v>72781.06509</v>
      </c>
    </row>
    <row r="498">
      <c r="A498" s="145">
        <v>30.438</v>
      </c>
      <c r="B498" s="145">
        <f t="shared" si="1"/>
        <v>9831.474</v>
      </c>
      <c r="C498" s="145">
        <v>62130.17752</v>
      </c>
      <c r="D498" s="145">
        <v>62130.17752</v>
      </c>
      <c r="E498" s="146">
        <v>63905.32544</v>
      </c>
      <c r="F498" s="145">
        <v>67455.6213</v>
      </c>
      <c r="G498" s="146">
        <v>74556.21302</v>
      </c>
      <c r="H498" s="146">
        <v>92307.69231</v>
      </c>
      <c r="I498" s="146">
        <v>72781.06509</v>
      </c>
      <c r="J498" s="145">
        <v>78106.50888</v>
      </c>
      <c r="K498" s="145">
        <v>79881.65681</v>
      </c>
      <c r="L498" s="145">
        <v>85207.10059</v>
      </c>
      <c r="M498" s="145">
        <v>83431.95266</v>
      </c>
      <c r="N498" s="145">
        <v>58579.88166</v>
      </c>
      <c r="O498" s="148">
        <v>51479.28994</v>
      </c>
      <c r="P498" s="146">
        <v>42603.5503</v>
      </c>
      <c r="Q498" s="146">
        <v>42603.5503</v>
      </c>
      <c r="R498" s="146">
        <v>47928.99408</v>
      </c>
      <c r="S498" s="146">
        <v>72781.06509</v>
      </c>
    </row>
    <row r="499">
      <c r="A499" s="145">
        <v>30.516</v>
      </c>
      <c r="B499" s="145">
        <f t="shared" si="1"/>
        <v>9856.668</v>
      </c>
      <c r="C499" s="145">
        <v>62130.17752</v>
      </c>
      <c r="D499" s="145">
        <v>62130.17752</v>
      </c>
      <c r="E499" s="146">
        <v>63905.32544</v>
      </c>
      <c r="F499" s="145">
        <v>67455.6213</v>
      </c>
      <c r="G499" s="146">
        <v>74556.21302</v>
      </c>
      <c r="H499" s="146">
        <v>92307.69231</v>
      </c>
      <c r="I499" s="146">
        <v>76331.36095</v>
      </c>
      <c r="J499" s="145">
        <v>78106.50888</v>
      </c>
      <c r="K499" s="145">
        <v>79881.65681</v>
      </c>
      <c r="L499" s="145">
        <v>85207.10059</v>
      </c>
      <c r="M499" s="145">
        <v>83431.95266</v>
      </c>
      <c r="N499" s="145">
        <v>58579.88166</v>
      </c>
      <c r="O499" s="148">
        <v>51479.28994</v>
      </c>
      <c r="P499" s="146">
        <v>42603.5503</v>
      </c>
      <c r="Q499" s="146">
        <v>42603.5503</v>
      </c>
      <c r="R499" s="146">
        <v>47928.99408</v>
      </c>
      <c r="S499" s="146">
        <v>72781.06509</v>
      </c>
    </row>
    <row r="500">
      <c r="A500" s="145">
        <v>30.563</v>
      </c>
      <c r="B500" s="145">
        <f t="shared" si="1"/>
        <v>9871.849</v>
      </c>
      <c r="C500" s="145">
        <v>62130.17752</v>
      </c>
      <c r="D500" s="145">
        <v>62130.17752</v>
      </c>
      <c r="E500" s="146">
        <v>65680.47337</v>
      </c>
      <c r="F500" s="145">
        <v>67455.6213</v>
      </c>
      <c r="G500" s="146">
        <v>74556.21302</v>
      </c>
      <c r="H500" s="146">
        <v>92307.69231</v>
      </c>
      <c r="I500" s="146">
        <v>76331.36095</v>
      </c>
      <c r="J500" s="145">
        <v>78106.50888</v>
      </c>
      <c r="K500" s="145">
        <v>79881.65681</v>
      </c>
      <c r="L500" s="145">
        <v>85207.10059</v>
      </c>
      <c r="M500" s="145">
        <v>83431.95266</v>
      </c>
      <c r="N500" s="145">
        <v>58579.88166</v>
      </c>
      <c r="O500" s="148">
        <v>51479.28994</v>
      </c>
      <c r="P500" s="146">
        <v>42603.5503</v>
      </c>
      <c r="Q500" s="146">
        <v>42603.5503</v>
      </c>
      <c r="R500" s="146">
        <v>47928.99408</v>
      </c>
      <c r="S500" s="146">
        <v>72781.06509</v>
      </c>
    </row>
    <row r="501">
      <c r="A501" s="145">
        <v>30.625</v>
      </c>
      <c r="B501" s="145">
        <f t="shared" si="1"/>
        <v>9891.875</v>
      </c>
      <c r="C501" s="145">
        <v>62130.17752</v>
      </c>
      <c r="D501" s="145">
        <v>62130.17752</v>
      </c>
      <c r="E501" s="146">
        <v>65680.47337</v>
      </c>
      <c r="F501" s="145">
        <v>67455.6213</v>
      </c>
      <c r="G501" s="146">
        <v>74556.21302</v>
      </c>
      <c r="H501" s="146">
        <v>94082.84024</v>
      </c>
      <c r="I501" s="146">
        <v>76331.36095</v>
      </c>
      <c r="J501" s="145">
        <v>78106.50888</v>
      </c>
      <c r="K501" s="145">
        <v>79881.65681</v>
      </c>
      <c r="L501" s="145">
        <v>85207.10059</v>
      </c>
      <c r="M501" s="145">
        <v>83431.95266</v>
      </c>
      <c r="N501" s="145">
        <v>58579.88166</v>
      </c>
      <c r="O501" s="148">
        <v>51479.28994</v>
      </c>
      <c r="P501" s="146">
        <v>42603.5503</v>
      </c>
      <c r="Q501" s="146">
        <v>42603.5503</v>
      </c>
      <c r="R501" s="146">
        <v>47928.99408</v>
      </c>
      <c r="S501" s="146">
        <v>72781.06509</v>
      </c>
    </row>
    <row r="502">
      <c r="A502" s="145">
        <v>30.688</v>
      </c>
      <c r="B502" s="145">
        <f t="shared" si="1"/>
        <v>9912.224</v>
      </c>
      <c r="C502" s="145">
        <v>63905.32544</v>
      </c>
      <c r="D502" s="145">
        <v>62130.17752</v>
      </c>
      <c r="E502" s="146">
        <v>65680.47337</v>
      </c>
      <c r="F502" s="145">
        <v>69230.76923</v>
      </c>
      <c r="G502" s="146">
        <v>74556.21302</v>
      </c>
      <c r="H502" s="146">
        <v>94082.84024</v>
      </c>
      <c r="I502" s="146">
        <v>76331.36095</v>
      </c>
      <c r="J502" s="145">
        <v>78106.50888</v>
      </c>
      <c r="K502" s="145">
        <v>79881.65681</v>
      </c>
      <c r="L502" s="145">
        <v>85207.10059</v>
      </c>
      <c r="M502" s="145">
        <v>83431.95266</v>
      </c>
      <c r="N502" s="145">
        <v>58579.88166</v>
      </c>
      <c r="O502" s="148">
        <v>51479.28994</v>
      </c>
      <c r="P502" s="146">
        <v>42603.5503</v>
      </c>
      <c r="Q502" s="146">
        <v>42603.5503</v>
      </c>
      <c r="R502" s="146">
        <v>47928.99408</v>
      </c>
      <c r="S502" s="146">
        <v>72781.06509</v>
      </c>
    </row>
    <row r="503">
      <c r="A503" s="145">
        <v>30.75</v>
      </c>
      <c r="B503" s="145">
        <f t="shared" si="1"/>
        <v>9932.25</v>
      </c>
      <c r="C503" s="145">
        <v>63905.32544</v>
      </c>
      <c r="D503" s="145">
        <v>62130.17752</v>
      </c>
      <c r="E503" s="146">
        <v>65680.47337</v>
      </c>
      <c r="F503" s="145">
        <v>69230.76923</v>
      </c>
      <c r="G503" s="146">
        <v>74556.21302</v>
      </c>
      <c r="H503" s="146">
        <v>94082.84024</v>
      </c>
      <c r="I503" s="146">
        <v>76331.36095</v>
      </c>
      <c r="J503" s="145">
        <v>78106.50888</v>
      </c>
      <c r="K503" s="145">
        <v>79881.65681</v>
      </c>
      <c r="L503" s="145">
        <v>85207.10059</v>
      </c>
      <c r="M503" s="145">
        <v>83431.95266</v>
      </c>
      <c r="N503" s="145">
        <v>58579.88166</v>
      </c>
      <c r="O503" s="148">
        <v>51479.28994</v>
      </c>
      <c r="P503" s="146">
        <v>42603.5503</v>
      </c>
      <c r="Q503" s="146">
        <v>42603.5503</v>
      </c>
      <c r="R503" s="146">
        <v>47928.99408</v>
      </c>
      <c r="S503" s="146">
        <v>72781.06509</v>
      </c>
    </row>
    <row r="504">
      <c r="A504" s="145">
        <v>30.813</v>
      </c>
      <c r="B504" s="145">
        <f t="shared" si="1"/>
        <v>9952.599</v>
      </c>
      <c r="C504" s="145">
        <v>63905.32544</v>
      </c>
      <c r="D504" s="145">
        <v>62130.17752</v>
      </c>
      <c r="E504" s="146">
        <v>65680.47337</v>
      </c>
      <c r="F504" s="145">
        <v>69230.76923</v>
      </c>
      <c r="G504" s="146">
        <v>74556.21302</v>
      </c>
      <c r="H504" s="146">
        <v>94082.84024</v>
      </c>
      <c r="I504" s="146">
        <v>76331.36095</v>
      </c>
      <c r="J504" s="145">
        <v>78106.50888</v>
      </c>
      <c r="K504" s="145">
        <v>79881.65681</v>
      </c>
      <c r="L504" s="145">
        <v>85207.10059</v>
      </c>
      <c r="M504" s="145">
        <v>83431.95266</v>
      </c>
      <c r="N504" s="145">
        <v>58579.88166</v>
      </c>
      <c r="O504" s="148">
        <v>51479.28994</v>
      </c>
      <c r="P504" s="146">
        <v>42603.5503</v>
      </c>
      <c r="Q504" s="146">
        <v>42603.5503</v>
      </c>
      <c r="R504" s="146">
        <v>47928.99408</v>
      </c>
      <c r="S504" s="146">
        <v>72781.06509</v>
      </c>
    </row>
    <row r="505">
      <c r="A505" s="145">
        <v>30.891</v>
      </c>
      <c r="B505" s="145">
        <f t="shared" si="1"/>
        <v>9977.793</v>
      </c>
      <c r="C505" s="145">
        <v>63905.32544</v>
      </c>
      <c r="D505" s="145">
        <v>62130.17752</v>
      </c>
      <c r="E505" s="146">
        <v>65680.47337</v>
      </c>
      <c r="F505" s="145">
        <v>69230.76923</v>
      </c>
      <c r="G505" s="146">
        <v>74556.21302</v>
      </c>
      <c r="H505" s="146">
        <v>94082.84024</v>
      </c>
      <c r="I505" s="146">
        <v>76331.36095</v>
      </c>
      <c r="J505" s="145">
        <v>78106.50888</v>
      </c>
      <c r="K505" s="145">
        <v>79881.65681</v>
      </c>
      <c r="L505" s="145">
        <v>85207.10059</v>
      </c>
      <c r="M505" s="145">
        <v>83431.95266</v>
      </c>
      <c r="N505" s="145">
        <v>58579.88166</v>
      </c>
      <c r="O505" s="148">
        <v>51479.28994</v>
      </c>
      <c r="P505" s="146">
        <v>42603.5503</v>
      </c>
      <c r="Q505" s="146">
        <v>44378.69823</v>
      </c>
      <c r="R505" s="146">
        <v>47928.99408</v>
      </c>
      <c r="S505" s="146">
        <v>72781.06509</v>
      </c>
    </row>
    <row r="506">
      <c r="A506" s="145">
        <v>30.938</v>
      </c>
      <c r="B506" s="145">
        <f t="shared" si="1"/>
        <v>9992.974</v>
      </c>
      <c r="C506" s="145">
        <v>63905.32544</v>
      </c>
      <c r="D506" s="145">
        <v>62130.17752</v>
      </c>
      <c r="E506" s="146">
        <v>65680.47337</v>
      </c>
      <c r="F506" s="145">
        <v>69230.76923</v>
      </c>
      <c r="G506" s="146">
        <v>74556.21302</v>
      </c>
      <c r="H506" s="146">
        <v>94082.84024</v>
      </c>
      <c r="I506" s="146">
        <v>76331.36095</v>
      </c>
      <c r="J506" s="145">
        <v>78106.50888</v>
      </c>
      <c r="K506" s="145">
        <v>79881.65681</v>
      </c>
      <c r="L506" s="145">
        <v>85207.10059</v>
      </c>
      <c r="M506" s="145">
        <v>83431.95266</v>
      </c>
      <c r="N506" s="145">
        <v>58579.88166</v>
      </c>
      <c r="O506" s="148">
        <v>51479.28994</v>
      </c>
      <c r="P506" s="146">
        <v>44378.69823</v>
      </c>
      <c r="Q506" s="146">
        <v>44378.69823</v>
      </c>
      <c r="R506" s="146">
        <v>49704.14201</v>
      </c>
      <c r="S506" s="146">
        <v>72781.06509</v>
      </c>
    </row>
    <row r="507">
      <c r="A507" s="145">
        <v>31.0</v>
      </c>
      <c r="B507" s="145">
        <f t="shared" si="1"/>
        <v>10013</v>
      </c>
      <c r="C507" s="145">
        <v>63905.32544</v>
      </c>
      <c r="D507" s="145">
        <v>62130.17752</v>
      </c>
      <c r="E507" s="146">
        <v>67455.6213</v>
      </c>
      <c r="F507" s="145">
        <v>69230.76923</v>
      </c>
      <c r="G507" s="146">
        <v>74556.21302</v>
      </c>
      <c r="H507" s="146">
        <v>95857.98817</v>
      </c>
      <c r="I507" s="146">
        <v>76331.36095</v>
      </c>
      <c r="J507" s="145">
        <v>78106.50888</v>
      </c>
      <c r="K507" s="145">
        <v>79881.65681</v>
      </c>
      <c r="L507" s="145">
        <v>85207.10059</v>
      </c>
      <c r="M507" s="145">
        <v>83431.95266</v>
      </c>
      <c r="N507" s="145">
        <v>58579.88166</v>
      </c>
      <c r="O507" s="148">
        <v>51479.28994</v>
      </c>
      <c r="P507" s="146">
        <v>44378.69823</v>
      </c>
      <c r="Q507" s="146">
        <v>44378.69823</v>
      </c>
      <c r="R507" s="146">
        <v>49704.14201</v>
      </c>
      <c r="S507" s="146">
        <v>72781.06509</v>
      </c>
    </row>
    <row r="508">
      <c r="A508" s="145">
        <v>31.063</v>
      </c>
      <c r="B508" s="145">
        <f t="shared" si="1"/>
        <v>10033.349</v>
      </c>
      <c r="C508" s="145">
        <v>63905.32544</v>
      </c>
      <c r="D508" s="145">
        <v>62130.17752</v>
      </c>
      <c r="E508" s="146">
        <v>67455.6213</v>
      </c>
      <c r="F508" s="145">
        <v>69230.76923</v>
      </c>
      <c r="G508" s="146">
        <v>74556.21302</v>
      </c>
      <c r="H508" s="146">
        <v>95857.98817</v>
      </c>
      <c r="I508" s="146">
        <v>76331.36095</v>
      </c>
      <c r="J508" s="145">
        <v>78106.50888</v>
      </c>
      <c r="K508" s="145">
        <v>79881.65681</v>
      </c>
      <c r="L508" s="145">
        <v>85207.10059</v>
      </c>
      <c r="M508" s="145">
        <v>83431.95266</v>
      </c>
      <c r="N508" s="145">
        <v>58579.88166</v>
      </c>
      <c r="O508" s="148">
        <v>55029.5858</v>
      </c>
      <c r="P508" s="146">
        <v>44378.69823</v>
      </c>
      <c r="Q508" s="146">
        <v>44378.69823</v>
      </c>
      <c r="R508" s="146">
        <v>49704.14201</v>
      </c>
      <c r="S508" s="146">
        <v>72781.06509</v>
      </c>
    </row>
    <row r="509">
      <c r="A509" s="145">
        <v>31.125</v>
      </c>
      <c r="B509" s="145">
        <f t="shared" si="1"/>
        <v>10053.375</v>
      </c>
      <c r="C509" s="145">
        <v>63905.32544</v>
      </c>
      <c r="D509" s="145">
        <v>62130.17752</v>
      </c>
      <c r="E509" s="146">
        <v>67455.6213</v>
      </c>
      <c r="F509" s="145">
        <v>69230.76923</v>
      </c>
      <c r="G509" s="146">
        <v>74556.21302</v>
      </c>
      <c r="H509" s="146">
        <v>95857.98817</v>
      </c>
      <c r="I509" s="146">
        <v>76331.36095</v>
      </c>
      <c r="J509" s="145">
        <v>78106.50888</v>
      </c>
      <c r="K509" s="145">
        <v>79881.65681</v>
      </c>
      <c r="L509" s="145">
        <v>85207.10059</v>
      </c>
      <c r="M509" s="145">
        <v>83431.95266</v>
      </c>
      <c r="N509" s="145">
        <v>58579.88166</v>
      </c>
      <c r="O509" s="148">
        <v>55029.5858</v>
      </c>
      <c r="P509" s="146">
        <v>44378.69823</v>
      </c>
      <c r="Q509" s="146">
        <v>44378.69823</v>
      </c>
      <c r="R509" s="146">
        <v>49704.14201</v>
      </c>
      <c r="S509" s="146">
        <v>72781.06509</v>
      </c>
    </row>
    <row r="510">
      <c r="A510" s="145">
        <v>31.204</v>
      </c>
      <c r="B510" s="145">
        <f t="shared" si="1"/>
        <v>10078.892</v>
      </c>
      <c r="C510" s="145">
        <v>63905.32544</v>
      </c>
      <c r="D510" s="145">
        <v>62130.17752</v>
      </c>
      <c r="E510" s="146">
        <v>67455.6213</v>
      </c>
      <c r="F510" s="145">
        <v>69230.76923</v>
      </c>
      <c r="G510" s="146">
        <v>74556.21302</v>
      </c>
      <c r="H510" s="146">
        <v>95857.98817</v>
      </c>
      <c r="I510" s="146">
        <v>76331.36095</v>
      </c>
      <c r="J510" s="145">
        <v>78106.50888</v>
      </c>
      <c r="K510" s="145">
        <v>79881.65681</v>
      </c>
      <c r="L510" s="145">
        <v>85207.10059</v>
      </c>
      <c r="M510" s="145">
        <v>83431.95266</v>
      </c>
      <c r="N510" s="145">
        <v>58579.88166</v>
      </c>
      <c r="O510" s="148">
        <v>55029.5858</v>
      </c>
      <c r="P510" s="146">
        <v>44378.69823</v>
      </c>
      <c r="Q510" s="146">
        <v>44378.69823</v>
      </c>
      <c r="R510" s="146">
        <v>49704.14201</v>
      </c>
      <c r="S510" s="146">
        <v>72781.06509</v>
      </c>
    </row>
    <row r="511">
      <c r="A511" s="145">
        <v>31.25</v>
      </c>
      <c r="B511" s="145">
        <f t="shared" si="1"/>
        <v>10093.75</v>
      </c>
      <c r="C511" s="145">
        <v>63905.32544</v>
      </c>
      <c r="D511" s="145">
        <v>62130.17752</v>
      </c>
      <c r="E511" s="146">
        <v>67455.6213</v>
      </c>
      <c r="F511" s="145">
        <v>69230.76923</v>
      </c>
      <c r="G511" s="146">
        <v>74556.21302</v>
      </c>
      <c r="H511" s="146">
        <v>95857.98817</v>
      </c>
      <c r="I511" s="146">
        <v>76331.36095</v>
      </c>
      <c r="J511" s="145">
        <v>79881.65681</v>
      </c>
      <c r="K511" s="145">
        <v>79881.65681</v>
      </c>
      <c r="L511" s="145">
        <v>85207.10059</v>
      </c>
      <c r="M511" s="145">
        <v>83431.95266</v>
      </c>
      <c r="N511" s="145">
        <v>58579.88166</v>
      </c>
      <c r="O511" s="148">
        <v>55029.5858</v>
      </c>
      <c r="P511" s="146">
        <v>44378.69823</v>
      </c>
      <c r="Q511" s="146">
        <v>44378.69823</v>
      </c>
      <c r="R511" s="146">
        <v>49704.14201</v>
      </c>
      <c r="S511" s="146">
        <v>72781.06509</v>
      </c>
    </row>
    <row r="512">
      <c r="A512" s="145">
        <v>31.313</v>
      </c>
      <c r="B512" s="145">
        <f t="shared" si="1"/>
        <v>10114.099</v>
      </c>
      <c r="C512" s="145">
        <v>63905.32544</v>
      </c>
      <c r="D512" s="145">
        <v>62130.17752</v>
      </c>
      <c r="E512" s="146">
        <v>67455.6213</v>
      </c>
      <c r="F512" s="145">
        <v>69230.76923</v>
      </c>
      <c r="G512" s="146">
        <v>74556.21302</v>
      </c>
      <c r="H512" s="146">
        <v>95857.98817</v>
      </c>
      <c r="I512" s="146">
        <v>76331.36095</v>
      </c>
      <c r="J512" s="145">
        <v>79881.65681</v>
      </c>
      <c r="K512" s="145">
        <v>79881.65681</v>
      </c>
      <c r="L512" s="145">
        <v>85207.10059</v>
      </c>
      <c r="M512" s="145">
        <v>83431.95266</v>
      </c>
      <c r="N512" s="145">
        <v>58579.88166</v>
      </c>
      <c r="O512" s="148">
        <v>55029.5858</v>
      </c>
      <c r="P512" s="146">
        <v>44378.69823</v>
      </c>
      <c r="Q512" s="146">
        <v>44378.69823</v>
      </c>
      <c r="R512" s="146">
        <v>49704.14201</v>
      </c>
      <c r="S512" s="146">
        <v>72781.06509</v>
      </c>
    </row>
    <row r="513">
      <c r="A513" s="145">
        <v>31.375</v>
      </c>
      <c r="B513" s="145">
        <f t="shared" si="1"/>
        <v>10134.125</v>
      </c>
      <c r="C513" s="145">
        <v>65680.47337</v>
      </c>
      <c r="D513" s="145">
        <v>62130.17752</v>
      </c>
      <c r="E513" s="146">
        <v>67455.6213</v>
      </c>
      <c r="F513" s="145">
        <v>69230.76923</v>
      </c>
      <c r="G513" s="146">
        <v>74556.21302</v>
      </c>
      <c r="H513" s="146">
        <v>95857.98817</v>
      </c>
      <c r="I513" s="146">
        <v>76331.36095</v>
      </c>
      <c r="J513" s="145">
        <v>79881.65681</v>
      </c>
      <c r="K513" s="145">
        <v>79881.65681</v>
      </c>
      <c r="L513" s="145">
        <v>85207.10059</v>
      </c>
      <c r="M513" s="145">
        <v>83431.95266</v>
      </c>
      <c r="N513" s="145">
        <v>58579.88166</v>
      </c>
      <c r="O513" s="148">
        <v>55029.5858</v>
      </c>
      <c r="P513" s="146">
        <v>44378.69823</v>
      </c>
      <c r="Q513" s="146">
        <v>44378.69823</v>
      </c>
      <c r="R513" s="146">
        <v>49704.14201</v>
      </c>
      <c r="S513" s="146">
        <v>72781.06509</v>
      </c>
    </row>
    <row r="514">
      <c r="A514" s="145">
        <v>31.438</v>
      </c>
      <c r="B514" s="145">
        <f t="shared" si="1"/>
        <v>10154.474</v>
      </c>
      <c r="C514" s="145">
        <v>65680.47337</v>
      </c>
      <c r="D514" s="145">
        <v>62130.17752</v>
      </c>
      <c r="E514" s="146">
        <v>67455.6213</v>
      </c>
      <c r="F514" s="145">
        <v>69230.76923</v>
      </c>
      <c r="G514" s="146">
        <v>74556.21302</v>
      </c>
      <c r="H514" s="146">
        <v>95857.98817</v>
      </c>
      <c r="I514" s="146">
        <v>76331.36095</v>
      </c>
      <c r="J514" s="145">
        <v>79881.65681</v>
      </c>
      <c r="K514" s="145">
        <v>79881.65681</v>
      </c>
      <c r="L514" s="145">
        <v>85207.10059</v>
      </c>
      <c r="M514" s="145">
        <v>83431.95266</v>
      </c>
      <c r="N514" s="145">
        <v>58579.88166</v>
      </c>
      <c r="O514" s="148">
        <v>55029.5858</v>
      </c>
      <c r="P514" s="146">
        <v>44378.69823</v>
      </c>
      <c r="Q514" s="146">
        <v>44378.69823</v>
      </c>
      <c r="R514" s="146">
        <v>49704.14201</v>
      </c>
      <c r="S514" s="146">
        <v>72781.06509</v>
      </c>
    </row>
    <row r="515">
      <c r="A515" s="145">
        <v>31.5</v>
      </c>
      <c r="B515" s="145">
        <f t="shared" si="1"/>
        <v>10174.5</v>
      </c>
      <c r="C515" s="145">
        <v>65680.47337</v>
      </c>
      <c r="D515" s="145">
        <v>62130.17752</v>
      </c>
      <c r="E515" s="146">
        <v>67455.6213</v>
      </c>
      <c r="F515" s="145">
        <v>69230.76923</v>
      </c>
      <c r="G515" s="146">
        <v>74556.21302</v>
      </c>
      <c r="H515" s="146">
        <v>95857.98817</v>
      </c>
      <c r="I515" s="146">
        <v>76331.36095</v>
      </c>
      <c r="J515" s="145">
        <v>83431.95266</v>
      </c>
      <c r="K515" s="145">
        <v>79881.65681</v>
      </c>
      <c r="L515" s="145">
        <v>85207.10059</v>
      </c>
      <c r="M515" s="145">
        <v>83431.95266</v>
      </c>
      <c r="N515" s="145">
        <v>58579.88166</v>
      </c>
      <c r="O515" s="148">
        <v>55029.5858</v>
      </c>
      <c r="P515" s="146">
        <v>44378.69823</v>
      </c>
      <c r="Q515" s="146">
        <v>44378.69823</v>
      </c>
      <c r="R515" s="146">
        <v>49704.14201</v>
      </c>
      <c r="S515" s="146">
        <v>72781.06509</v>
      </c>
    </row>
    <row r="516">
      <c r="A516" s="145">
        <v>31.563</v>
      </c>
      <c r="B516" s="145">
        <f t="shared" si="1"/>
        <v>10194.849</v>
      </c>
      <c r="C516" s="145">
        <v>65680.47337</v>
      </c>
      <c r="D516" s="145">
        <v>62130.17752</v>
      </c>
      <c r="E516" s="146">
        <v>67455.6213</v>
      </c>
      <c r="F516" s="145">
        <v>69230.76923</v>
      </c>
      <c r="G516" s="146">
        <v>74556.21302</v>
      </c>
      <c r="H516" s="146">
        <v>95857.98817</v>
      </c>
      <c r="I516" s="146">
        <v>76331.36095</v>
      </c>
      <c r="J516" s="145">
        <v>83431.95266</v>
      </c>
      <c r="K516" s="145">
        <v>79881.65681</v>
      </c>
      <c r="L516" s="145">
        <v>85207.10059</v>
      </c>
      <c r="M516" s="145">
        <v>83431.95266</v>
      </c>
      <c r="N516" s="145">
        <v>58579.88166</v>
      </c>
      <c r="O516" s="148">
        <v>55029.5858</v>
      </c>
      <c r="P516" s="146">
        <v>44378.69823</v>
      </c>
      <c r="Q516" s="146">
        <v>44378.69823</v>
      </c>
      <c r="R516" s="146">
        <v>49704.14201</v>
      </c>
      <c r="S516" s="146">
        <v>72781.06509</v>
      </c>
    </row>
    <row r="517">
      <c r="A517" s="145">
        <v>31.625</v>
      </c>
      <c r="B517" s="145">
        <f t="shared" si="1"/>
        <v>10214.875</v>
      </c>
      <c r="C517" s="145">
        <v>65680.47337</v>
      </c>
      <c r="D517" s="145">
        <v>62130.17752</v>
      </c>
      <c r="E517" s="146">
        <v>67455.6213</v>
      </c>
      <c r="F517" s="145">
        <v>69230.76923</v>
      </c>
      <c r="G517" s="146">
        <v>74556.21302</v>
      </c>
      <c r="H517" s="146">
        <v>99408.28402</v>
      </c>
      <c r="I517" s="146">
        <v>76331.36095</v>
      </c>
      <c r="J517" s="145">
        <v>83431.95266</v>
      </c>
      <c r="K517" s="145">
        <v>79881.65681</v>
      </c>
      <c r="L517" s="145">
        <v>85207.10059</v>
      </c>
      <c r="M517" s="145">
        <v>83431.95266</v>
      </c>
      <c r="N517" s="145">
        <v>58579.88166</v>
      </c>
      <c r="O517" s="148">
        <v>55029.5858</v>
      </c>
      <c r="P517" s="146">
        <v>44378.69823</v>
      </c>
      <c r="Q517" s="146">
        <v>44378.69823</v>
      </c>
      <c r="R517" s="146">
        <v>49704.14201</v>
      </c>
      <c r="S517" s="146">
        <v>72781.06509</v>
      </c>
    </row>
    <row r="518">
      <c r="A518" s="145">
        <v>31.688</v>
      </c>
      <c r="B518" s="145">
        <f t="shared" si="1"/>
        <v>10235.224</v>
      </c>
      <c r="C518" s="145">
        <v>65680.47337</v>
      </c>
      <c r="D518" s="145">
        <v>62130.17752</v>
      </c>
      <c r="E518" s="146">
        <v>67455.6213</v>
      </c>
      <c r="F518" s="145">
        <v>69230.76923</v>
      </c>
      <c r="G518" s="146">
        <v>74556.21302</v>
      </c>
      <c r="H518" s="146">
        <v>99408.28402</v>
      </c>
      <c r="I518" s="146">
        <v>76331.36095</v>
      </c>
      <c r="J518" s="145">
        <v>83431.95266</v>
      </c>
      <c r="K518" s="145">
        <v>79881.65681</v>
      </c>
      <c r="L518" s="145">
        <v>85207.10059</v>
      </c>
      <c r="M518" s="145">
        <v>83431.95266</v>
      </c>
      <c r="N518" s="145">
        <v>58579.88166</v>
      </c>
      <c r="O518" s="148">
        <v>55029.5858</v>
      </c>
      <c r="P518" s="146">
        <v>44378.69823</v>
      </c>
      <c r="Q518" s="146">
        <v>44378.69823</v>
      </c>
      <c r="R518" s="146">
        <v>49704.14201</v>
      </c>
      <c r="S518" s="146">
        <v>72781.06509</v>
      </c>
    </row>
    <row r="519">
      <c r="A519" s="145">
        <v>31.75</v>
      </c>
      <c r="B519" s="145">
        <f t="shared" si="1"/>
        <v>10255.25</v>
      </c>
      <c r="C519" s="145">
        <v>65680.47337</v>
      </c>
      <c r="D519" s="145">
        <v>62130.17752</v>
      </c>
      <c r="E519" s="146">
        <v>67455.6213</v>
      </c>
      <c r="F519" s="145">
        <v>71005.91716</v>
      </c>
      <c r="G519" s="146">
        <v>74556.21302</v>
      </c>
      <c r="H519" s="146">
        <v>99408.28402</v>
      </c>
      <c r="I519" s="146">
        <v>76331.36095</v>
      </c>
      <c r="J519" s="145">
        <v>83431.95266</v>
      </c>
      <c r="K519" s="145">
        <v>90532.54438</v>
      </c>
      <c r="L519" s="145">
        <v>85207.10059</v>
      </c>
      <c r="M519" s="145">
        <v>83431.95266</v>
      </c>
      <c r="N519" s="145">
        <v>58579.88166</v>
      </c>
      <c r="O519" s="148">
        <v>55029.5858</v>
      </c>
      <c r="P519" s="146">
        <v>44378.69823</v>
      </c>
      <c r="Q519" s="146">
        <v>44378.69823</v>
      </c>
      <c r="R519" s="146">
        <v>49704.14201</v>
      </c>
      <c r="S519" s="146">
        <v>72781.06509</v>
      </c>
    </row>
    <row r="520">
      <c r="A520" s="145">
        <v>31.813</v>
      </c>
      <c r="B520" s="145">
        <f t="shared" si="1"/>
        <v>10275.599</v>
      </c>
      <c r="C520" s="145">
        <v>65680.47337</v>
      </c>
      <c r="D520" s="145">
        <v>62130.17752</v>
      </c>
      <c r="E520" s="146">
        <v>67455.6213</v>
      </c>
      <c r="F520" s="145">
        <v>71005.91716</v>
      </c>
      <c r="G520" s="146">
        <v>74556.21302</v>
      </c>
      <c r="H520" s="146">
        <v>99408.28402</v>
      </c>
      <c r="I520" s="146">
        <v>76331.36095</v>
      </c>
      <c r="J520" s="145">
        <v>83431.95266</v>
      </c>
      <c r="K520" s="145">
        <v>90532.54438</v>
      </c>
      <c r="L520" s="145">
        <v>85207.10059</v>
      </c>
      <c r="M520" s="145">
        <v>83431.95266</v>
      </c>
      <c r="N520" s="145">
        <v>58579.88166</v>
      </c>
      <c r="O520" s="148">
        <v>55029.5858</v>
      </c>
      <c r="P520" s="146">
        <v>44378.69823</v>
      </c>
      <c r="Q520" s="146">
        <v>44378.69823</v>
      </c>
      <c r="R520" s="146">
        <v>49704.14201</v>
      </c>
      <c r="S520" s="146">
        <v>72781.06509</v>
      </c>
    </row>
    <row r="521">
      <c r="A521" s="145">
        <v>31.891</v>
      </c>
      <c r="B521" s="145">
        <f t="shared" si="1"/>
        <v>10300.793</v>
      </c>
      <c r="C521" s="145">
        <v>65680.47337</v>
      </c>
      <c r="D521" s="145">
        <v>63905.32544</v>
      </c>
      <c r="E521" s="146">
        <v>67455.6213</v>
      </c>
      <c r="F521" s="145">
        <v>71005.91716</v>
      </c>
      <c r="G521" s="146">
        <v>74556.21302</v>
      </c>
      <c r="H521" s="146">
        <v>99408.28402</v>
      </c>
      <c r="I521" s="146">
        <v>76331.36095</v>
      </c>
      <c r="J521" s="145">
        <v>83431.95266</v>
      </c>
      <c r="K521" s="145">
        <v>90532.54438</v>
      </c>
      <c r="L521" s="145">
        <v>85207.10059</v>
      </c>
      <c r="M521" s="145">
        <v>83431.95266</v>
      </c>
      <c r="N521" s="145">
        <v>60355.02959</v>
      </c>
      <c r="O521" s="148">
        <v>55029.5858</v>
      </c>
      <c r="P521" s="146">
        <v>44378.69823</v>
      </c>
      <c r="Q521" s="146">
        <v>44378.69823</v>
      </c>
      <c r="R521" s="146">
        <v>49704.14201</v>
      </c>
      <c r="S521" s="146">
        <v>72781.06509</v>
      </c>
    </row>
    <row r="522">
      <c r="A522" s="145">
        <v>31.938</v>
      </c>
      <c r="B522" s="145">
        <f t="shared" si="1"/>
        <v>10315.974</v>
      </c>
      <c r="C522" s="145">
        <v>65680.47337</v>
      </c>
      <c r="D522" s="145">
        <v>63905.32544</v>
      </c>
      <c r="E522" s="146">
        <v>67455.6213</v>
      </c>
      <c r="F522" s="145">
        <v>71005.91716</v>
      </c>
      <c r="G522" s="146">
        <v>74556.21302</v>
      </c>
      <c r="H522" s="146">
        <v>99408.28402</v>
      </c>
      <c r="I522" s="146">
        <v>76331.36095</v>
      </c>
      <c r="J522" s="145">
        <v>83431.95266</v>
      </c>
      <c r="K522" s="145">
        <v>90532.54438</v>
      </c>
      <c r="L522" s="145">
        <v>85207.10059</v>
      </c>
      <c r="M522" s="145">
        <v>83431.95266</v>
      </c>
      <c r="N522" s="145">
        <v>60355.02959</v>
      </c>
      <c r="O522" s="148">
        <v>55029.5858</v>
      </c>
      <c r="P522" s="146">
        <v>44378.69823</v>
      </c>
      <c r="Q522" s="146">
        <v>44378.69823</v>
      </c>
      <c r="R522" s="146">
        <v>49704.14201</v>
      </c>
      <c r="S522" s="146">
        <v>72781.06509</v>
      </c>
    </row>
    <row r="523">
      <c r="A523" s="145">
        <v>32.0</v>
      </c>
      <c r="B523" s="145">
        <f t="shared" si="1"/>
        <v>10336</v>
      </c>
      <c r="C523" s="145">
        <v>65680.47337</v>
      </c>
      <c r="D523" s="145">
        <v>63905.32544</v>
      </c>
      <c r="E523" s="146">
        <v>67455.6213</v>
      </c>
      <c r="F523" s="145">
        <v>71005.91716</v>
      </c>
      <c r="G523" s="146">
        <v>74556.21302</v>
      </c>
      <c r="H523" s="146">
        <v>99408.28402</v>
      </c>
      <c r="I523" s="146">
        <v>76331.36095</v>
      </c>
      <c r="J523" s="145">
        <v>83431.95266</v>
      </c>
      <c r="K523" s="145">
        <v>90532.54438</v>
      </c>
      <c r="L523" s="145">
        <v>85207.10059</v>
      </c>
      <c r="M523" s="145">
        <v>83431.95266</v>
      </c>
      <c r="N523" s="145">
        <v>60355.02959</v>
      </c>
      <c r="O523" s="148">
        <v>56804.73373</v>
      </c>
      <c r="P523" s="146">
        <v>44378.69823</v>
      </c>
      <c r="Q523" s="146">
        <v>44378.69823</v>
      </c>
      <c r="R523" s="146">
        <v>49704.14201</v>
      </c>
      <c r="S523" s="146">
        <v>74556.21302</v>
      </c>
    </row>
    <row r="524">
      <c r="A524" s="145">
        <v>32.079</v>
      </c>
      <c r="B524" s="145">
        <f t="shared" si="1"/>
        <v>10361.517</v>
      </c>
      <c r="C524" s="145">
        <v>65680.47337</v>
      </c>
      <c r="D524" s="145">
        <v>63905.32544</v>
      </c>
      <c r="E524" s="146">
        <v>67455.6213</v>
      </c>
      <c r="F524" s="145">
        <v>71005.91716</v>
      </c>
      <c r="G524" s="146">
        <v>74556.21302</v>
      </c>
      <c r="H524" s="146">
        <v>99408.28402</v>
      </c>
      <c r="I524" s="146">
        <v>76331.36095</v>
      </c>
      <c r="J524" s="145">
        <v>83431.95266</v>
      </c>
      <c r="K524" s="145">
        <v>90532.54438</v>
      </c>
      <c r="L524" s="145">
        <v>85207.10059</v>
      </c>
      <c r="M524" s="145">
        <v>83431.95266</v>
      </c>
      <c r="N524" s="145">
        <v>60355.02959</v>
      </c>
      <c r="O524" s="148">
        <v>56804.73373</v>
      </c>
      <c r="P524" s="146">
        <v>44378.69823</v>
      </c>
      <c r="Q524" s="146">
        <v>44378.69823</v>
      </c>
      <c r="R524" s="146">
        <v>49704.14201</v>
      </c>
      <c r="S524" s="146">
        <v>74556.21302</v>
      </c>
    </row>
    <row r="525">
      <c r="A525" s="145">
        <v>32.125</v>
      </c>
      <c r="B525" s="145">
        <f t="shared" si="1"/>
        <v>10376.375</v>
      </c>
      <c r="C525" s="145">
        <v>65680.47337</v>
      </c>
      <c r="D525" s="145">
        <v>63905.32544</v>
      </c>
      <c r="E525" s="146">
        <v>67455.6213</v>
      </c>
      <c r="F525" s="145">
        <v>71005.91716</v>
      </c>
      <c r="G525" s="146">
        <v>74556.21302</v>
      </c>
      <c r="H525" s="146">
        <v>99408.28402</v>
      </c>
      <c r="I525" s="146">
        <v>76331.36095</v>
      </c>
      <c r="J525" s="145">
        <v>83431.95266</v>
      </c>
      <c r="K525" s="145">
        <v>90532.54438</v>
      </c>
      <c r="L525" s="145">
        <v>85207.10059</v>
      </c>
      <c r="M525" s="145">
        <v>83431.95266</v>
      </c>
      <c r="N525" s="145">
        <v>60355.02959</v>
      </c>
      <c r="O525" s="148">
        <v>56804.73373</v>
      </c>
      <c r="P525" s="146">
        <v>44378.69823</v>
      </c>
      <c r="Q525" s="146">
        <v>44378.69823</v>
      </c>
      <c r="R525" s="146">
        <v>49704.14201</v>
      </c>
      <c r="S525" s="146">
        <v>74556.21302</v>
      </c>
    </row>
    <row r="526">
      <c r="A526" s="145">
        <v>32.188</v>
      </c>
      <c r="B526" s="145">
        <f t="shared" si="1"/>
        <v>10396.724</v>
      </c>
      <c r="C526" s="145">
        <v>65680.47337</v>
      </c>
      <c r="D526" s="145">
        <v>63905.32544</v>
      </c>
      <c r="E526" s="146">
        <v>67455.6213</v>
      </c>
      <c r="F526" s="145">
        <v>71005.91716</v>
      </c>
      <c r="G526" s="146">
        <v>74556.21302</v>
      </c>
      <c r="H526" s="146">
        <v>99408.28402</v>
      </c>
      <c r="I526" s="146">
        <v>76331.36095</v>
      </c>
      <c r="J526" s="145">
        <v>83431.95266</v>
      </c>
      <c r="K526" s="145">
        <v>90532.54438</v>
      </c>
      <c r="L526" s="145">
        <v>86982.24852</v>
      </c>
      <c r="M526" s="145">
        <v>83431.95266</v>
      </c>
      <c r="N526" s="145">
        <v>60355.02959</v>
      </c>
      <c r="O526" s="148">
        <v>56804.73373</v>
      </c>
      <c r="P526" s="146">
        <v>44378.69823</v>
      </c>
      <c r="Q526" s="146">
        <v>44378.69823</v>
      </c>
      <c r="R526" s="146">
        <v>49704.14201</v>
      </c>
      <c r="S526" s="146">
        <v>74556.21302</v>
      </c>
    </row>
    <row r="527">
      <c r="A527" s="145">
        <v>32.25</v>
      </c>
      <c r="B527" s="145">
        <f t="shared" si="1"/>
        <v>10416.75</v>
      </c>
      <c r="C527" s="145">
        <v>65680.47337</v>
      </c>
      <c r="D527" s="145">
        <v>65680.47337</v>
      </c>
      <c r="E527" s="146">
        <v>67455.6213</v>
      </c>
      <c r="F527" s="145">
        <v>71005.91716</v>
      </c>
      <c r="G527" s="146">
        <v>74556.21302</v>
      </c>
      <c r="H527" s="146">
        <v>99408.28402</v>
      </c>
      <c r="I527" s="146">
        <v>76331.36095</v>
      </c>
      <c r="J527" s="145">
        <v>83431.95266</v>
      </c>
      <c r="K527" s="145">
        <v>90532.54438</v>
      </c>
      <c r="L527" s="145">
        <v>86982.24852</v>
      </c>
      <c r="M527" s="145">
        <v>83431.95266</v>
      </c>
      <c r="N527" s="145">
        <v>60355.02959</v>
      </c>
      <c r="O527" s="148">
        <v>56804.73373</v>
      </c>
      <c r="P527" s="146">
        <v>44378.69823</v>
      </c>
      <c r="Q527" s="146">
        <v>44378.69823</v>
      </c>
      <c r="R527" s="146">
        <v>49704.14201</v>
      </c>
      <c r="S527" s="146">
        <v>74556.21302</v>
      </c>
    </row>
    <row r="528">
      <c r="A528" s="145">
        <v>32.313</v>
      </c>
      <c r="B528" s="145">
        <f t="shared" si="1"/>
        <v>10437.099</v>
      </c>
      <c r="C528" s="145">
        <v>65680.47337</v>
      </c>
      <c r="D528" s="145">
        <v>65680.47337</v>
      </c>
      <c r="E528" s="146">
        <v>69230.76923</v>
      </c>
      <c r="F528" s="145">
        <v>71005.91716</v>
      </c>
      <c r="G528" s="146">
        <v>74556.21302</v>
      </c>
      <c r="H528" s="146">
        <v>99408.28402</v>
      </c>
      <c r="I528" s="146">
        <v>76331.36095</v>
      </c>
      <c r="J528" s="145">
        <v>83431.95266</v>
      </c>
      <c r="K528" s="145">
        <v>92307.69231</v>
      </c>
      <c r="L528" s="145">
        <v>86982.24852</v>
      </c>
      <c r="M528" s="145">
        <v>83431.95266</v>
      </c>
      <c r="N528" s="145">
        <v>60355.02959</v>
      </c>
      <c r="O528" s="148">
        <v>56804.73373</v>
      </c>
      <c r="P528" s="146">
        <v>44378.69823</v>
      </c>
      <c r="Q528" s="146">
        <v>44378.69823</v>
      </c>
      <c r="R528" s="146">
        <v>51479.28994</v>
      </c>
      <c r="S528" s="146">
        <v>74556.21302</v>
      </c>
    </row>
    <row r="529">
      <c r="A529" s="145">
        <v>32.375</v>
      </c>
      <c r="B529" s="145">
        <f t="shared" si="1"/>
        <v>10457.125</v>
      </c>
      <c r="C529" s="145">
        <v>65680.47337</v>
      </c>
      <c r="D529" s="145">
        <v>65680.47337</v>
      </c>
      <c r="E529" s="146">
        <v>69230.76923</v>
      </c>
      <c r="F529" s="145">
        <v>71005.91716</v>
      </c>
      <c r="G529" s="146">
        <v>74556.21302</v>
      </c>
      <c r="H529" s="146">
        <v>99408.28402</v>
      </c>
      <c r="I529" s="146">
        <v>76331.36095</v>
      </c>
      <c r="J529" s="145">
        <v>83431.95266</v>
      </c>
      <c r="K529" s="145">
        <v>92307.69231</v>
      </c>
      <c r="L529" s="145">
        <v>86982.24852</v>
      </c>
      <c r="M529" s="145">
        <v>83431.95266</v>
      </c>
      <c r="N529" s="145">
        <v>62130.17752</v>
      </c>
      <c r="O529" s="148">
        <v>56804.73373</v>
      </c>
      <c r="P529" s="146">
        <v>44378.69823</v>
      </c>
      <c r="Q529" s="146">
        <v>44378.69823</v>
      </c>
      <c r="R529" s="146">
        <v>51479.28994</v>
      </c>
      <c r="S529" s="146">
        <v>74556.21302</v>
      </c>
    </row>
    <row r="530">
      <c r="A530" s="145">
        <v>32.438</v>
      </c>
      <c r="B530" s="145">
        <f t="shared" si="1"/>
        <v>10477.474</v>
      </c>
      <c r="C530" s="145">
        <v>65680.47337</v>
      </c>
      <c r="D530" s="145">
        <v>65680.47337</v>
      </c>
      <c r="E530" s="146">
        <v>69230.76923</v>
      </c>
      <c r="F530" s="145">
        <v>71005.91716</v>
      </c>
      <c r="G530" s="146">
        <v>76331.36095</v>
      </c>
      <c r="H530" s="146">
        <v>99408.28402</v>
      </c>
      <c r="I530" s="146">
        <v>76331.36095</v>
      </c>
      <c r="J530" s="145">
        <v>83431.95266</v>
      </c>
      <c r="K530" s="145">
        <v>92307.69231</v>
      </c>
      <c r="L530" s="145">
        <v>86982.24852</v>
      </c>
      <c r="M530" s="145">
        <v>83431.95266</v>
      </c>
      <c r="N530" s="145">
        <v>62130.17752</v>
      </c>
      <c r="O530" s="148">
        <v>56804.73373</v>
      </c>
      <c r="P530" s="146">
        <v>44378.69823</v>
      </c>
      <c r="Q530" s="146">
        <v>44378.69823</v>
      </c>
      <c r="R530" s="146">
        <v>51479.28994</v>
      </c>
      <c r="S530" s="146">
        <v>74556.21302</v>
      </c>
    </row>
    <row r="531">
      <c r="A531" s="145">
        <v>32.5</v>
      </c>
      <c r="B531" s="145">
        <f t="shared" si="1"/>
        <v>10497.5</v>
      </c>
      <c r="C531" s="145">
        <v>65680.47337</v>
      </c>
      <c r="D531" s="145">
        <v>65680.47337</v>
      </c>
      <c r="E531" s="146">
        <v>69230.76923</v>
      </c>
      <c r="F531" s="145">
        <v>71005.91716</v>
      </c>
      <c r="G531" s="146">
        <v>76331.36095</v>
      </c>
      <c r="H531" s="146">
        <v>99408.28402</v>
      </c>
      <c r="I531" s="146">
        <v>76331.36095</v>
      </c>
      <c r="J531" s="145">
        <v>83431.95266</v>
      </c>
      <c r="K531" s="145">
        <v>92307.69231</v>
      </c>
      <c r="L531" s="145">
        <v>86982.24852</v>
      </c>
      <c r="M531" s="145">
        <v>83431.95266</v>
      </c>
      <c r="N531" s="145">
        <v>62130.17752</v>
      </c>
      <c r="O531" s="148">
        <v>56804.73373</v>
      </c>
      <c r="P531" s="146">
        <v>44378.69823</v>
      </c>
      <c r="Q531" s="146">
        <v>44378.69823</v>
      </c>
      <c r="R531" s="146">
        <v>51479.28994</v>
      </c>
      <c r="S531" s="146">
        <v>74556.21302</v>
      </c>
    </row>
    <row r="532">
      <c r="A532" s="145">
        <v>32.563</v>
      </c>
      <c r="B532" s="145">
        <f t="shared" si="1"/>
        <v>10517.849</v>
      </c>
      <c r="C532" s="145">
        <v>65680.47337</v>
      </c>
      <c r="D532" s="145">
        <v>65680.47337</v>
      </c>
      <c r="E532" s="146">
        <v>69230.76923</v>
      </c>
      <c r="F532" s="145">
        <v>71005.91716</v>
      </c>
      <c r="G532" s="146">
        <v>76331.36095</v>
      </c>
      <c r="H532" s="146">
        <v>99408.28402</v>
      </c>
      <c r="I532" s="146">
        <v>76331.36095</v>
      </c>
      <c r="J532" s="145">
        <v>83431.95266</v>
      </c>
      <c r="K532" s="145">
        <v>92307.69231</v>
      </c>
      <c r="L532" s="145">
        <v>86982.24852</v>
      </c>
      <c r="M532" s="145">
        <v>83431.95266</v>
      </c>
      <c r="N532" s="145">
        <v>62130.17752</v>
      </c>
      <c r="O532" s="148">
        <v>56804.73373</v>
      </c>
      <c r="P532" s="146">
        <v>44378.69823</v>
      </c>
      <c r="Q532" s="146">
        <v>44378.69823</v>
      </c>
      <c r="R532" s="146">
        <v>51479.28994</v>
      </c>
      <c r="S532" s="146">
        <v>74556.21302</v>
      </c>
    </row>
    <row r="533">
      <c r="A533" s="145">
        <v>32.625</v>
      </c>
      <c r="B533" s="145">
        <f t="shared" si="1"/>
        <v>10537.875</v>
      </c>
      <c r="C533" s="145">
        <v>67455.6213</v>
      </c>
      <c r="D533" s="145">
        <v>65680.47337</v>
      </c>
      <c r="E533" s="146">
        <v>69230.76923</v>
      </c>
      <c r="F533" s="145">
        <v>71005.91716</v>
      </c>
      <c r="G533" s="146">
        <v>76331.36095</v>
      </c>
      <c r="H533" s="146">
        <v>101183.432</v>
      </c>
      <c r="I533" s="146">
        <v>76331.36095</v>
      </c>
      <c r="J533" s="145">
        <v>83431.95266</v>
      </c>
      <c r="K533" s="145">
        <v>92307.69231</v>
      </c>
      <c r="L533" s="145">
        <v>86982.24852</v>
      </c>
      <c r="M533" s="145">
        <v>85207.10059</v>
      </c>
      <c r="N533" s="145">
        <v>62130.17752</v>
      </c>
      <c r="O533" s="148">
        <v>56804.73373</v>
      </c>
      <c r="P533" s="146">
        <v>44378.69823</v>
      </c>
      <c r="Q533" s="146">
        <v>44378.69823</v>
      </c>
      <c r="R533" s="146">
        <v>51479.28994</v>
      </c>
      <c r="S533" s="146">
        <v>74556.21302</v>
      </c>
    </row>
    <row r="534">
      <c r="A534" s="145">
        <v>32.688</v>
      </c>
      <c r="B534" s="145">
        <f t="shared" si="1"/>
        <v>10558.224</v>
      </c>
      <c r="C534" s="145">
        <v>67455.6213</v>
      </c>
      <c r="D534" s="145">
        <v>65680.47337</v>
      </c>
      <c r="E534" s="146">
        <v>69230.76923</v>
      </c>
      <c r="F534" s="145">
        <v>71005.91716</v>
      </c>
      <c r="G534" s="146">
        <v>76331.36095</v>
      </c>
      <c r="H534" s="146">
        <v>101183.432</v>
      </c>
      <c r="I534" s="146">
        <v>76331.36095</v>
      </c>
      <c r="J534" s="145">
        <v>83431.95266</v>
      </c>
      <c r="K534" s="145">
        <v>92307.69231</v>
      </c>
      <c r="L534" s="145">
        <v>86982.24852</v>
      </c>
      <c r="M534" s="145">
        <v>85207.10059</v>
      </c>
      <c r="N534" s="145">
        <v>62130.17752</v>
      </c>
      <c r="O534" s="148">
        <v>56804.73373</v>
      </c>
      <c r="P534" s="146">
        <v>44378.69823</v>
      </c>
      <c r="Q534" s="146">
        <v>44378.69823</v>
      </c>
      <c r="R534" s="146">
        <v>51479.28994</v>
      </c>
      <c r="S534" s="146">
        <v>74556.21302</v>
      </c>
    </row>
    <row r="535">
      <c r="A535" s="145">
        <v>32.75</v>
      </c>
      <c r="B535" s="145">
        <f t="shared" si="1"/>
        <v>10578.25</v>
      </c>
      <c r="C535" s="145">
        <v>67455.6213</v>
      </c>
      <c r="D535" s="145">
        <v>65680.47337</v>
      </c>
      <c r="E535" s="146">
        <v>69230.76923</v>
      </c>
      <c r="F535" s="145">
        <v>71005.91716</v>
      </c>
      <c r="G535" s="146">
        <v>76331.36095</v>
      </c>
      <c r="H535" s="146">
        <v>101183.432</v>
      </c>
      <c r="I535" s="146">
        <v>76331.36095</v>
      </c>
      <c r="J535" s="145">
        <v>83431.95266</v>
      </c>
      <c r="K535" s="145">
        <v>92307.69231</v>
      </c>
      <c r="L535" s="145">
        <v>86982.24852</v>
      </c>
      <c r="M535" s="145">
        <v>85207.10059</v>
      </c>
      <c r="N535" s="145">
        <v>62130.17752</v>
      </c>
      <c r="O535" s="148">
        <v>56804.73373</v>
      </c>
      <c r="P535" s="146">
        <v>44378.69823</v>
      </c>
      <c r="Q535" s="146">
        <v>44378.69823</v>
      </c>
      <c r="R535" s="146">
        <v>51479.28994</v>
      </c>
      <c r="S535" s="146">
        <v>74556.21302</v>
      </c>
    </row>
    <row r="536">
      <c r="A536" s="145">
        <v>32.813</v>
      </c>
      <c r="B536" s="145">
        <f t="shared" si="1"/>
        <v>10598.599</v>
      </c>
      <c r="C536" s="145">
        <v>67455.6213</v>
      </c>
      <c r="D536" s="145">
        <v>65680.47337</v>
      </c>
      <c r="E536" s="146">
        <v>69230.76923</v>
      </c>
      <c r="F536" s="145">
        <v>71005.91716</v>
      </c>
      <c r="G536" s="146">
        <v>76331.36095</v>
      </c>
      <c r="H536" s="146">
        <v>101183.432</v>
      </c>
      <c r="I536" s="146">
        <v>76331.36095</v>
      </c>
      <c r="J536" s="145">
        <v>85207.10059</v>
      </c>
      <c r="K536" s="145">
        <v>94082.84024</v>
      </c>
      <c r="L536" s="145">
        <v>86982.24852</v>
      </c>
      <c r="M536" s="145">
        <v>85207.10059</v>
      </c>
      <c r="N536" s="145">
        <v>62130.17752</v>
      </c>
      <c r="O536" s="148">
        <v>56804.73373</v>
      </c>
      <c r="P536" s="146">
        <v>44378.69823</v>
      </c>
      <c r="Q536" s="146">
        <v>44378.69823</v>
      </c>
      <c r="R536" s="146">
        <v>51479.28994</v>
      </c>
      <c r="S536" s="146">
        <v>74556.21302</v>
      </c>
    </row>
    <row r="537">
      <c r="A537" s="145">
        <v>32.875</v>
      </c>
      <c r="B537" s="145">
        <f t="shared" si="1"/>
        <v>10618.625</v>
      </c>
      <c r="C537" s="145">
        <v>67455.6213</v>
      </c>
      <c r="D537" s="145">
        <v>65680.47337</v>
      </c>
      <c r="E537" s="146">
        <v>69230.76923</v>
      </c>
      <c r="F537" s="145">
        <v>72781.06509</v>
      </c>
      <c r="G537" s="146">
        <v>76331.36095</v>
      </c>
      <c r="H537" s="146">
        <v>101183.432</v>
      </c>
      <c r="I537" s="146">
        <v>76331.36095</v>
      </c>
      <c r="J537" s="145">
        <v>85207.10059</v>
      </c>
      <c r="K537" s="145">
        <v>94082.84024</v>
      </c>
      <c r="L537" s="145">
        <v>86982.24852</v>
      </c>
      <c r="M537" s="145">
        <v>85207.10059</v>
      </c>
      <c r="N537" s="145">
        <v>62130.17752</v>
      </c>
      <c r="O537" s="148">
        <v>56804.73373</v>
      </c>
      <c r="P537" s="146">
        <v>44378.69823</v>
      </c>
      <c r="Q537" s="146">
        <v>44378.69823</v>
      </c>
      <c r="R537" s="146">
        <v>51479.28994</v>
      </c>
      <c r="S537" s="146">
        <v>74556.21302</v>
      </c>
    </row>
    <row r="538">
      <c r="A538" s="145">
        <v>32.938</v>
      </c>
      <c r="B538" s="145">
        <f t="shared" si="1"/>
        <v>10638.974</v>
      </c>
      <c r="C538" s="145">
        <v>67455.6213</v>
      </c>
      <c r="D538" s="145">
        <v>65680.47337</v>
      </c>
      <c r="E538" s="146">
        <v>69230.76923</v>
      </c>
      <c r="F538" s="145">
        <v>72781.06509</v>
      </c>
      <c r="G538" s="146">
        <v>76331.36095</v>
      </c>
      <c r="H538" s="146">
        <v>101183.432</v>
      </c>
      <c r="I538" s="146">
        <v>76331.36095</v>
      </c>
      <c r="J538" s="145">
        <v>85207.10059</v>
      </c>
      <c r="K538" s="145">
        <v>94082.84024</v>
      </c>
      <c r="L538" s="145">
        <v>86982.24852</v>
      </c>
      <c r="M538" s="145">
        <v>85207.10059</v>
      </c>
      <c r="N538" s="145">
        <v>62130.17752</v>
      </c>
      <c r="O538" s="148">
        <v>56804.73373</v>
      </c>
      <c r="P538" s="146">
        <v>44378.69823</v>
      </c>
      <c r="Q538" s="146">
        <v>46153.84615</v>
      </c>
      <c r="R538" s="146">
        <v>51479.28994</v>
      </c>
      <c r="S538" s="146">
        <v>74556.21302</v>
      </c>
    </row>
    <row r="539">
      <c r="A539" s="145">
        <v>33.0</v>
      </c>
      <c r="B539" s="145">
        <f t="shared" si="1"/>
        <v>10659</v>
      </c>
      <c r="C539" s="145">
        <v>67455.6213</v>
      </c>
      <c r="D539" s="145">
        <v>65680.47337</v>
      </c>
      <c r="E539" s="146">
        <v>69230.76923</v>
      </c>
      <c r="F539" s="145">
        <v>72781.06509</v>
      </c>
      <c r="G539" s="146">
        <v>76331.36095</v>
      </c>
      <c r="H539" s="146">
        <v>101183.432</v>
      </c>
      <c r="I539" s="146">
        <v>76331.36095</v>
      </c>
      <c r="J539" s="145">
        <v>85207.10059</v>
      </c>
      <c r="K539" s="145">
        <v>94082.84024</v>
      </c>
      <c r="L539" s="145">
        <v>86982.24852</v>
      </c>
      <c r="M539" s="145">
        <v>85207.10059</v>
      </c>
      <c r="N539" s="145">
        <v>62130.17752</v>
      </c>
      <c r="O539" s="148">
        <v>56804.73373</v>
      </c>
      <c r="P539" s="146">
        <v>44378.69823</v>
      </c>
      <c r="Q539" s="146">
        <v>46153.84615</v>
      </c>
      <c r="R539" s="146">
        <v>51479.28994</v>
      </c>
      <c r="S539" s="146">
        <v>74556.21302</v>
      </c>
    </row>
    <row r="540">
      <c r="A540" s="145">
        <v>33.063</v>
      </c>
      <c r="B540" s="145">
        <f t="shared" si="1"/>
        <v>10679.349</v>
      </c>
      <c r="C540" s="145">
        <v>67455.6213</v>
      </c>
      <c r="D540" s="145">
        <v>65680.47337</v>
      </c>
      <c r="E540" s="146">
        <v>69230.76923</v>
      </c>
      <c r="F540" s="145">
        <v>72781.06509</v>
      </c>
      <c r="G540" s="146">
        <v>76331.36095</v>
      </c>
      <c r="H540" s="146">
        <v>101183.432</v>
      </c>
      <c r="I540" s="146">
        <v>76331.36095</v>
      </c>
      <c r="J540" s="145">
        <v>85207.10059</v>
      </c>
      <c r="K540" s="145">
        <v>94082.84024</v>
      </c>
      <c r="L540" s="145">
        <v>86982.24852</v>
      </c>
      <c r="M540" s="145">
        <v>85207.10059</v>
      </c>
      <c r="N540" s="145">
        <v>62130.17752</v>
      </c>
      <c r="O540" s="148">
        <v>56804.73373</v>
      </c>
      <c r="P540" s="146">
        <v>44378.69823</v>
      </c>
      <c r="Q540" s="146">
        <v>46153.84615</v>
      </c>
      <c r="R540" s="146">
        <v>51479.28994</v>
      </c>
      <c r="S540" s="146">
        <v>74556.21302</v>
      </c>
    </row>
    <row r="541">
      <c r="A541" s="145">
        <v>33.125</v>
      </c>
      <c r="B541" s="145">
        <f t="shared" si="1"/>
        <v>10699.375</v>
      </c>
      <c r="C541" s="145">
        <v>67455.6213</v>
      </c>
      <c r="D541" s="145">
        <v>65680.47337</v>
      </c>
      <c r="E541" s="146">
        <v>69230.76923</v>
      </c>
      <c r="F541" s="145">
        <v>72781.06509</v>
      </c>
      <c r="G541" s="146">
        <v>76331.36095</v>
      </c>
      <c r="H541" s="146">
        <v>101183.432</v>
      </c>
      <c r="I541" s="146">
        <v>76331.36095</v>
      </c>
      <c r="J541" s="145">
        <v>85207.10059</v>
      </c>
      <c r="K541" s="145">
        <v>94082.84024</v>
      </c>
      <c r="L541" s="145">
        <v>86982.24852</v>
      </c>
      <c r="M541" s="145">
        <v>85207.10059</v>
      </c>
      <c r="N541" s="145">
        <v>62130.17752</v>
      </c>
      <c r="O541" s="148">
        <v>56804.73373</v>
      </c>
      <c r="P541" s="146">
        <v>44378.69823</v>
      </c>
      <c r="Q541" s="146">
        <v>46153.84615</v>
      </c>
      <c r="R541" s="146">
        <v>51479.28994</v>
      </c>
      <c r="S541" s="146">
        <v>74556.21302</v>
      </c>
    </row>
    <row r="542">
      <c r="A542" s="145">
        <v>33.188</v>
      </c>
      <c r="B542" s="145">
        <f t="shared" si="1"/>
        <v>10719.724</v>
      </c>
      <c r="C542" s="145">
        <v>67455.6213</v>
      </c>
      <c r="D542" s="145">
        <v>65680.47337</v>
      </c>
      <c r="E542" s="146">
        <v>71005.91716</v>
      </c>
      <c r="F542" s="145">
        <v>72781.06509</v>
      </c>
      <c r="G542" s="146">
        <v>76331.36095</v>
      </c>
      <c r="H542" s="146">
        <v>101183.432</v>
      </c>
      <c r="I542" s="146">
        <v>76331.36095</v>
      </c>
      <c r="J542" s="145">
        <v>85207.10059</v>
      </c>
      <c r="K542" s="145">
        <v>94082.84024</v>
      </c>
      <c r="L542" s="145">
        <v>86982.24852</v>
      </c>
      <c r="M542" s="145">
        <v>85207.10059</v>
      </c>
      <c r="N542" s="145">
        <v>62130.17752</v>
      </c>
      <c r="O542" s="148">
        <v>56804.73373</v>
      </c>
      <c r="P542" s="146">
        <v>44378.69823</v>
      </c>
      <c r="Q542" s="146">
        <v>46153.84615</v>
      </c>
      <c r="R542" s="146">
        <v>51479.28994</v>
      </c>
      <c r="S542" s="146">
        <v>74556.21302</v>
      </c>
    </row>
    <row r="543">
      <c r="A543" s="145">
        <v>33.25</v>
      </c>
      <c r="B543" s="145">
        <f t="shared" si="1"/>
        <v>10739.75</v>
      </c>
      <c r="C543" s="145">
        <v>67455.6213</v>
      </c>
      <c r="D543" s="145">
        <v>65680.47337</v>
      </c>
      <c r="E543" s="146">
        <v>71005.91716</v>
      </c>
      <c r="F543" s="145">
        <v>72781.06509</v>
      </c>
      <c r="G543" s="146">
        <v>76331.36095</v>
      </c>
      <c r="H543" s="146">
        <v>101183.432</v>
      </c>
      <c r="I543" s="146">
        <v>76331.36095</v>
      </c>
      <c r="J543" s="145">
        <v>85207.10059</v>
      </c>
      <c r="K543" s="145">
        <v>94082.84024</v>
      </c>
      <c r="L543" s="145">
        <v>86982.24852</v>
      </c>
      <c r="M543" s="145">
        <v>85207.10059</v>
      </c>
      <c r="N543" s="145">
        <v>62130.17752</v>
      </c>
      <c r="O543" s="148">
        <v>56804.73373</v>
      </c>
      <c r="P543" s="146">
        <v>44378.69823</v>
      </c>
      <c r="Q543" s="146">
        <v>46153.84615</v>
      </c>
      <c r="R543" s="146">
        <v>51479.28994</v>
      </c>
      <c r="S543" s="146">
        <v>74556.21302</v>
      </c>
    </row>
    <row r="544">
      <c r="A544" s="145">
        <v>33.313</v>
      </c>
      <c r="B544" s="145">
        <f t="shared" si="1"/>
        <v>10760.099</v>
      </c>
      <c r="C544" s="145">
        <v>67455.6213</v>
      </c>
      <c r="D544" s="145">
        <v>65680.47337</v>
      </c>
      <c r="E544" s="146">
        <v>71005.91716</v>
      </c>
      <c r="F544" s="145">
        <v>72781.06509</v>
      </c>
      <c r="G544" s="146">
        <v>76331.36095</v>
      </c>
      <c r="H544" s="146">
        <v>101183.432</v>
      </c>
      <c r="I544" s="146">
        <v>76331.36095</v>
      </c>
      <c r="J544" s="145">
        <v>85207.10059</v>
      </c>
      <c r="K544" s="145">
        <v>94082.84024</v>
      </c>
      <c r="L544" s="145">
        <v>86982.24852</v>
      </c>
      <c r="M544" s="145">
        <v>85207.10059</v>
      </c>
      <c r="N544" s="145">
        <v>62130.17752</v>
      </c>
      <c r="O544" s="147">
        <v>56804.73373</v>
      </c>
      <c r="P544" s="146">
        <v>44378.69823</v>
      </c>
      <c r="Q544" s="146">
        <v>46153.84615</v>
      </c>
      <c r="R544" s="146">
        <v>51479.28994</v>
      </c>
      <c r="S544" s="146">
        <v>74556.21302</v>
      </c>
    </row>
    <row r="545">
      <c r="A545" s="145">
        <v>33.391</v>
      </c>
      <c r="B545" s="145">
        <f t="shared" si="1"/>
        <v>10785.293</v>
      </c>
      <c r="C545" s="145">
        <v>67455.6213</v>
      </c>
      <c r="D545" s="145">
        <v>65680.47337</v>
      </c>
      <c r="E545" s="146">
        <v>71005.91716</v>
      </c>
      <c r="F545" s="145">
        <v>72781.06509</v>
      </c>
      <c r="G545" s="146">
        <v>76331.36095</v>
      </c>
      <c r="H545" s="146">
        <v>101183.432</v>
      </c>
      <c r="I545" s="146">
        <v>76331.36095</v>
      </c>
      <c r="J545" s="145">
        <v>85207.10059</v>
      </c>
      <c r="K545" s="145">
        <v>94082.84024</v>
      </c>
      <c r="L545" s="145">
        <v>86982.24852</v>
      </c>
      <c r="M545" s="145">
        <v>85207.10059</v>
      </c>
      <c r="N545" s="145">
        <v>62130.17752</v>
      </c>
      <c r="O545" s="148">
        <v>56804.73373</v>
      </c>
      <c r="P545" s="146">
        <v>44378.69823</v>
      </c>
      <c r="Q545" s="146">
        <v>46153.84615</v>
      </c>
      <c r="R545" s="146">
        <v>51479.28994</v>
      </c>
      <c r="S545" s="146">
        <v>74556.21302</v>
      </c>
    </row>
    <row r="546">
      <c r="A546" s="145">
        <v>33.438</v>
      </c>
      <c r="B546" s="145">
        <f t="shared" si="1"/>
        <v>10800.474</v>
      </c>
      <c r="C546" s="145">
        <v>67455.6213</v>
      </c>
      <c r="D546" s="145">
        <v>67455.6213</v>
      </c>
      <c r="E546" s="146">
        <v>71005.91716</v>
      </c>
      <c r="F546" s="145">
        <v>72781.06509</v>
      </c>
      <c r="G546" s="146">
        <v>76331.36095</v>
      </c>
      <c r="H546" s="146">
        <v>101183.432</v>
      </c>
      <c r="I546" s="146">
        <v>76331.36095</v>
      </c>
      <c r="J546" s="145">
        <v>85207.10059</v>
      </c>
      <c r="K546" s="145">
        <v>94082.84024</v>
      </c>
      <c r="L546" s="145">
        <v>86982.24852</v>
      </c>
      <c r="M546" s="145">
        <v>86982.24852</v>
      </c>
      <c r="N546" s="145">
        <v>62130.17752</v>
      </c>
      <c r="O546" s="147">
        <v>56804.73373</v>
      </c>
      <c r="P546" s="146">
        <v>44378.69823</v>
      </c>
      <c r="Q546" s="146">
        <v>47928.99408</v>
      </c>
      <c r="R546" s="146">
        <v>51479.28994</v>
      </c>
      <c r="S546" s="146">
        <v>74556.21302</v>
      </c>
    </row>
    <row r="547">
      <c r="A547" s="145">
        <v>33.5</v>
      </c>
      <c r="B547" s="145">
        <f t="shared" si="1"/>
        <v>10820.5</v>
      </c>
      <c r="C547" s="145">
        <v>67455.6213</v>
      </c>
      <c r="D547" s="145">
        <v>67455.6213</v>
      </c>
      <c r="E547" s="146">
        <v>72781.06509</v>
      </c>
      <c r="F547" s="145">
        <v>72781.06509</v>
      </c>
      <c r="G547" s="146">
        <v>76331.36095</v>
      </c>
      <c r="H547" s="146">
        <v>101183.432</v>
      </c>
      <c r="I547" s="146">
        <v>76331.36095</v>
      </c>
      <c r="J547" s="145">
        <v>85207.10059</v>
      </c>
      <c r="K547" s="145">
        <v>94082.84024</v>
      </c>
      <c r="L547" s="145">
        <v>88757.39645</v>
      </c>
      <c r="M547" s="145">
        <v>86982.24852</v>
      </c>
      <c r="N547" s="145">
        <v>62130.17752</v>
      </c>
      <c r="O547" s="148">
        <v>56804.73373</v>
      </c>
      <c r="P547" s="146">
        <v>44378.69823</v>
      </c>
      <c r="Q547" s="146">
        <v>47928.99408</v>
      </c>
      <c r="R547" s="146">
        <v>51479.28994</v>
      </c>
      <c r="S547" s="146">
        <v>74556.21302</v>
      </c>
    </row>
    <row r="548">
      <c r="A548" s="145">
        <v>33.563</v>
      </c>
      <c r="B548" s="145">
        <f t="shared" si="1"/>
        <v>10840.849</v>
      </c>
      <c r="C548" s="145">
        <v>67455.6213</v>
      </c>
      <c r="D548" s="145">
        <v>67455.6213</v>
      </c>
      <c r="E548" s="146">
        <v>72781.06509</v>
      </c>
      <c r="F548" s="145">
        <v>72781.06509</v>
      </c>
      <c r="G548" s="146">
        <v>76331.36095</v>
      </c>
      <c r="H548" s="146">
        <v>101183.432</v>
      </c>
      <c r="I548" s="146">
        <v>79881.65681</v>
      </c>
      <c r="J548" s="145">
        <v>85207.10059</v>
      </c>
      <c r="K548" s="145">
        <v>94082.84024</v>
      </c>
      <c r="L548" s="145">
        <v>88757.39645</v>
      </c>
      <c r="M548" s="145">
        <v>86982.24852</v>
      </c>
      <c r="N548" s="145">
        <v>62130.17752</v>
      </c>
      <c r="O548" s="148">
        <v>56804.73373</v>
      </c>
      <c r="P548" s="146">
        <v>46153.84615</v>
      </c>
      <c r="Q548" s="146">
        <v>47928.99408</v>
      </c>
      <c r="R548" s="146">
        <v>51479.28994</v>
      </c>
      <c r="S548" s="146">
        <v>74556.21302</v>
      </c>
    </row>
    <row r="549">
      <c r="A549" s="145">
        <v>33.625</v>
      </c>
      <c r="B549" s="145">
        <f t="shared" si="1"/>
        <v>10860.875</v>
      </c>
      <c r="C549" s="145">
        <v>67455.6213</v>
      </c>
      <c r="D549" s="145">
        <v>67455.6213</v>
      </c>
      <c r="E549" s="146">
        <v>72781.06509</v>
      </c>
      <c r="F549" s="145">
        <v>72781.06509</v>
      </c>
      <c r="G549" s="146">
        <v>76331.36095</v>
      </c>
      <c r="H549" s="146">
        <v>101183.432</v>
      </c>
      <c r="I549" s="146">
        <v>79881.65681</v>
      </c>
      <c r="J549" s="145">
        <v>85207.10059</v>
      </c>
      <c r="K549" s="145">
        <v>94082.84024</v>
      </c>
      <c r="L549" s="145">
        <v>92307.69231</v>
      </c>
      <c r="M549" s="145">
        <v>86982.24852</v>
      </c>
      <c r="N549" s="145">
        <v>62130.17752</v>
      </c>
      <c r="O549" s="148">
        <v>56804.73373</v>
      </c>
      <c r="P549" s="146">
        <v>46153.84615</v>
      </c>
      <c r="Q549" s="146">
        <v>47928.99408</v>
      </c>
      <c r="R549" s="146">
        <v>51479.28994</v>
      </c>
      <c r="S549" s="146">
        <v>74556.21302</v>
      </c>
    </row>
    <row r="550">
      <c r="A550" s="145">
        <v>33.688</v>
      </c>
      <c r="B550" s="145">
        <f t="shared" si="1"/>
        <v>10881.224</v>
      </c>
      <c r="C550" s="145">
        <v>67455.6213</v>
      </c>
      <c r="D550" s="145">
        <v>67455.6213</v>
      </c>
      <c r="E550" s="146">
        <v>72781.06509</v>
      </c>
      <c r="F550" s="145">
        <v>72781.06509</v>
      </c>
      <c r="G550" s="146">
        <v>76331.36095</v>
      </c>
      <c r="H550" s="146">
        <v>104733.7278</v>
      </c>
      <c r="I550" s="146">
        <v>79881.65681</v>
      </c>
      <c r="J550" s="145">
        <v>85207.10059</v>
      </c>
      <c r="K550" s="145">
        <v>94082.84024</v>
      </c>
      <c r="L550" s="145">
        <v>92307.69231</v>
      </c>
      <c r="M550" s="145">
        <v>86982.24852</v>
      </c>
      <c r="N550" s="145">
        <v>62130.17752</v>
      </c>
      <c r="O550" s="148">
        <v>56804.73373</v>
      </c>
      <c r="P550" s="146">
        <v>46153.84615</v>
      </c>
      <c r="Q550" s="146">
        <v>47928.99408</v>
      </c>
      <c r="R550" s="146">
        <v>51479.28994</v>
      </c>
      <c r="S550" s="146">
        <v>74556.21302</v>
      </c>
    </row>
    <row r="551">
      <c r="A551" s="145">
        <v>33.75</v>
      </c>
      <c r="B551" s="145">
        <f t="shared" si="1"/>
        <v>10901.25</v>
      </c>
      <c r="C551" s="145">
        <v>67455.6213</v>
      </c>
      <c r="D551" s="145">
        <v>67455.6213</v>
      </c>
      <c r="E551" s="146">
        <v>72781.06509</v>
      </c>
      <c r="F551" s="145">
        <v>72781.06509</v>
      </c>
      <c r="G551" s="146">
        <v>76331.36095</v>
      </c>
      <c r="H551" s="146">
        <v>104733.7278</v>
      </c>
      <c r="I551" s="146">
        <v>79881.65681</v>
      </c>
      <c r="J551" s="145">
        <v>85207.10059</v>
      </c>
      <c r="K551" s="145">
        <v>94082.84024</v>
      </c>
      <c r="L551" s="145">
        <v>92307.69231</v>
      </c>
      <c r="M551" s="145">
        <v>86982.24852</v>
      </c>
      <c r="N551" s="145">
        <v>62130.17752</v>
      </c>
      <c r="O551" s="148">
        <v>56804.73373</v>
      </c>
      <c r="P551" s="146">
        <v>46153.84615</v>
      </c>
      <c r="Q551" s="146">
        <v>47928.99408</v>
      </c>
      <c r="R551" s="146">
        <v>51479.28994</v>
      </c>
      <c r="S551" s="146">
        <v>74556.21302</v>
      </c>
    </row>
    <row r="552">
      <c r="A552" s="145">
        <v>33.813</v>
      </c>
      <c r="B552" s="145">
        <f t="shared" si="1"/>
        <v>10921.599</v>
      </c>
      <c r="C552" s="145">
        <v>67455.6213</v>
      </c>
      <c r="D552" s="145">
        <v>67455.6213</v>
      </c>
      <c r="E552" s="146">
        <v>72781.06509</v>
      </c>
      <c r="F552" s="145">
        <v>72781.06509</v>
      </c>
      <c r="G552" s="146">
        <v>76331.36095</v>
      </c>
      <c r="H552" s="146">
        <v>104733.7278</v>
      </c>
      <c r="I552" s="146">
        <v>79881.65681</v>
      </c>
      <c r="J552" s="145">
        <v>85207.10059</v>
      </c>
      <c r="K552" s="145">
        <v>94082.84024</v>
      </c>
      <c r="L552" s="145">
        <v>92307.69231</v>
      </c>
      <c r="M552" s="145">
        <v>86982.24852</v>
      </c>
      <c r="N552" s="145">
        <v>62130.17752</v>
      </c>
      <c r="O552" s="148">
        <v>56804.73373</v>
      </c>
      <c r="P552" s="146">
        <v>46153.84615</v>
      </c>
      <c r="Q552" s="146">
        <v>47928.99408</v>
      </c>
      <c r="R552" s="146">
        <v>51479.28994</v>
      </c>
      <c r="S552" s="146">
        <v>74556.21302</v>
      </c>
    </row>
    <row r="553">
      <c r="A553" s="145">
        <v>33.891</v>
      </c>
      <c r="B553" s="145">
        <f t="shared" si="1"/>
        <v>10946.793</v>
      </c>
      <c r="C553" s="145">
        <v>67455.6213</v>
      </c>
      <c r="D553" s="145">
        <v>67455.6213</v>
      </c>
      <c r="E553" s="146">
        <v>72781.06509</v>
      </c>
      <c r="F553" s="145">
        <v>72781.06509</v>
      </c>
      <c r="G553" s="146">
        <v>76331.36095</v>
      </c>
      <c r="H553" s="146">
        <v>104733.7278</v>
      </c>
      <c r="I553" s="146">
        <v>79881.65681</v>
      </c>
      <c r="J553" s="145">
        <v>85207.10059</v>
      </c>
      <c r="K553" s="145">
        <v>94082.84024</v>
      </c>
      <c r="L553" s="145">
        <v>92307.69231</v>
      </c>
      <c r="M553" s="145">
        <v>86982.24852</v>
      </c>
      <c r="N553" s="145">
        <v>63905.32544</v>
      </c>
      <c r="O553" s="148">
        <v>56804.73373</v>
      </c>
      <c r="P553" s="146">
        <v>46153.84615</v>
      </c>
      <c r="Q553" s="146">
        <v>47928.99408</v>
      </c>
      <c r="R553" s="146">
        <v>51479.28994</v>
      </c>
      <c r="S553" s="146">
        <v>74556.21302</v>
      </c>
    </row>
    <row r="554">
      <c r="A554" s="145">
        <v>33.938</v>
      </c>
      <c r="B554" s="145">
        <f t="shared" si="1"/>
        <v>10961.974</v>
      </c>
      <c r="C554" s="145">
        <v>69230.76923</v>
      </c>
      <c r="D554" s="145">
        <v>67455.6213</v>
      </c>
      <c r="E554" s="146">
        <v>72781.06509</v>
      </c>
      <c r="F554" s="145">
        <v>72781.06509</v>
      </c>
      <c r="G554" s="146">
        <v>76331.36095</v>
      </c>
      <c r="H554" s="146">
        <v>104733.7278</v>
      </c>
      <c r="I554" s="146">
        <v>79881.65681</v>
      </c>
      <c r="J554" s="145">
        <v>85207.10059</v>
      </c>
      <c r="K554" s="145">
        <v>94082.84024</v>
      </c>
      <c r="L554" s="145">
        <v>92307.69231</v>
      </c>
      <c r="M554" s="145">
        <v>88757.39645</v>
      </c>
      <c r="N554" s="145">
        <v>63905.32544</v>
      </c>
      <c r="O554" s="148">
        <v>56804.73373</v>
      </c>
      <c r="P554" s="146">
        <v>46153.84615</v>
      </c>
      <c r="Q554" s="146">
        <v>47928.99408</v>
      </c>
      <c r="R554" s="146">
        <v>51479.28994</v>
      </c>
      <c r="S554" s="146">
        <v>74556.21302</v>
      </c>
    </row>
    <row r="555">
      <c r="A555" s="145">
        <v>34.0</v>
      </c>
      <c r="B555" s="145">
        <f t="shared" si="1"/>
        <v>10982</v>
      </c>
      <c r="C555" s="145">
        <v>69230.76923</v>
      </c>
      <c r="D555" s="145">
        <v>67455.6213</v>
      </c>
      <c r="E555" s="146">
        <v>72781.06509</v>
      </c>
      <c r="F555" s="145">
        <v>72781.06509</v>
      </c>
      <c r="G555" s="146">
        <v>76331.36095</v>
      </c>
      <c r="H555" s="146">
        <v>104733.7278</v>
      </c>
      <c r="I555" s="146">
        <v>79881.65681</v>
      </c>
      <c r="J555" s="145">
        <v>85207.10059</v>
      </c>
      <c r="K555" s="145">
        <v>94082.84024</v>
      </c>
      <c r="L555" s="145">
        <v>92307.69231</v>
      </c>
      <c r="M555" s="145">
        <v>88757.39645</v>
      </c>
      <c r="N555" s="145">
        <v>63905.32544</v>
      </c>
      <c r="O555" s="148">
        <v>56804.73373</v>
      </c>
      <c r="P555" s="146">
        <v>46153.84615</v>
      </c>
      <c r="Q555" s="146">
        <v>47928.99408</v>
      </c>
      <c r="R555" s="146">
        <v>51479.28994</v>
      </c>
      <c r="S555" s="146">
        <v>74556.21302</v>
      </c>
    </row>
    <row r="556">
      <c r="A556" s="145">
        <v>34.063</v>
      </c>
      <c r="B556" s="145">
        <f t="shared" si="1"/>
        <v>11002.349</v>
      </c>
      <c r="C556" s="145">
        <v>69230.76923</v>
      </c>
      <c r="D556" s="145">
        <v>67455.6213</v>
      </c>
      <c r="E556" s="146">
        <v>72781.06509</v>
      </c>
      <c r="F556" s="145">
        <v>72781.06509</v>
      </c>
      <c r="G556" s="146">
        <v>76331.36095</v>
      </c>
      <c r="H556" s="146">
        <v>104733.7278</v>
      </c>
      <c r="I556" s="146">
        <v>79881.65681</v>
      </c>
      <c r="J556" s="145">
        <v>85207.10059</v>
      </c>
      <c r="K556" s="145">
        <v>94082.84024</v>
      </c>
      <c r="L556" s="145">
        <v>92307.69231</v>
      </c>
      <c r="M556" s="145">
        <v>88757.39645</v>
      </c>
      <c r="N556" s="145">
        <v>63905.32544</v>
      </c>
      <c r="O556" s="148">
        <v>56804.73373</v>
      </c>
      <c r="P556" s="146">
        <v>46153.84615</v>
      </c>
      <c r="Q556" s="146">
        <v>47928.99408</v>
      </c>
      <c r="R556" s="146">
        <v>51479.28994</v>
      </c>
      <c r="S556" s="146">
        <v>74556.21302</v>
      </c>
    </row>
    <row r="557">
      <c r="A557" s="145">
        <v>34.125</v>
      </c>
      <c r="B557" s="145">
        <f t="shared" si="1"/>
        <v>11022.375</v>
      </c>
      <c r="C557" s="145">
        <v>69230.76923</v>
      </c>
      <c r="D557" s="145">
        <v>67455.6213</v>
      </c>
      <c r="E557" s="146">
        <v>72781.06509</v>
      </c>
      <c r="F557" s="145">
        <v>72781.06509</v>
      </c>
      <c r="G557" s="146">
        <v>78106.50888</v>
      </c>
      <c r="H557" s="146">
        <v>104733.7278</v>
      </c>
      <c r="I557" s="146">
        <v>79881.65681</v>
      </c>
      <c r="J557" s="145">
        <v>85207.10059</v>
      </c>
      <c r="K557" s="145">
        <v>94082.84024</v>
      </c>
      <c r="L557" s="145">
        <v>92307.69231</v>
      </c>
      <c r="M557" s="145">
        <v>88757.39645</v>
      </c>
      <c r="N557" s="145">
        <v>63905.32544</v>
      </c>
      <c r="O557" s="148">
        <v>56804.73373</v>
      </c>
      <c r="P557" s="146">
        <v>46153.84615</v>
      </c>
      <c r="Q557" s="146">
        <v>47928.99408</v>
      </c>
      <c r="R557" s="146">
        <v>51479.28994</v>
      </c>
      <c r="S557" s="146">
        <v>74556.21302</v>
      </c>
    </row>
    <row r="558">
      <c r="A558" s="145">
        <v>34.188</v>
      </c>
      <c r="B558" s="145">
        <f t="shared" si="1"/>
        <v>11042.724</v>
      </c>
      <c r="C558" s="145">
        <v>69230.76923</v>
      </c>
      <c r="D558" s="145">
        <v>67455.6213</v>
      </c>
      <c r="E558" s="146">
        <v>72781.06509</v>
      </c>
      <c r="F558" s="145">
        <v>72781.06509</v>
      </c>
      <c r="G558" s="146">
        <v>78106.50888</v>
      </c>
      <c r="H558" s="146">
        <v>104733.7278</v>
      </c>
      <c r="I558" s="146">
        <v>79881.65681</v>
      </c>
      <c r="J558" s="145">
        <v>85207.10059</v>
      </c>
      <c r="K558" s="145">
        <v>94082.84024</v>
      </c>
      <c r="L558" s="145">
        <v>92307.69231</v>
      </c>
      <c r="M558" s="145">
        <v>88757.39645</v>
      </c>
      <c r="N558" s="145">
        <v>63905.32544</v>
      </c>
      <c r="O558" s="148">
        <v>56804.73373</v>
      </c>
      <c r="P558" s="146">
        <v>46153.84615</v>
      </c>
      <c r="Q558" s="146">
        <v>49704.14201</v>
      </c>
      <c r="R558" s="146">
        <v>51479.28994</v>
      </c>
      <c r="S558" s="146">
        <v>74556.21302</v>
      </c>
    </row>
    <row r="559">
      <c r="A559" s="145">
        <v>34.25</v>
      </c>
      <c r="B559" s="145">
        <f t="shared" si="1"/>
        <v>11062.75</v>
      </c>
      <c r="C559" s="145">
        <v>69230.76923</v>
      </c>
      <c r="D559" s="145">
        <v>67455.6213</v>
      </c>
      <c r="E559" s="146">
        <v>72781.06509</v>
      </c>
      <c r="F559" s="145">
        <v>72781.06509</v>
      </c>
      <c r="G559" s="146">
        <v>78106.50888</v>
      </c>
      <c r="H559" s="146">
        <v>104733.7278</v>
      </c>
      <c r="I559" s="146">
        <v>81656.80473</v>
      </c>
      <c r="J559" s="145">
        <v>86982.24852</v>
      </c>
      <c r="K559" s="145">
        <v>94082.84024</v>
      </c>
      <c r="L559" s="145">
        <v>92307.69231</v>
      </c>
      <c r="M559" s="145">
        <v>88757.39645</v>
      </c>
      <c r="N559" s="145">
        <v>63905.32544</v>
      </c>
      <c r="O559" s="148">
        <v>56804.73373</v>
      </c>
      <c r="P559" s="146">
        <v>46153.84615</v>
      </c>
      <c r="Q559" s="146">
        <v>49704.14201</v>
      </c>
      <c r="R559" s="146">
        <v>51479.28994</v>
      </c>
      <c r="S559" s="146">
        <v>74556.21302</v>
      </c>
    </row>
    <row r="560">
      <c r="A560" s="145">
        <v>34.329</v>
      </c>
      <c r="B560" s="145">
        <f t="shared" si="1"/>
        <v>11088.267</v>
      </c>
      <c r="C560" s="145">
        <v>69230.76923</v>
      </c>
      <c r="D560" s="145">
        <v>67455.6213</v>
      </c>
      <c r="E560" s="146">
        <v>72781.06509</v>
      </c>
      <c r="F560" s="145">
        <v>72781.06509</v>
      </c>
      <c r="G560" s="146">
        <v>78106.50888</v>
      </c>
      <c r="H560" s="146">
        <v>104733.7278</v>
      </c>
      <c r="I560" s="146">
        <v>81656.80473</v>
      </c>
      <c r="J560" s="145">
        <v>86982.24852</v>
      </c>
      <c r="K560" s="145">
        <v>97633.1361</v>
      </c>
      <c r="L560" s="145">
        <v>92307.69231</v>
      </c>
      <c r="M560" s="145">
        <v>88757.39645</v>
      </c>
      <c r="N560" s="145">
        <v>63905.32544</v>
      </c>
      <c r="O560" s="148">
        <v>56804.73373</v>
      </c>
      <c r="P560" s="146">
        <v>46153.84615</v>
      </c>
      <c r="Q560" s="146">
        <v>49704.14201</v>
      </c>
      <c r="R560" s="146">
        <v>51479.28994</v>
      </c>
      <c r="S560" s="146">
        <v>74556.21302</v>
      </c>
    </row>
    <row r="561">
      <c r="A561" s="145">
        <v>34.375</v>
      </c>
      <c r="B561" s="145">
        <f t="shared" si="1"/>
        <v>11103.125</v>
      </c>
      <c r="C561" s="145">
        <v>69230.76923</v>
      </c>
      <c r="D561" s="145">
        <v>67455.6213</v>
      </c>
      <c r="E561" s="146">
        <v>72781.06509</v>
      </c>
      <c r="F561" s="145">
        <v>72781.06509</v>
      </c>
      <c r="G561" s="146">
        <v>78106.50888</v>
      </c>
      <c r="H561" s="146">
        <v>104733.7278</v>
      </c>
      <c r="I561" s="146">
        <v>81656.80473</v>
      </c>
      <c r="J561" s="145">
        <v>86982.24852</v>
      </c>
      <c r="K561" s="145">
        <v>97633.1361</v>
      </c>
      <c r="L561" s="145">
        <v>92307.69231</v>
      </c>
      <c r="M561" s="145">
        <v>88757.39645</v>
      </c>
      <c r="N561" s="145">
        <v>63905.32544</v>
      </c>
      <c r="O561" s="148">
        <v>56804.73373</v>
      </c>
      <c r="P561" s="146">
        <v>46153.84615</v>
      </c>
      <c r="Q561" s="146">
        <v>49704.14201</v>
      </c>
      <c r="R561" s="146">
        <v>51479.28994</v>
      </c>
      <c r="S561" s="146">
        <v>74556.21302</v>
      </c>
    </row>
    <row r="562">
      <c r="A562" s="145">
        <v>34.438</v>
      </c>
      <c r="B562" s="145">
        <f t="shared" si="1"/>
        <v>11123.474</v>
      </c>
      <c r="C562" s="145">
        <v>69230.76923</v>
      </c>
      <c r="D562" s="145">
        <v>67455.6213</v>
      </c>
      <c r="E562" s="146">
        <v>72781.06509</v>
      </c>
      <c r="F562" s="145">
        <v>72781.06509</v>
      </c>
      <c r="G562" s="146">
        <v>78106.50888</v>
      </c>
      <c r="H562" s="146">
        <v>106508.8757</v>
      </c>
      <c r="I562" s="146">
        <v>81656.80473</v>
      </c>
      <c r="J562" s="145">
        <v>86982.24852</v>
      </c>
      <c r="K562" s="145">
        <v>97633.1361</v>
      </c>
      <c r="L562" s="145">
        <v>92307.69231</v>
      </c>
      <c r="M562" s="145">
        <v>88757.39645</v>
      </c>
      <c r="N562" s="145">
        <v>63905.32544</v>
      </c>
      <c r="O562" s="148">
        <v>56804.73373</v>
      </c>
      <c r="P562" s="146">
        <v>46153.84615</v>
      </c>
      <c r="Q562" s="146">
        <v>49704.14201</v>
      </c>
      <c r="R562" s="146">
        <v>53254.43787</v>
      </c>
      <c r="S562" s="146">
        <v>74556.21302</v>
      </c>
    </row>
    <row r="563">
      <c r="A563" s="145">
        <v>34.5</v>
      </c>
      <c r="B563" s="145">
        <f t="shared" si="1"/>
        <v>11143.5</v>
      </c>
      <c r="C563" s="145">
        <v>69230.76923</v>
      </c>
      <c r="D563" s="145">
        <v>67455.6213</v>
      </c>
      <c r="E563" s="146">
        <v>72781.06509</v>
      </c>
      <c r="F563" s="145">
        <v>72781.06509</v>
      </c>
      <c r="G563" s="146">
        <v>78106.50888</v>
      </c>
      <c r="H563" s="146">
        <v>106508.8757</v>
      </c>
      <c r="I563" s="146">
        <v>81656.80473</v>
      </c>
      <c r="J563" s="145">
        <v>86982.24852</v>
      </c>
      <c r="K563" s="145">
        <v>97633.1361</v>
      </c>
      <c r="L563" s="145">
        <v>92307.69231</v>
      </c>
      <c r="M563" s="145">
        <v>88757.39645</v>
      </c>
      <c r="N563" s="145">
        <v>63905.32544</v>
      </c>
      <c r="O563" s="148">
        <v>56804.73373</v>
      </c>
      <c r="P563" s="146">
        <v>46153.84615</v>
      </c>
      <c r="Q563" s="146">
        <v>49704.14201</v>
      </c>
      <c r="R563" s="146">
        <v>53254.43787</v>
      </c>
      <c r="S563" s="146">
        <v>74556.21302</v>
      </c>
    </row>
    <row r="564">
      <c r="A564" s="145">
        <v>34.563</v>
      </c>
      <c r="B564" s="145">
        <f t="shared" si="1"/>
        <v>11163.849</v>
      </c>
      <c r="C564" s="145">
        <v>69230.76923</v>
      </c>
      <c r="D564" s="145">
        <v>67455.6213</v>
      </c>
      <c r="E564" s="146">
        <v>72781.06509</v>
      </c>
      <c r="F564" s="145">
        <v>72781.06509</v>
      </c>
      <c r="G564" s="146">
        <v>78106.50888</v>
      </c>
      <c r="H564" s="146">
        <v>106508.8757</v>
      </c>
      <c r="I564" s="146">
        <v>81656.80473</v>
      </c>
      <c r="J564" s="145">
        <v>86982.24852</v>
      </c>
      <c r="K564" s="145">
        <v>97633.1361</v>
      </c>
      <c r="L564" s="145">
        <v>92307.69231</v>
      </c>
      <c r="M564" s="145">
        <v>88757.39645</v>
      </c>
      <c r="N564" s="145">
        <v>63905.32544</v>
      </c>
      <c r="O564" s="148">
        <v>56804.73373</v>
      </c>
      <c r="P564" s="146">
        <v>46153.84615</v>
      </c>
      <c r="Q564" s="146">
        <v>49704.14201</v>
      </c>
      <c r="R564" s="146">
        <v>53254.43787</v>
      </c>
      <c r="S564" s="146">
        <v>74556.21302</v>
      </c>
    </row>
    <row r="565">
      <c r="A565" s="145">
        <v>34.625</v>
      </c>
      <c r="B565" s="145">
        <f t="shared" si="1"/>
        <v>11183.875</v>
      </c>
      <c r="C565" s="145">
        <v>69230.76923</v>
      </c>
      <c r="D565" s="145">
        <v>67455.6213</v>
      </c>
      <c r="E565" s="146">
        <v>72781.06509</v>
      </c>
      <c r="F565" s="145">
        <v>74556.21302</v>
      </c>
      <c r="G565" s="146">
        <v>78106.50888</v>
      </c>
      <c r="H565" s="146">
        <v>108284.0237</v>
      </c>
      <c r="I565" s="146">
        <v>81656.80473</v>
      </c>
      <c r="J565" s="145">
        <v>86982.24852</v>
      </c>
      <c r="K565" s="145">
        <v>97633.1361</v>
      </c>
      <c r="L565" s="145">
        <v>92307.69231</v>
      </c>
      <c r="M565" s="145">
        <v>88757.39645</v>
      </c>
      <c r="N565" s="145">
        <v>63905.32544</v>
      </c>
      <c r="O565" s="148">
        <v>56804.73373</v>
      </c>
      <c r="P565" s="146">
        <v>46153.84615</v>
      </c>
      <c r="Q565" s="146">
        <v>49704.14201</v>
      </c>
      <c r="R565" s="146">
        <v>53254.43787</v>
      </c>
      <c r="S565" s="146">
        <v>74556.21302</v>
      </c>
    </row>
    <row r="566">
      <c r="A566" s="145">
        <v>34.688</v>
      </c>
      <c r="B566" s="145">
        <f t="shared" si="1"/>
        <v>11204.224</v>
      </c>
      <c r="C566" s="145">
        <v>69230.76923</v>
      </c>
      <c r="D566" s="145">
        <v>67455.6213</v>
      </c>
      <c r="E566" s="146">
        <v>72781.06509</v>
      </c>
      <c r="F566" s="145">
        <v>74556.21302</v>
      </c>
      <c r="G566" s="146">
        <v>78106.50888</v>
      </c>
      <c r="H566" s="146">
        <v>108284.0237</v>
      </c>
      <c r="I566" s="146">
        <v>81656.80473</v>
      </c>
      <c r="J566" s="145">
        <v>86982.24852</v>
      </c>
      <c r="K566" s="145">
        <v>97633.1361</v>
      </c>
      <c r="L566" s="145">
        <v>92307.69231</v>
      </c>
      <c r="M566" s="145">
        <v>88757.39645</v>
      </c>
      <c r="N566" s="145">
        <v>63905.32544</v>
      </c>
      <c r="O566" s="148">
        <v>58579.88166</v>
      </c>
      <c r="P566" s="146">
        <v>46153.84615</v>
      </c>
      <c r="Q566" s="146">
        <v>49704.14201</v>
      </c>
      <c r="R566" s="146">
        <v>53254.43787</v>
      </c>
      <c r="S566" s="146">
        <v>74556.21302</v>
      </c>
    </row>
    <row r="567">
      <c r="A567" s="145">
        <v>34.766</v>
      </c>
      <c r="B567" s="145">
        <f t="shared" si="1"/>
        <v>11229.418</v>
      </c>
      <c r="C567" s="145">
        <v>69230.76923</v>
      </c>
      <c r="D567" s="145">
        <v>67455.6213</v>
      </c>
      <c r="E567" s="146">
        <v>72781.06509</v>
      </c>
      <c r="F567" s="145">
        <v>74556.21302</v>
      </c>
      <c r="G567" s="146">
        <v>78106.50888</v>
      </c>
      <c r="H567" s="146">
        <v>108284.0237</v>
      </c>
      <c r="I567" s="146">
        <v>81656.80473</v>
      </c>
      <c r="J567" s="145">
        <v>86982.24852</v>
      </c>
      <c r="K567" s="145">
        <v>97633.1361</v>
      </c>
      <c r="L567" s="145">
        <v>92307.69231</v>
      </c>
      <c r="M567" s="145">
        <v>88757.39645</v>
      </c>
      <c r="N567" s="145">
        <v>65680.47337</v>
      </c>
      <c r="O567" s="148">
        <v>58579.88166</v>
      </c>
      <c r="P567" s="146">
        <v>46153.84615</v>
      </c>
      <c r="Q567" s="146">
        <v>49704.14201</v>
      </c>
      <c r="R567" s="146">
        <v>53254.43787</v>
      </c>
      <c r="S567" s="146">
        <v>74556.21302</v>
      </c>
    </row>
    <row r="568">
      <c r="A568" s="145">
        <v>34.813</v>
      </c>
      <c r="B568" s="145">
        <f t="shared" si="1"/>
        <v>11244.599</v>
      </c>
      <c r="C568" s="145">
        <v>69230.76923</v>
      </c>
      <c r="D568" s="145">
        <v>67455.6213</v>
      </c>
      <c r="E568" s="146">
        <v>72781.06509</v>
      </c>
      <c r="F568" s="145">
        <v>74556.21302</v>
      </c>
      <c r="G568" s="146">
        <v>78106.50888</v>
      </c>
      <c r="H568" s="146">
        <v>108284.0237</v>
      </c>
      <c r="I568" s="146">
        <v>81656.80473</v>
      </c>
      <c r="J568" s="145">
        <v>86982.24852</v>
      </c>
      <c r="K568" s="145">
        <v>97633.1361</v>
      </c>
      <c r="L568" s="145">
        <v>92307.69231</v>
      </c>
      <c r="M568" s="145">
        <v>88757.39645</v>
      </c>
      <c r="N568" s="145">
        <v>65680.47337</v>
      </c>
      <c r="O568" s="148">
        <v>58579.88166</v>
      </c>
      <c r="P568" s="146">
        <v>46153.84615</v>
      </c>
      <c r="Q568" s="146">
        <v>49704.14201</v>
      </c>
      <c r="R568" s="146">
        <v>53254.43787</v>
      </c>
      <c r="S568" s="146">
        <v>74556.21302</v>
      </c>
    </row>
    <row r="569">
      <c r="A569" s="145">
        <v>34.875</v>
      </c>
      <c r="B569" s="145">
        <f t="shared" si="1"/>
        <v>11264.625</v>
      </c>
      <c r="C569" s="145">
        <v>69230.76923</v>
      </c>
      <c r="D569" s="145">
        <v>67455.6213</v>
      </c>
      <c r="E569" s="146">
        <v>72781.06509</v>
      </c>
      <c r="F569" s="145">
        <v>74556.21302</v>
      </c>
      <c r="G569" s="146">
        <v>78106.50888</v>
      </c>
      <c r="H569" s="146">
        <v>108284.0237</v>
      </c>
      <c r="I569" s="146">
        <v>81656.80473</v>
      </c>
      <c r="J569" s="145">
        <v>88757.39645</v>
      </c>
      <c r="K569" s="145">
        <v>97633.1361</v>
      </c>
      <c r="L569" s="145">
        <v>92307.69231</v>
      </c>
      <c r="M569" s="145">
        <v>88757.39645</v>
      </c>
      <c r="N569" s="145">
        <v>65680.47337</v>
      </c>
      <c r="O569" s="148">
        <v>58579.88166</v>
      </c>
      <c r="P569" s="146">
        <v>46153.84615</v>
      </c>
      <c r="Q569" s="146">
        <v>49704.14201</v>
      </c>
      <c r="R569" s="146">
        <v>53254.43787</v>
      </c>
      <c r="S569" s="146">
        <v>74556.21302</v>
      </c>
    </row>
    <row r="570">
      <c r="A570" s="145">
        <v>34.938</v>
      </c>
      <c r="B570" s="145">
        <f t="shared" si="1"/>
        <v>11284.974</v>
      </c>
      <c r="C570" s="145">
        <v>69230.76923</v>
      </c>
      <c r="D570" s="145">
        <v>67455.6213</v>
      </c>
      <c r="E570" s="146">
        <v>72781.06509</v>
      </c>
      <c r="F570" s="145">
        <v>74556.21302</v>
      </c>
      <c r="G570" s="146">
        <v>79881.65681</v>
      </c>
      <c r="H570" s="146">
        <v>108284.0237</v>
      </c>
      <c r="I570" s="146">
        <v>81656.80473</v>
      </c>
      <c r="J570" s="145">
        <v>88757.39645</v>
      </c>
      <c r="K570" s="145">
        <v>97633.1361</v>
      </c>
      <c r="L570" s="145">
        <v>92307.69231</v>
      </c>
      <c r="M570" s="145">
        <v>88757.39645</v>
      </c>
      <c r="N570" s="145">
        <v>65680.47337</v>
      </c>
      <c r="O570" s="148">
        <v>58579.88166</v>
      </c>
      <c r="P570" s="146">
        <v>47928.99408</v>
      </c>
      <c r="Q570" s="146">
        <v>49704.14201</v>
      </c>
      <c r="R570" s="146">
        <v>53254.43787</v>
      </c>
      <c r="S570" s="146">
        <v>74556.21302</v>
      </c>
    </row>
    <row r="571">
      <c r="A571" s="145">
        <v>35.0</v>
      </c>
      <c r="B571" s="145">
        <f t="shared" si="1"/>
        <v>11305</v>
      </c>
      <c r="C571" s="145">
        <v>69230.76923</v>
      </c>
      <c r="D571" s="145">
        <v>67455.6213</v>
      </c>
      <c r="E571" s="146">
        <v>72781.06509</v>
      </c>
      <c r="F571" s="145">
        <v>74556.21302</v>
      </c>
      <c r="G571" s="146">
        <v>79881.65681</v>
      </c>
      <c r="H571" s="146">
        <v>110059.1716</v>
      </c>
      <c r="I571" s="146">
        <v>81656.80473</v>
      </c>
      <c r="J571" s="145">
        <v>88757.39645</v>
      </c>
      <c r="K571" s="145">
        <v>97633.1361</v>
      </c>
      <c r="L571" s="145">
        <v>94082.84024</v>
      </c>
      <c r="M571" s="145">
        <v>88757.39645</v>
      </c>
      <c r="N571" s="145">
        <v>65680.47337</v>
      </c>
      <c r="O571" s="148">
        <v>58579.88166</v>
      </c>
      <c r="P571" s="146">
        <v>47928.99408</v>
      </c>
      <c r="Q571" s="146">
        <v>49704.14201</v>
      </c>
      <c r="R571" s="146">
        <v>53254.43787</v>
      </c>
      <c r="S571" s="146">
        <v>74556.21302</v>
      </c>
    </row>
    <row r="572">
      <c r="A572" s="145">
        <v>35.063</v>
      </c>
      <c r="B572" s="145">
        <f t="shared" si="1"/>
        <v>11325.349</v>
      </c>
      <c r="C572" s="145">
        <v>69230.76923</v>
      </c>
      <c r="D572" s="145">
        <v>67455.6213</v>
      </c>
      <c r="E572" s="146">
        <v>72781.06509</v>
      </c>
      <c r="F572" s="145">
        <v>74556.21302</v>
      </c>
      <c r="G572" s="146">
        <v>79881.65681</v>
      </c>
      <c r="H572" s="146">
        <v>110059.1716</v>
      </c>
      <c r="I572" s="146">
        <v>81656.80473</v>
      </c>
      <c r="J572" s="145">
        <v>88757.39645</v>
      </c>
      <c r="K572" s="145">
        <v>97633.1361</v>
      </c>
      <c r="L572" s="145">
        <v>94082.84024</v>
      </c>
      <c r="M572" s="145">
        <v>88757.39645</v>
      </c>
      <c r="N572" s="145">
        <v>65680.47337</v>
      </c>
      <c r="O572" s="148">
        <v>58579.88166</v>
      </c>
      <c r="P572" s="146">
        <v>47928.99408</v>
      </c>
      <c r="Q572" s="146">
        <v>49704.14201</v>
      </c>
      <c r="R572" s="146">
        <v>53254.43787</v>
      </c>
      <c r="S572" s="146">
        <v>74556.21302</v>
      </c>
    </row>
    <row r="573">
      <c r="A573" s="145">
        <v>35.125</v>
      </c>
      <c r="B573" s="145">
        <f t="shared" si="1"/>
        <v>11345.375</v>
      </c>
      <c r="C573" s="145">
        <v>69230.76923</v>
      </c>
      <c r="D573" s="145">
        <v>67455.6213</v>
      </c>
      <c r="E573" s="146">
        <v>72781.06509</v>
      </c>
      <c r="F573" s="145">
        <v>74556.21302</v>
      </c>
      <c r="G573" s="146">
        <v>79881.65681</v>
      </c>
      <c r="H573" s="146">
        <v>110059.1716</v>
      </c>
      <c r="I573" s="146">
        <v>81656.80473</v>
      </c>
      <c r="J573" s="145">
        <v>88757.39645</v>
      </c>
      <c r="K573" s="145">
        <v>97633.1361</v>
      </c>
      <c r="L573" s="145">
        <v>94082.84024</v>
      </c>
      <c r="M573" s="145">
        <v>88757.39645</v>
      </c>
      <c r="N573" s="145">
        <v>65680.47337</v>
      </c>
      <c r="O573" s="148">
        <v>58579.88166</v>
      </c>
      <c r="P573" s="146">
        <v>47928.99408</v>
      </c>
      <c r="Q573" s="146">
        <v>49704.14201</v>
      </c>
      <c r="R573" s="146">
        <v>53254.43787</v>
      </c>
      <c r="S573" s="146">
        <v>74556.21302</v>
      </c>
    </row>
    <row r="574">
      <c r="A574" s="145">
        <v>35.188</v>
      </c>
      <c r="B574" s="145">
        <f t="shared" si="1"/>
        <v>11365.724</v>
      </c>
      <c r="C574" s="145">
        <v>71005.91716</v>
      </c>
      <c r="D574" s="145">
        <v>67455.6213</v>
      </c>
      <c r="E574" s="146">
        <v>74556.21302</v>
      </c>
      <c r="F574" s="145">
        <v>74556.21302</v>
      </c>
      <c r="G574" s="146">
        <v>79881.65681</v>
      </c>
      <c r="H574" s="146">
        <v>110059.1716</v>
      </c>
      <c r="I574" s="146">
        <v>81656.80473</v>
      </c>
      <c r="J574" s="145">
        <v>88757.39645</v>
      </c>
      <c r="K574" s="145">
        <v>97633.1361</v>
      </c>
      <c r="L574" s="145">
        <v>94082.84024</v>
      </c>
      <c r="M574" s="145">
        <v>88757.39645</v>
      </c>
      <c r="N574" s="145">
        <v>65680.47337</v>
      </c>
      <c r="O574" s="148">
        <v>58579.88166</v>
      </c>
      <c r="P574" s="146">
        <v>47928.99408</v>
      </c>
      <c r="Q574" s="146">
        <v>49704.14201</v>
      </c>
      <c r="R574" s="146">
        <v>53254.43787</v>
      </c>
      <c r="S574" s="146">
        <v>74556.21302</v>
      </c>
    </row>
    <row r="575">
      <c r="A575" s="145">
        <v>35.25</v>
      </c>
      <c r="B575" s="145">
        <f t="shared" si="1"/>
        <v>11385.75</v>
      </c>
      <c r="C575" s="145">
        <v>71005.91716</v>
      </c>
      <c r="D575" s="145">
        <v>67455.6213</v>
      </c>
      <c r="E575" s="146">
        <v>74556.21302</v>
      </c>
      <c r="F575" s="145">
        <v>74556.21302</v>
      </c>
      <c r="G575" s="146">
        <v>79881.65681</v>
      </c>
      <c r="H575" s="146">
        <v>110059.1716</v>
      </c>
      <c r="I575" s="146">
        <v>85207.10059</v>
      </c>
      <c r="J575" s="145">
        <v>88757.39645</v>
      </c>
      <c r="K575" s="145">
        <v>97633.1361</v>
      </c>
      <c r="L575" s="145">
        <v>94082.84024</v>
      </c>
      <c r="M575" s="145">
        <v>92307.69231</v>
      </c>
      <c r="N575" s="145">
        <v>65680.47337</v>
      </c>
      <c r="O575" s="148">
        <v>58579.88166</v>
      </c>
      <c r="P575" s="146">
        <v>47928.99408</v>
      </c>
      <c r="Q575" s="146">
        <v>49704.14201</v>
      </c>
      <c r="R575" s="146">
        <v>53254.43787</v>
      </c>
      <c r="S575" s="146">
        <v>74556.21302</v>
      </c>
    </row>
    <row r="576">
      <c r="A576" s="145">
        <v>35.313</v>
      </c>
      <c r="B576" s="145">
        <f t="shared" si="1"/>
        <v>11406.099</v>
      </c>
      <c r="C576" s="145">
        <v>71005.91716</v>
      </c>
      <c r="D576" s="145">
        <v>67455.6213</v>
      </c>
      <c r="E576" s="146">
        <v>74556.21302</v>
      </c>
      <c r="F576" s="145">
        <v>74556.21302</v>
      </c>
      <c r="G576" s="146">
        <v>79881.65681</v>
      </c>
      <c r="H576" s="146">
        <v>110059.1716</v>
      </c>
      <c r="I576" s="146">
        <v>85207.10059</v>
      </c>
      <c r="J576" s="145">
        <v>88757.39645</v>
      </c>
      <c r="K576" s="145">
        <v>97633.1361</v>
      </c>
      <c r="L576" s="145">
        <v>94082.84024</v>
      </c>
      <c r="M576" s="145">
        <v>92307.69231</v>
      </c>
      <c r="N576" s="145">
        <v>65680.47337</v>
      </c>
      <c r="O576" s="148">
        <v>58579.88166</v>
      </c>
      <c r="P576" s="146">
        <v>47928.99408</v>
      </c>
      <c r="Q576" s="146">
        <v>49704.14201</v>
      </c>
      <c r="R576" s="146">
        <v>53254.43787</v>
      </c>
      <c r="S576" s="146">
        <v>74556.21302</v>
      </c>
    </row>
    <row r="577">
      <c r="A577" s="145">
        <v>35.375</v>
      </c>
      <c r="B577" s="145">
        <f t="shared" si="1"/>
        <v>11426.125</v>
      </c>
      <c r="C577" s="145">
        <v>71005.91716</v>
      </c>
      <c r="D577" s="145">
        <v>67455.6213</v>
      </c>
      <c r="E577" s="146">
        <v>74556.21302</v>
      </c>
      <c r="F577" s="145">
        <v>74556.21302</v>
      </c>
      <c r="G577" s="146">
        <v>79881.65681</v>
      </c>
      <c r="H577" s="146">
        <v>110059.1716</v>
      </c>
      <c r="I577" s="146">
        <v>85207.10059</v>
      </c>
      <c r="J577" s="145">
        <v>88757.39645</v>
      </c>
      <c r="K577" s="145">
        <v>97633.1361</v>
      </c>
      <c r="L577" s="145">
        <v>94082.84024</v>
      </c>
      <c r="M577" s="145">
        <v>92307.69231</v>
      </c>
      <c r="N577" s="145">
        <v>65680.47337</v>
      </c>
      <c r="O577" s="148">
        <v>58579.88166</v>
      </c>
      <c r="P577" s="146">
        <v>47928.99408</v>
      </c>
      <c r="Q577" s="146">
        <v>49704.14201</v>
      </c>
      <c r="R577" s="146">
        <v>53254.43787</v>
      </c>
      <c r="S577" s="146">
        <v>74556.21302</v>
      </c>
    </row>
    <row r="578">
      <c r="A578" s="145">
        <v>35.454</v>
      </c>
      <c r="B578" s="145">
        <f t="shared" si="1"/>
        <v>11451.642</v>
      </c>
      <c r="C578" s="145">
        <v>71005.91716</v>
      </c>
      <c r="D578" s="145">
        <v>67455.6213</v>
      </c>
      <c r="E578" s="146">
        <v>74556.21302</v>
      </c>
      <c r="F578" s="145">
        <v>74556.21302</v>
      </c>
      <c r="G578" s="146">
        <v>79881.65681</v>
      </c>
      <c r="H578" s="146">
        <v>110059.1716</v>
      </c>
      <c r="I578" s="146">
        <v>85207.10059</v>
      </c>
      <c r="J578" s="145">
        <v>88757.39645</v>
      </c>
      <c r="K578" s="145">
        <v>97633.1361</v>
      </c>
      <c r="L578" s="145">
        <v>94082.84024</v>
      </c>
      <c r="M578" s="145">
        <v>92307.69231</v>
      </c>
      <c r="N578" s="145">
        <v>65680.47337</v>
      </c>
      <c r="O578" s="148">
        <v>58579.88166</v>
      </c>
      <c r="P578" s="146">
        <v>47928.99408</v>
      </c>
      <c r="Q578" s="146">
        <v>51479.28994</v>
      </c>
      <c r="R578" s="146">
        <v>53254.43787</v>
      </c>
      <c r="S578" s="146">
        <v>74556.21302</v>
      </c>
    </row>
    <row r="579">
      <c r="A579" s="145">
        <v>35.5</v>
      </c>
      <c r="B579" s="145">
        <f t="shared" si="1"/>
        <v>11466.5</v>
      </c>
      <c r="C579" s="145">
        <v>71005.91716</v>
      </c>
      <c r="D579" s="145">
        <v>67455.6213</v>
      </c>
      <c r="E579" s="146">
        <v>74556.21302</v>
      </c>
      <c r="F579" s="145">
        <v>74556.21302</v>
      </c>
      <c r="G579" s="146">
        <v>79881.65681</v>
      </c>
      <c r="H579" s="146">
        <v>110059.1716</v>
      </c>
      <c r="I579" s="146">
        <v>85207.10059</v>
      </c>
      <c r="J579" s="145">
        <v>92307.69231</v>
      </c>
      <c r="K579" s="145">
        <v>97633.1361</v>
      </c>
      <c r="L579" s="145">
        <v>94082.84024</v>
      </c>
      <c r="M579" s="145">
        <v>92307.69231</v>
      </c>
      <c r="N579" s="145">
        <v>65680.47337</v>
      </c>
      <c r="O579" s="148">
        <v>58579.88166</v>
      </c>
      <c r="P579" s="146">
        <v>47928.99408</v>
      </c>
      <c r="Q579" s="146">
        <v>51479.28994</v>
      </c>
      <c r="R579" s="146">
        <v>53254.43787</v>
      </c>
      <c r="S579" s="146">
        <v>74556.21302</v>
      </c>
    </row>
    <row r="580">
      <c r="A580" s="145">
        <v>35.563</v>
      </c>
      <c r="B580" s="145">
        <f t="shared" si="1"/>
        <v>11486.849</v>
      </c>
      <c r="C580" s="145">
        <v>71005.91716</v>
      </c>
      <c r="D580" s="145">
        <v>67455.6213</v>
      </c>
      <c r="E580" s="146">
        <v>74556.21302</v>
      </c>
      <c r="F580" s="145">
        <v>74556.21302</v>
      </c>
      <c r="G580" s="146">
        <v>79881.65681</v>
      </c>
      <c r="H580" s="146">
        <v>110059.1716</v>
      </c>
      <c r="I580" s="146">
        <v>85207.10059</v>
      </c>
      <c r="J580" s="145">
        <v>92307.69231</v>
      </c>
      <c r="K580" s="145">
        <v>97633.1361</v>
      </c>
      <c r="L580" s="145">
        <v>94082.84024</v>
      </c>
      <c r="M580" s="145">
        <v>92307.69231</v>
      </c>
      <c r="N580" s="145">
        <v>65680.47337</v>
      </c>
      <c r="O580" s="148">
        <v>58579.88166</v>
      </c>
      <c r="P580" s="146">
        <v>47928.99408</v>
      </c>
      <c r="Q580" s="146">
        <v>51479.28994</v>
      </c>
      <c r="R580" s="146">
        <v>53254.43787</v>
      </c>
      <c r="S580" s="146">
        <v>74556.21302</v>
      </c>
    </row>
    <row r="581">
      <c r="A581" s="145">
        <v>35.641</v>
      </c>
      <c r="B581" s="145">
        <f t="shared" si="1"/>
        <v>11512.043</v>
      </c>
      <c r="C581" s="145">
        <v>71005.91716</v>
      </c>
      <c r="D581" s="145">
        <v>67455.6213</v>
      </c>
      <c r="E581" s="146">
        <v>74556.21302</v>
      </c>
      <c r="F581" s="145">
        <v>74556.21302</v>
      </c>
      <c r="G581" s="146">
        <v>79881.65681</v>
      </c>
      <c r="H581" s="146">
        <v>111834.3195</v>
      </c>
      <c r="I581" s="146">
        <v>85207.10059</v>
      </c>
      <c r="J581" s="145">
        <v>92307.69231</v>
      </c>
      <c r="K581" s="145">
        <v>97633.1361</v>
      </c>
      <c r="L581" s="145">
        <v>94082.84024</v>
      </c>
      <c r="M581" s="145">
        <v>92307.69231</v>
      </c>
      <c r="N581" s="145">
        <v>65680.47337</v>
      </c>
      <c r="O581" s="148">
        <v>58579.88166</v>
      </c>
      <c r="P581" s="146">
        <v>47928.99408</v>
      </c>
      <c r="Q581" s="146">
        <v>51479.28994</v>
      </c>
      <c r="R581" s="146">
        <v>53254.43787</v>
      </c>
      <c r="S581" s="146">
        <v>74556.21302</v>
      </c>
    </row>
    <row r="582">
      <c r="A582" s="145">
        <v>35.688</v>
      </c>
      <c r="B582" s="145">
        <f t="shared" si="1"/>
        <v>11527.224</v>
      </c>
      <c r="C582" s="145">
        <v>71005.91716</v>
      </c>
      <c r="D582" s="145">
        <v>67455.6213</v>
      </c>
      <c r="E582" s="146">
        <v>74556.21302</v>
      </c>
      <c r="F582" s="145">
        <v>74556.21302</v>
      </c>
      <c r="G582" s="146">
        <v>79881.65681</v>
      </c>
      <c r="H582" s="146">
        <v>111834.3195</v>
      </c>
      <c r="I582" s="146">
        <v>85207.10059</v>
      </c>
      <c r="J582" s="145">
        <v>92307.69231</v>
      </c>
      <c r="K582" s="145">
        <v>97633.1361</v>
      </c>
      <c r="L582" s="145">
        <v>94082.84024</v>
      </c>
      <c r="M582" s="145">
        <v>92307.69231</v>
      </c>
      <c r="N582" s="145">
        <v>65680.47337</v>
      </c>
      <c r="O582" s="148">
        <v>58579.88166</v>
      </c>
      <c r="P582" s="146">
        <v>47928.99408</v>
      </c>
      <c r="Q582" s="146">
        <v>51479.28994</v>
      </c>
      <c r="R582" s="146">
        <v>53254.43787</v>
      </c>
      <c r="S582" s="146">
        <v>74556.21302</v>
      </c>
    </row>
    <row r="583">
      <c r="A583" s="145">
        <v>35.75</v>
      </c>
      <c r="B583" s="145">
        <f t="shared" si="1"/>
        <v>11547.25</v>
      </c>
      <c r="C583" s="145">
        <v>71005.91716</v>
      </c>
      <c r="D583" s="145">
        <v>67455.6213</v>
      </c>
      <c r="E583" s="146">
        <v>74556.21302</v>
      </c>
      <c r="F583" s="148">
        <v>74556.21302</v>
      </c>
      <c r="G583" s="146">
        <v>79881.65681</v>
      </c>
      <c r="H583" s="146">
        <v>111834.3195</v>
      </c>
      <c r="I583" s="146">
        <v>85207.10059</v>
      </c>
      <c r="J583" s="145">
        <v>92307.69231</v>
      </c>
      <c r="K583" s="145">
        <v>97633.1361</v>
      </c>
      <c r="L583" s="145">
        <v>94082.84024</v>
      </c>
      <c r="M583" s="145">
        <v>92307.69231</v>
      </c>
      <c r="N583" s="145">
        <v>65680.47337</v>
      </c>
      <c r="O583" s="148">
        <v>58579.88166</v>
      </c>
      <c r="P583" s="146">
        <v>47928.99408</v>
      </c>
      <c r="Q583" s="146">
        <v>51479.28994</v>
      </c>
      <c r="R583" s="146">
        <v>53254.43787</v>
      </c>
      <c r="S583" s="146">
        <v>74556.21302</v>
      </c>
    </row>
    <row r="584">
      <c r="A584" s="145">
        <v>35.813</v>
      </c>
      <c r="B584" s="145">
        <f t="shared" si="1"/>
        <v>11567.599</v>
      </c>
      <c r="C584" s="145">
        <v>71005.91716</v>
      </c>
      <c r="D584" s="145">
        <v>67455.6213</v>
      </c>
      <c r="E584" s="146">
        <v>74556.21302</v>
      </c>
      <c r="F584" s="148">
        <v>74556.21302</v>
      </c>
      <c r="G584" s="146">
        <v>79881.65681</v>
      </c>
      <c r="H584" s="146">
        <v>111834.3195</v>
      </c>
      <c r="I584" s="146">
        <v>85207.10059</v>
      </c>
      <c r="J584" s="145">
        <v>92307.69231</v>
      </c>
      <c r="K584" s="145">
        <v>97633.1361</v>
      </c>
      <c r="L584" s="145">
        <v>94082.84024</v>
      </c>
      <c r="M584" s="145">
        <v>92307.69231</v>
      </c>
      <c r="N584" s="145">
        <v>65680.47337</v>
      </c>
      <c r="O584" s="148">
        <v>58579.88166</v>
      </c>
      <c r="P584" s="146">
        <v>47928.99408</v>
      </c>
      <c r="Q584" s="146">
        <v>51479.28994</v>
      </c>
      <c r="R584" s="146">
        <v>53254.43787</v>
      </c>
      <c r="S584" s="146">
        <v>74556.21302</v>
      </c>
    </row>
    <row r="585">
      <c r="A585" s="145">
        <v>35.875</v>
      </c>
      <c r="B585" s="145">
        <f t="shared" si="1"/>
        <v>11587.625</v>
      </c>
      <c r="C585" s="145">
        <v>71005.91716</v>
      </c>
      <c r="D585" s="145">
        <v>67455.6213</v>
      </c>
      <c r="E585" s="146">
        <v>74556.21302</v>
      </c>
      <c r="F585" s="148">
        <v>74556.21302</v>
      </c>
      <c r="G585" s="146">
        <v>79881.65681</v>
      </c>
      <c r="H585" s="146">
        <v>111834.3195</v>
      </c>
      <c r="I585" s="146">
        <v>85207.10059</v>
      </c>
      <c r="J585" s="145">
        <v>92307.69231</v>
      </c>
      <c r="K585" s="145">
        <v>97633.1361</v>
      </c>
      <c r="L585" s="145">
        <v>94082.84024</v>
      </c>
      <c r="M585" s="145">
        <v>92307.69231</v>
      </c>
      <c r="N585" s="145">
        <v>65680.47337</v>
      </c>
      <c r="O585" s="148">
        <v>58579.88166</v>
      </c>
      <c r="P585" s="146">
        <v>47928.99408</v>
      </c>
      <c r="Q585" s="146">
        <v>51479.28994</v>
      </c>
      <c r="R585" s="146">
        <v>53254.43787</v>
      </c>
      <c r="S585" s="146">
        <v>74556.21302</v>
      </c>
    </row>
    <row r="586">
      <c r="A586" s="145">
        <v>35.938</v>
      </c>
      <c r="B586" s="145">
        <f t="shared" si="1"/>
        <v>11607.974</v>
      </c>
      <c r="C586" s="145">
        <v>71005.91716</v>
      </c>
      <c r="D586" s="145">
        <v>69230.76923</v>
      </c>
      <c r="E586" s="146">
        <v>74556.21302</v>
      </c>
      <c r="F586" s="148">
        <v>74556.21302</v>
      </c>
      <c r="G586" s="146">
        <v>79881.65681</v>
      </c>
      <c r="H586" s="146">
        <v>111834.3195</v>
      </c>
      <c r="I586" s="146">
        <v>85207.10059</v>
      </c>
      <c r="J586" s="145">
        <v>92307.69231</v>
      </c>
      <c r="K586" s="145">
        <v>97633.1361</v>
      </c>
      <c r="L586" s="145">
        <v>94082.84024</v>
      </c>
      <c r="M586" s="145">
        <v>92307.69231</v>
      </c>
      <c r="N586" s="145">
        <v>65680.47337</v>
      </c>
      <c r="O586" s="148">
        <v>58579.88166</v>
      </c>
      <c r="P586" s="146">
        <v>47928.99408</v>
      </c>
      <c r="Q586" s="146">
        <v>51479.28994</v>
      </c>
      <c r="R586" s="146">
        <v>53254.43787</v>
      </c>
      <c r="S586" s="146">
        <v>74556.21302</v>
      </c>
    </row>
    <row r="587">
      <c r="A587" s="145">
        <v>36.0</v>
      </c>
      <c r="B587" s="145">
        <f t="shared" si="1"/>
        <v>11628</v>
      </c>
      <c r="C587" s="145">
        <v>71005.91716</v>
      </c>
      <c r="D587" s="145">
        <v>69230.76923</v>
      </c>
      <c r="E587" s="146">
        <v>74556.21302</v>
      </c>
      <c r="F587" s="148">
        <v>74556.21302</v>
      </c>
      <c r="G587" s="146">
        <v>79881.65681</v>
      </c>
      <c r="H587" s="146">
        <v>111834.3195</v>
      </c>
      <c r="I587" s="146">
        <v>85207.10059</v>
      </c>
      <c r="J587" s="145">
        <v>92307.69231</v>
      </c>
      <c r="K587" s="145">
        <v>97633.1361</v>
      </c>
      <c r="L587" s="145">
        <v>94082.84024</v>
      </c>
      <c r="M587" s="145">
        <v>92307.69231</v>
      </c>
      <c r="N587" s="145">
        <v>65680.47337</v>
      </c>
      <c r="O587" s="148">
        <v>58579.88166</v>
      </c>
      <c r="P587" s="146">
        <v>47928.99408</v>
      </c>
      <c r="Q587" s="146">
        <v>51479.28994</v>
      </c>
      <c r="R587" s="146">
        <v>55029.5858</v>
      </c>
      <c r="S587" s="146">
        <v>74556.21302</v>
      </c>
    </row>
    <row r="588">
      <c r="A588" s="145">
        <v>36.079</v>
      </c>
      <c r="B588" s="145">
        <f t="shared" si="1"/>
        <v>11653.517</v>
      </c>
      <c r="C588" s="145">
        <v>71005.91716</v>
      </c>
      <c r="D588" s="145">
        <v>69230.76923</v>
      </c>
      <c r="E588" s="146">
        <v>74556.21302</v>
      </c>
      <c r="F588" s="148">
        <v>74556.21302</v>
      </c>
      <c r="G588" s="146">
        <v>79881.65681</v>
      </c>
      <c r="H588" s="146">
        <v>111834.3195</v>
      </c>
      <c r="I588" s="146">
        <v>85207.10059</v>
      </c>
      <c r="J588" s="145">
        <v>92307.69231</v>
      </c>
      <c r="K588" s="145">
        <v>97633.1361</v>
      </c>
      <c r="L588" s="145">
        <v>94082.84024</v>
      </c>
      <c r="M588" s="145">
        <v>92307.69231</v>
      </c>
      <c r="N588" s="145">
        <v>65680.47337</v>
      </c>
      <c r="O588" s="148">
        <v>58579.88166</v>
      </c>
      <c r="P588" s="146">
        <v>47928.99408</v>
      </c>
      <c r="Q588" s="146">
        <v>51479.28994</v>
      </c>
      <c r="R588" s="146">
        <v>55029.5858</v>
      </c>
      <c r="S588" s="146">
        <v>74556.21302</v>
      </c>
    </row>
    <row r="589">
      <c r="A589" s="145">
        <v>36.125</v>
      </c>
      <c r="B589" s="145">
        <f t="shared" si="1"/>
        <v>11668.375</v>
      </c>
      <c r="C589" s="145">
        <v>71005.91716</v>
      </c>
      <c r="D589" s="145">
        <v>69230.76923</v>
      </c>
      <c r="E589" s="146">
        <v>74556.21302</v>
      </c>
      <c r="F589" s="148">
        <v>74556.21302</v>
      </c>
      <c r="G589" s="146">
        <v>81656.80473</v>
      </c>
      <c r="H589" s="146">
        <v>111834.3195</v>
      </c>
      <c r="I589" s="146">
        <v>85207.10059</v>
      </c>
      <c r="J589" s="145">
        <v>92307.69231</v>
      </c>
      <c r="K589" s="145">
        <v>97633.1361</v>
      </c>
      <c r="L589" s="145">
        <v>94082.84024</v>
      </c>
      <c r="M589" s="145">
        <v>94082.84024</v>
      </c>
      <c r="N589" s="145">
        <v>65680.47337</v>
      </c>
      <c r="O589" s="148">
        <v>58579.88166</v>
      </c>
      <c r="P589" s="146">
        <v>47928.99408</v>
      </c>
      <c r="Q589" s="146">
        <v>51479.28994</v>
      </c>
      <c r="R589" s="146">
        <v>55029.5858</v>
      </c>
      <c r="S589" s="146">
        <v>74556.21302</v>
      </c>
    </row>
    <row r="590">
      <c r="A590" s="145">
        <v>36.188</v>
      </c>
      <c r="B590" s="145">
        <f t="shared" si="1"/>
        <v>11688.724</v>
      </c>
      <c r="C590" s="145">
        <v>71005.91716</v>
      </c>
      <c r="D590" s="145">
        <v>69230.76923</v>
      </c>
      <c r="E590" s="146">
        <v>74556.21302</v>
      </c>
      <c r="F590" s="148">
        <v>76331.36095</v>
      </c>
      <c r="G590" s="146">
        <v>81656.80473</v>
      </c>
      <c r="H590" s="146">
        <v>111834.3195</v>
      </c>
      <c r="I590" s="146">
        <v>85207.10059</v>
      </c>
      <c r="J590" s="145">
        <v>92307.69231</v>
      </c>
      <c r="K590" s="145">
        <v>97633.1361</v>
      </c>
      <c r="L590" s="145">
        <v>97633.1361</v>
      </c>
      <c r="M590" s="145">
        <v>94082.84024</v>
      </c>
      <c r="N590" s="145">
        <v>65680.47337</v>
      </c>
      <c r="O590" s="148">
        <v>58579.88166</v>
      </c>
      <c r="P590" s="146">
        <v>47928.99408</v>
      </c>
      <c r="Q590" s="146">
        <v>51479.28994</v>
      </c>
      <c r="R590" s="146">
        <v>55029.5858</v>
      </c>
      <c r="S590" s="146">
        <v>74556.21302</v>
      </c>
    </row>
    <row r="591">
      <c r="A591" s="145">
        <v>36.25</v>
      </c>
      <c r="B591" s="145">
        <f t="shared" si="1"/>
        <v>11708.75</v>
      </c>
      <c r="C591" s="145">
        <v>72781.06509</v>
      </c>
      <c r="D591" s="145">
        <v>69230.76923</v>
      </c>
      <c r="E591" s="146">
        <v>74556.21302</v>
      </c>
      <c r="F591" s="148">
        <v>76331.36095</v>
      </c>
      <c r="G591" s="146">
        <v>81656.80473</v>
      </c>
      <c r="H591" s="146">
        <v>111834.3195</v>
      </c>
      <c r="I591" s="146">
        <v>85207.10059</v>
      </c>
      <c r="J591" s="145">
        <v>92307.69231</v>
      </c>
      <c r="K591" s="145">
        <v>97633.1361</v>
      </c>
      <c r="L591" s="145">
        <v>97633.1361</v>
      </c>
      <c r="M591" s="145">
        <v>94082.84024</v>
      </c>
      <c r="N591" s="145">
        <v>65680.47337</v>
      </c>
      <c r="O591" s="148">
        <v>58579.88166</v>
      </c>
      <c r="P591" s="146">
        <v>49704.14201</v>
      </c>
      <c r="Q591" s="146">
        <v>51479.28994</v>
      </c>
      <c r="R591" s="146">
        <v>55029.5858</v>
      </c>
      <c r="S591" s="146">
        <v>74556.21302</v>
      </c>
    </row>
    <row r="592">
      <c r="A592" s="145">
        <v>36.313</v>
      </c>
      <c r="B592" s="145">
        <f t="shared" si="1"/>
        <v>11729.099</v>
      </c>
      <c r="C592" s="145">
        <v>72781.06509</v>
      </c>
      <c r="D592" s="145">
        <v>69230.76923</v>
      </c>
      <c r="E592" s="146">
        <v>74556.21302</v>
      </c>
      <c r="F592" s="148">
        <v>76331.36095</v>
      </c>
      <c r="G592" s="146">
        <v>81656.80473</v>
      </c>
      <c r="H592" s="146">
        <v>111834.3195</v>
      </c>
      <c r="I592" s="146">
        <v>85207.10059</v>
      </c>
      <c r="J592" s="145">
        <v>92307.69231</v>
      </c>
      <c r="K592" s="145">
        <v>97633.1361</v>
      </c>
      <c r="L592" s="145">
        <v>97633.1361</v>
      </c>
      <c r="M592" s="145">
        <v>94082.84024</v>
      </c>
      <c r="N592" s="145">
        <v>65680.47337</v>
      </c>
      <c r="O592" s="148">
        <v>58579.88166</v>
      </c>
      <c r="P592" s="146">
        <v>49704.14201</v>
      </c>
      <c r="Q592" s="146">
        <v>51479.28994</v>
      </c>
      <c r="R592" s="146">
        <v>55029.5858</v>
      </c>
      <c r="S592" s="146">
        <v>76331.36095</v>
      </c>
    </row>
    <row r="593">
      <c r="A593" s="145">
        <v>36.375</v>
      </c>
      <c r="B593" s="145">
        <f t="shared" si="1"/>
        <v>11749.125</v>
      </c>
      <c r="C593" s="145">
        <v>72781.06509</v>
      </c>
      <c r="D593" s="145">
        <v>69230.76923</v>
      </c>
      <c r="E593" s="146">
        <v>74556.21302</v>
      </c>
      <c r="F593" s="148">
        <v>76331.36095</v>
      </c>
      <c r="G593" s="146">
        <v>81656.80473</v>
      </c>
      <c r="H593" s="146">
        <v>111834.3195</v>
      </c>
      <c r="I593" s="146">
        <v>85207.10059</v>
      </c>
      <c r="J593" s="145">
        <v>92307.69231</v>
      </c>
      <c r="K593" s="145">
        <v>97633.1361</v>
      </c>
      <c r="L593" s="145">
        <v>97633.1361</v>
      </c>
      <c r="M593" s="145">
        <v>94082.84024</v>
      </c>
      <c r="N593" s="145">
        <v>67455.6213</v>
      </c>
      <c r="O593" s="148">
        <v>58579.88166</v>
      </c>
      <c r="P593" s="146">
        <v>49704.14201</v>
      </c>
      <c r="Q593" s="146">
        <v>51479.28994</v>
      </c>
      <c r="R593" s="146">
        <v>55029.5858</v>
      </c>
      <c r="S593" s="146">
        <v>76331.36095</v>
      </c>
    </row>
    <row r="594">
      <c r="A594" s="145">
        <v>36.438</v>
      </c>
      <c r="B594" s="145">
        <f t="shared" si="1"/>
        <v>11769.474</v>
      </c>
      <c r="C594" s="145">
        <v>72781.06509</v>
      </c>
      <c r="D594" s="145">
        <v>69230.76923</v>
      </c>
      <c r="E594" s="146">
        <v>74556.21302</v>
      </c>
      <c r="F594" s="148">
        <v>76331.36095</v>
      </c>
      <c r="G594" s="146">
        <v>81656.80473</v>
      </c>
      <c r="H594" s="146">
        <v>111834.3195</v>
      </c>
      <c r="I594" s="146">
        <v>85207.10059</v>
      </c>
      <c r="J594" s="145">
        <v>92307.69231</v>
      </c>
      <c r="K594" s="145">
        <v>97633.1361</v>
      </c>
      <c r="L594" s="145">
        <v>97633.1361</v>
      </c>
      <c r="M594" s="145">
        <v>94082.84024</v>
      </c>
      <c r="N594" s="145">
        <v>67455.6213</v>
      </c>
      <c r="O594" s="148">
        <v>58579.88166</v>
      </c>
      <c r="P594" s="146">
        <v>49704.14201</v>
      </c>
      <c r="Q594" s="146">
        <v>51479.28994</v>
      </c>
      <c r="R594" s="146">
        <v>55029.5858</v>
      </c>
      <c r="S594" s="146">
        <v>76331.36095</v>
      </c>
    </row>
    <row r="595">
      <c r="A595" s="145">
        <v>36.5</v>
      </c>
      <c r="B595" s="145">
        <f t="shared" si="1"/>
        <v>11789.5</v>
      </c>
      <c r="C595" s="145">
        <v>72781.06509</v>
      </c>
      <c r="D595" s="145">
        <v>69230.76923</v>
      </c>
      <c r="E595" s="146">
        <v>74556.21302</v>
      </c>
      <c r="F595" s="148">
        <v>76331.36095</v>
      </c>
      <c r="G595" s="146">
        <v>81656.80473</v>
      </c>
      <c r="H595" s="146">
        <v>111834.3195</v>
      </c>
      <c r="I595" s="146">
        <v>85207.10059</v>
      </c>
      <c r="J595" s="145">
        <v>92307.69231</v>
      </c>
      <c r="K595" s="145">
        <v>97633.1361</v>
      </c>
      <c r="L595" s="145">
        <v>97633.1361</v>
      </c>
      <c r="M595" s="145">
        <v>94082.84024</v>
      </c>
      <c r="N595" s="145">
        <v>67455.6213</v>
      </c>
      <c r="O595" s="148">
        <v>58579.88166</v>
      </c>
      <c r="P595" s="146">
        <v>49704.14201</v>
      </c>
      <c r="Q595" s="146">
        <v>51479.28994</v>
      </c>
      <c r="R595" s="146">
        <v>56804.73373</v>
      </c>
      <c r="S595" s="146">
        <v>76331.36095</v>
      </c>
    </row>
    <row r="596">
      <c r="A596" s="145">
        <v>36.563</v>
      </c>
      <c r="B596" s="145">
        <f t="shared" si="1"/>
        <v>11809.849</v>
      </c>
      <c r="C596" s="145">
        <v>72781.06509</v>
      </c>
      <c r="D596" s="145">
        <v>69230.76923</v>
      </c>
      <c r="E596" s="146">
        <v>74556.21302</v>
      </c>
      <c r="F596" s="148">
        <v>76331.36095</v>
      </c>
      <c r="G596" s="146">
        <v>81656.80473</v>
      </c>
      <c r="H596" s="146">
        <v>111834.3195</v>
      </c>
      <c r="I596" s="146">
        <v>85207.10059</v>
      </c>
      <c r="J596" s="145">
        <v>92307.69231</v>
      </c>
      <c r="K596" s="145">
        <v>97633.1361</v>
      </c>
      <c r="L596" s="145">
        <v>97633.1361</v>
      </c>
      <c r="M596" s="145">
        <v>94082.84024</v>
      </c>
      <c r="N596" s="145">
        <v>67455.6213</v>
      </c>
      <c r="O596" s="148">
        <v>58579.88166</v>
      </c>
      <c r="P596" s="146">
        <v>49704.14201</v>
      </c>
      <c r="Q596" s="146">
        <v>51479.28994</v>
      </c>
      <c r="R596" s="146">
        <v>56804.73373</v>
      </c>
      <c r="S596" s="146">
        <v>76331.36095</v>
      </c>
    </row>
    <row r="597">
      <c r="A597" s="145">
        <v>36.641</v>
      </c>
      <c r="B597" s="145">
        <f t="shared" si="1"/>
        <v>11835.043</v>
      </c>
      <c r="C597" s="145">
        <v>72781.06509</v>
      </c>
      <c r="D597" s="145">
        <v>71005.91716</v>
      </c>
      <c r="E597" s="146">
        <v>76331.36095</v>
      </c>
      <c r="F597" s="148">
        <v>76331.36095</v>
      </c>
      <c r="G597" s="146">
        <v>81656.80473</v>
      </c>
      <c r="H597" s="146">
        <v>111834.3195</v>
      </c>
      <c r="I597" s="146">
        <v>85207.10059</v>
      </c>
      <c r="J597" s="145">
        <v>92307.69231</v>
      </c>
      <c r="K597" s="145">
        <v>97633.1361</v>
      </c>
      <c r="L597" s="145">
        <v>97633.1361</v>
      </c>
      <c r="M597" s="145">
        <v>94082.84024</v>
      </c>
      <c r="N597" s="145">
        <v>67455.6213</v>
      </c>
      <c r="O597" s="148">
        <v>58579.88166</v>
      </c>
      <c r="P597" s="146">
        <v>49704.14201</v>
      </c>
      <c r="Q597" s="146">
        <v>51479.28994</v>
      </c>
      <c r="R597" s="146">
        <v>56804.73373</v>
      </c>
      <c r="S597" s="146">
        <v>76331.36095</v>
      </c>
    </row>
    <row r="598">
      <c r="A598" s="145">
        <v>36.688</v>
      </c>
      <c r="B598" s="145">
        <f t="shared" si="1"/>
        <v>11850.224</v>
      </c>
      <c r="C598" s="145">
        <v>72781.06509</v>
      </c>
      <c r="D598" s="145">
        <v>71005.91716</v>
      </c>
      <c r="E598" s="146">
        <v>76331.36095</v>
      </c>
      <c r="F598" s="148">
        <v>76331.36095</v>
      </c>
      <c r="G598" s="146">
        <v>81656.80473</v>
      </c>
      <c r="H598" s="146">
        <v>115384.6154</v>
      </c>
      <c r="I598" s="146">
        <v>85207.10059</v>
      </c>
      <c r="J598" s="145">
        <v>92307.69231</v>
      </c>
      <c r="K598" s="145">
        <v>97633.1361</v>
      </c>
      <c r="L598" s="145">
        <v>97633.1361</v>
      </c>
      <c r="M598" s="145">
        <v>94082.84024</v>
      </c>
      <c r="N598" s="145">
        <v>67455.6213</v>
      </c>
      <c r="O598" s="148">
        <v>58579.88166</v>
      </c>
      <c r="P598" s="146">
        <v>49704.14201</v>
      </c>
      <c r="Q598" s="146">
        <v>51479.28994</v>
      </c>
      <c r="R598" s="146">
        <v>56804.73373</v>
      </c>
      <c r="S598" s="146">
        <v>76331.36095</v>
      </c>
    </row>
    <row r="599">
      <c r="A599" s="145">
        <v>36.75</v>
      </c>
      <c r="B599" s="145">
        <f t="shared" si="1"/>
        <v>11870.25</v>
      </c>
      <c r="C599" s="145">
        <v>72781.06509</v>
      </c>
      <c r="D599" s="145">
        <v>71005.91716</v>
      </c>
      <c r="E599" s="146">
        <v>76331.36095</v>
      </c>
      <c r="F599" s="148">
        <v>76331.36095</v>
      </c>
      <c r="G599" s="146">
        <v>83431.95266</v>
      </c>
      <c r="H599" s="146">
        <v>115384.6154</v>
      </c>
      <c r="I599" s="146">
        <v>85207.10059</v>
      </c>
      <c r="J599" s="145">
        <v>92307.69231</v>
      </c>
      <c r="K599" s="145">
        <v>101183.432</v>
      </c>
      <c r="L599" s="145">
        <v>97633.1361</v>
      </c>
      <c r="M599" s="145">
        <v>94082.84024</v>
      </c>
      <c r="N599" s="145">
        <v>67455.6213</v>
      </c>
      <c r="O599" s="148">
        <v>58579.88166</v>
      </c>
      <c r="P599" s="146">
        <v>49704.14201</v>
      </c>
      <c r="Q599" s="146">
        <v>51479.28994</v>
      </c>
      <c r="R599" s="146">
        <v>56804.73373</v>
      </c>
      <c r="S599" s="146">
        <v>76331.36095</v>
      </c>
    </row>
    <row r="600">
      <c r="A600" s="145">
        <v>36.813</v>
      </c>
      <c r="B600" s="145">
        <f t="shared" si="1"/>
        <v>11890.599</v>
      </c>
      <c r="C600" s="145">
        <v>72781.06509</v>
      </c>
      <c r="D600" s="145">
        <v>71005.91716</v>
      </c>
      <c r="E600" s="146">
        <v>76331.36095</v>
      </c>
      <c r="F600" s="148">
        <v>76331.36095</v>
      </c>
      <c r="G600" s="146">
        <v>83431.95266</v>
      </c>
      <c r="H600" s="146">
        <v>115384.6154</v>
      </c>
      <c r="I600" s="146">
        <v>85207.10059</v>
      </c>
      <c r="J600" s="145">
        <v>92307.69231</v>
      </c>
      <c r="K600" s="145">
        <v>101183.432</v>
      </c>
      <c r="L600" s="145">
        <v>97633.1361</v>
      </c>
      <c r="M600" s="145">
        <v>94082.84024</v>
      </c>
      <c r="N600" s="145">
        <v>67455.6213</v>
      </c>
      <c r="O600" s="148">
        <v>58579.88166</v>
      </c>
      <c r="P600" s="146">
        <v>49704.14201</v>
      </c>
      <c r="Q600" s="146">
        <v>51479.28994</v>
      </c>
      <c r="R600" s="146">
        <v>56804.73373</v>
      </c>
      <c r="S600" s="146">
        <v>76331.36095</v>
      </c>
    </row>
    <row r="601">
      <c r="A601" s="145">
        <v>36.875</v>
      </c>
      <c r="B601" s="145">
        <f t="shared" si="1"/>
        <v>11910.625</v>
      </c>
      <c r="C601" s="145">
        <v>72781.06509</v>
      </c>
      <c r="D601" s="145">
        <v>72781.06509</v>
      </c>
      <c r="E601" s="146">
        <v>76331.36095</v>
      </c>
      <c r="F601" s="148">
        <v>76331.36095</v>
      </c>
      <c r="G601" s="146">
        <v>83431.95266</v>
      </c>
      <c r="H601" s="146">
        <v>115384.6154</v>
      </c>
      <c r="I601" s="146">
        <v>85207.10059</v>
      </c>
      <c r="J601" s="145">
        <v>92307.69231</v>
      </c>
      <c r="K601" s="145">
        <v>101183.432</v>
      </c>
      <c r="L601" s="145">
        <v>97633.1361</v>
      </c>
      <c r="M601" s="145">
        <v>94082.84024</v>
      </c>
      <c r="N601" s="145">
        <v>67455.6213</v>
      </c>
      <c r="O601" s="148">
        <v>58579.88166</v>
      </c>
      <c r="P601" s="146">
        <v>51479.28994</v>
      </c>
      <c r="Q601" s="146">
        <v>51479.28994</v>
      </c>
      <c r="R601" s="146">
        <v>56804.73373</v>
      </c>
      <c r="S601" s="146">
        <v>76331.36095</v>
      </c>
    </row>
    <row r="602">
      <c r="A602" s="145">
        <v>36.954</v>
      </c>
      <c r="B602" s="145">
        <f t="shared" si="1"/>
        <v>11936.142</v>
      </c>
      <c r="C602" s="145">
        <v>72781.06509</v>
      </c>
      <c r="D602" s="145">
        <v>74556.21302</v>
      </c>
      <c r="E602" s="146">
        <v>76331.36095</v>
      </c>
      <c r="F602" s="148">
        <v>76331.36095</v>
      </c>
      <c r="G602" s="146">
        <v>83431.95266</v>
      </c>
      <c r="H602" s="146">
        <v>115384.6154</v>
      </c>
      <c r="I602" s="146">
        <v>85207.10059</v>
      </c>
      <c r="J602" s="145">
        <v>94082.84024</v>
      </c>
      <c r="K602" s="145">
        <v>101183.432</v>
      </c>
      <c r="L602" s="145">
        <v>97633.1361</v>
      </c>
      <c r="M602" s="145">
        <v>94082.84024</v>
      </c>
      <c r="N602" s="145">
        <v>67455.6213</v>
      </c>
      <c r="O602" s="148">
        <v>58579.88166</v>
      </c>
      <c r="P602" s="146">
        <v>51479.28994</v>
      </c>
      <c r="Q602" s="146">
        <v>51479.28994</v>
      </c>
      <c r="R602" s="146">
        <v>56804.73373</v>
      </c>
      <c r="S602" s="146">
        <v>76331.36095</v>
      </c>
    </row>
    <row r="603">
      <c r="A603" s="145">
        <v>37.0</v>
      </c>
      <c r="B603" s="145">
        <f t="shared" si="1"/>
        <v>11951</v>
      </c>
      <c r="C603" s="145">
        <v>72781.06509</v>
      </c>
      <c r="D603" s="145">
        <v>74556.21302</v>
      </c>
      <c r="E603" s="146">
        <v>76331.36095</v>
      </c>
      <c r="F603" s="148">
        <v>76331.36095</v>
      </c>
      <c r="G603" s="146">
        <v>83431.95266</v>
      </c>
      <c r="H603" s="146">
        <v>115384.6154</v>
      </c>
      <c r="I603" s="146">
        <v>85207.10059</v>
      </c>
      <c r="J603" s="145">
        <v>94082.84024</v>
      </c>
      <c r="K603" s="145">
        <v>101183.432</v>
      </c>
      <c r="L603" s="145">
        <v>97633.1361</v>
      </c>
      <c r="M603" s="145">
        <v>94082.84024</v>
      </c>
      <c r="N603" s="145">
        <v>67455.6213</v>
      </c>
      <c r="O603" s="148">
        <v>58579.88166</v>
      </c>
      <c r="P603" s="146">
        <v>51479.28994</v>
      </c>
      <c r="Q603" s="146">
        <v>51479.28994</v>
      </c>
      <c r="R603" s="146">
        <v>58579.88166</v>
      </c>
      <c r="S603" s="146">
        <v>76331.36095</v>
      </c>
    </row>
    <row r="604">
      <c r="A604" s="145">
        <v>37.063</v>
      </c>
      <c r="B604" s="145">
        <f t="shared" si="1"/>
        <v>11971.349</v>
      </c>
      <c r="C604" s="145">
        <v>72781.06509</v>
      </c>
      <c r="D604" s="145">
        <v>74556.21302</v>
      </c>
      <c r="E604" s="146">
        <v>76331.36095</v>
      </c>
      <c r="F604" s="148">
        <v>76331.36095</v>
      </c>
      <c r="G604" s="146">
        <v>83431.95266</v>
      </c>
      <c r="H604" s="146">
        <v>115384.6154</v>
      </c>
      <c r="I604" s="146">
        <v>85207.10059</v>
      </c>
      <c r="J604" s="145">
        <v>94082.84024</v>
      </c>
      <c r="K604" s="145">
        <v>101183.432</v>
      </c>
      <c r="L604" s="145">
        <v>97633.1361</v>
      </c>
      <c r="M604" s="145">
        <v>94082.84024</v>
      </c>
      <c r="N604" s="145">
        <v>67455.6213</v>
      </c>
      <c r="O604" s="148">
        <v>58579.88166</v>
      </c>
      <c r="P604" s="146">
        <v>51479.28994</v>
      </c>
      <c r="Q604" s="146">
        <v>53254.43787</v>
      </c>
      <c r="R604" s="146">
        <v>58579.88166</v>
      </c>
      <c r="S604" s="146">
        <v>76331.36095</v>
      </c>
    </row>
    <row r="605">
      <c r="A605" s="145">
        <v>37.125</v>
      </c>
      <c r="B605" s="145">
        <f t="shared" si="1"/>
        <v>11991.375</v>
      </c>
      <c r="C605" s="145">
        <v>72781.06509</v>
      </c>
      <c r="D605" s="145">
        <v>76331.36095</v>
      </c>
      <c r="E605" s="146">
        <v>76331.36095</v>
      </c>
      <c r="F605" s="148">
        <v>76331.36095</v>
      </c>
      <c r="G605" s="146">
        <v>83431.95266</v>
      </c>
      <c r="H605" s="146">
        <v>115384.6154</v>
      </c>
      <c r="I605" s="146">
        <v>85207.10059</v>
      </c>
      <c r="J605" s="145">
        <v>94082.84024</v>
      </c>
      <c r="K605" s="145">
        <v>101183.432</v>
      </c>
      <c r="L605" s="145">
        <v>97633.1361</v>
      </c>
      <c r="M605" s="145">
        <v>94082.84024</v>
      </c>
      <c r="N605" s="145">
        <v>67455.6213</v>
      </c>
      <c r="O605" s="148">
        <v>58579.88166</v>
      </c>
      <c r="P605" s="146">
        <v>51479.28994</v>
      </c>
      <c r="Q605" s="146">
        <v>53254.43787</v>
      </c>
      <c r="R605" s="146">
        <v>58579.88166</v>
      </c>
      <c r="S605" s="146">
        <v>76331.36095</v>
      </c>
    </row>
    <row r="606">
      <c r="A606" s="145">
        <v>37.204</v>
      </c>
      <c r="B606" s="145">
        <f t="shared" si="1"/>
        <v>12016.892</v>
      </c>
      <c r="C606" s="145">
        <v>72781.06509</v>
      </c>
      <c r="D606" s="145">
        <v>76331.36095</v>
      </c>
      <c r="E606" s="146">
        <v>76331.36095</v>
      </c>
      <c r="F606" s="148">
        <v>76331.36095</v>
      </c>
      <c r="G606" s="146">
        <v>83431.95266</v>
      </c>
      <c r="H606" s="146">
        <v>115384.6154</v>
      </c>
      <c r="I606" s="146">
        <v>85207.10059</v>
      </c>
      <c r="J606" s="145">
        <v>94082.84024</v>
      </c>
      <c r="K606" s="145">
        <v>101183.432</v>
      </c>
      <c r="L606" s="145">
        <v>97633.1361</v>
      </c>
      <c r="M606" s="145">
        <v>94082.84024</v>
      </c>
      <c r="N606" s="145">
        <v>67455.6213</v>
      </c>
      <c r="O606" s="148">
        <v>58579.88166</v>
      </c>
      <c r="P606" s="146">
        <v>51479.28994</v>
      </c>
      <c r="Q606" s="146">
        <v>53254.43787</v>
      </c>
      <c r="R606" s="146">
        <v>58579.88166</v>
      </c>
      <c r="S606" s="146">
        <v>76331.36095</v>
      </c>
    </row>
    <row r="607">
      <c r="A607" s="145">
        <v>37.25</v>
      </c>
      <c r="B607" s="145">
        <f t="shared" si="1"/>
        <v>12031.75</v>
      </c>
      <c r="C607" s="145">
        <v>72781.06509</v>
      </c>
      <c r="D607" s="145">
        <v>76331.36095</v>
      </c>
      <c r="E607" s="146">
        <v>76331.36095</v>
      </c>
      <c r="F607" s="148">
        <v>76331.36095</v>
      </c>
      <c r="G607" s="146">
        <v>83431.95266</v>
      </c>
      <c r="H607" s="146">
        <v>115384.6154</v>
      </c>
      <c r="I607" s="146">
        <v>85207.10059</v>
      </c>
      <c r="J607" s="145">
        <v>94082.84024</v>
      </c>
      <c r="K607" s="145">
        <v>101183.432</v>
      </c>
      <c r="L607" s="145">
        <v>97633.1361</v>
      </c>
      <c r="M607" s="145">
        <v>94082.84024</v>
      </c>
      <c r="N607" s="145">
        <v>67455.6213</v>
      </c>
      <c r="O607" s="148">
        <v>58579.88166</v>
      </c>
      <c r="P607" s="146">
        <v>51479.28994</v>
      </c>
      <c r="Q607" s="146">
        <v>53254.43787</v>
      </c>
      <c r="R607" s="146">
        <v>58579.88166</v>
      </c>
      <c r="S607" s="146">
        <v>76331.36095</v>
      </c>
    </row>
    <row r="608">
      <c r="A608" s="145">
        <v>37.313</v>
      </c>
      <c r="B608" s="145">
        <f t="shared" si="1"/>
        <v>12052.099</v>
      </c>
      <c r="C608" s="145">
        <v>72781.06509</v>
      </c>
      <c r="D608" s="145">
        <v>76331.36095</v>
      </c>
      <c r="E608" s="146">
        <v>76331.36095</v>
      </c>
      <c r="F608" s="148">
        <v>76331.36095</v>
      </c>
      <c r="G608" s="146">
        <v>83431.95266</v>
      </c>
      <c r="H608" s="146">
        <v>115384.6154</v>
      </c>
      <c r="I608" s="146">
        <v>85207.10059</v>
      </c>
      <c r="J608" s="145">
        <v>94082.84024</v>
      </c>
      <c r="K608" s="145">
        <v>101183.432</v>
      </c>
      <c r="L608" s="145">
        <v>97633.1361</v>
      </c>
      <c r="M608" s="145">
        <v>94082.84024</v>
      </c>
      <c r="N608" s="145">
        <v>67455.6213</v>
      </c>
      <c r="O608" s="148">
        <v>58579.88166</v>
      </c>
      <c r="P608" s="146">
        <v>51479.28994</v>
      </c>
      <c r="Q608" s="146">
        <v>53254.43787</v>
      </c>
      <c r="R608" s="146">
        <v>58579.88166</v>
      </c>
      <c r="S608" s="146">
        <v>76331.36095</v>
      </c>
    </row>
    <row r="609">
      <c r="A609" s="145">
        <v>37.375</v>
      </c>
      <c r="B609" s="145">
        <f t="shared" si="1"/>
        <v>12072.125</v>
      </c>
      <c r="C609" s="145">
        <v>72781.06509</v>
      </c>
      <c r="D609" s="145">
        <v>76331.36095</v>
      </c>
      <c r="E609" s="146">
        <v>76331.36095</v>
      </c>
      <c r="F609" s="148">
        <v>76331.36095</v>
      </c>
      <c r="G609" s="146">
        <v>83431.95266</v>
      </c>
      <c r="H609" s="146">
        <v>115384.6154</v>
      </c>
      <c r="I609" s="146">
        <v>85207.10059</v>
      </c>
      <c r="J609" s="145">
        <v>94082.84024</v>
      </c>
      <c r="K609" s="145">
        <v>101183.432</v>
      </c>
      <c r="L609" s="145">
        <v>97633.1361</v>
      </c>
      <c r="M609" s="145">
        <v>94082.84024</v>
      </c>
      <c r="N609" s="145">
        <v>67455.6213</v>
      </c>
      <c r="O609" s="148">
        <v>58579.88166</v>
      </c>
      <c r="P609" s="146">
        <v>51479.28994</v>
      </c>
      <c r="Q609" s="146">
        <v>53254.43787</v>
      </c>
      <c r="R609" s="146">
        <v>58579.88166</v>
      </c>
      <c r="S609" s="146">
        <v>76331.36095</v>
      </c>
    </row>
    <row r="610">
      <c r="A610" s="145">
        <v>37.454</v>
      </c>
      <c r="B610" s="145">
        <f t="shared" si="1"/>
        <v>12097.642</v>
      </c>
      <c r="C610" s="145">
        <v>72781.06509</v>
      </c>
      <c r="D610" s="145">
        <v>76331.36095</v>
      </c>
      <c r="E610" s="146">
        <v>76331.36095</v>
      </c>
      <c r="F610" s="148">
        <v>76331.36095</v>
      </c>
      <c r="G610" s="146">
        <v>83431.95266</v>
      </c>
      <c r="H610" s="146">
        <v>115384.6154</v>
      </c>
      <c r="I610" s="146">
        <v>85207.10059</v>
      </c>
      <c r="J610" s="145">
        <v>94082.84024</v>
      </c>
      <c r="K610" s="145">
        <v>101183.432</v>
      </c>
      <c r="L610" s="145">
        <v>97633.1361</v>
      </c>
      <c r="M610" s="145">
        <v>94082.84024</v>
      </c>
      <c r="N610" s="145">
        <v>67455.6213</v>
      </c>
      <c r="O610" s="148">
        <v>58579.88166</v>
      </c>
      <c r="P610" s="146">
        <v>51479.28994</v>
      </c>
      <c r="Q610" s="146">
        <v>53254.43787</v>
      </c>
      <c r="R610" s="146">
        <v>58579.88166</v>
      </c>
      <c r="S610" s="146">
        <v>76331.36095</v>
      </c>
    </row>
    <row r="611">
      <c r="A611" s="145">
        <v>37.5</v>
      </c>
      <c r="B611" s="145">
        <f t="shared" si="1"/>
        <v>12112.5</v>
      </c>
      <c r="C611" s="145">
        <v>72781.06509</v>
      </c>
      <c r="D611" s="145">
        <v>78106.50888</v>
      </c>
      <c r="E611" s="146">
        <v>76331.36095</v>
      </c>
      <c r="F611" s="148">
        <v>76331.36095</v>
      </c>
      <c r="G611" s="146">
        <v>83431.95266</v>
      </c>
      <c r="H611" s="146">
        <v>115384.6154</v>
      </c>
      <c r="I611" s="146">
        <v>85207.10059</v>
      </c>
      <c r="J611" s="145">
        <v>94082.84024</v>
      </c>
      <c r="K611" s="145">
        <v>101183.432</v>
      </c>
      <c r="L611" s="145">
        <v>97633.1361</v>
      </c>
      <c r="M611" s="145">
        <v>94082.84024</v>
      </c>
      <c r="N611" s="145">
        <v>67455.6213</v>
      </c>
      <c r="O611" s="148">
        <v>58579.88166</v>
      </c>
      <c r="P611" s="146">
        <v>51479.28994</v>
      </c>
      <c r="Q611" s="146">
        <v>53254.43787</v>
      </c>
      <c r="R611" s="146">
        <v>58579.88166</v>
      </c>
      <c r="S611" s="146">
        <v>76331.36095</v>
      </c>
    </row>
    <row r="612">
      <c r="A612" s="145">
        <v>37.563</v>
      </c>
      <c r="B612" s="145">
        <f t="shared" si="1"/>
        <v>12132.849</v>
      </c>
      <c r="C612" s="145">
        <v>72781.06509</v>
      </c>
      <c r="D612" s="145">
        <v>78106.50888</v>
      </c>
      <c r="E612" s="146">
        <v>76331.36095</v>
      </c>
      <c r="F612" s="148">
        <v>76331.36095</v>
      </c>
      <c r="G612" s="146">
        <v>83431.95266</v>
      </c>
      <c r="H612" s="146">
        <v>115384.6154</v>
      </c>
      <c r="I612" s="146">
        <v>85207.10059</v>
      </c>
      <c r="J612" s="145">
        <v>94082.84024</v>
      </c>
      <c r="K612" s="145">
        <v>101183.432</v>
      </c>
      <c r="L612" s="145">
        <v>97633.1361</v>
      </c>
      <c r="M612" s="145">
        <v>94082.84024</v>
      </c>
      <c r="N612" s="145">
        <v>67455.6213</v>
      </c>
      <c r="O612" s="148">
        <v>58579.88166</v>
      </c>
      <c r="P612" s="146">
        <v>51479.28994</v>
      </c>
      <c r="Q612" s="146">
        <v>53254.43787</v>
      </c>
      <c r="R612" s="146">
        <v>58579.88166</v>
      </c>
      <c r="S612" s="146">
        <v>76331.36095</v>
      </c>
    </row>
    <row r="613">
      <c r="A613" s="145">
        <v>37.625</v>
      </c>
      <c r="B613" s="145">
        <f t="shared" si="1"/>
        <v>12152.875</v>
      </c>
      <c r="C613" s="145">
        <v>72781.06509</v>
      </c>
      <c r="D613" s="145">
        <v>78106.50888</v>
      </c>
      <c r="E613" s="146">
        <v>76331.36095</v>
      </c>
      <c r="F613" s="148">
        <v>76331.36095</v>
      </c>
      <c r="G613" s="146">
        <v>83431.95266</v>
      </c>
      <c r="H613" s="146">
        <v>115384.6154</v>
      </c>
      <c r="I613" s="146">
        <v>85207.10059</v>
      </c>
      <c r="J613" s="145">
        <v>94082.84024</v>
      </c>
      <c r="K613" s="145">
        <v>101183.432</v>
      </c>
      <c r="L613" s="145">
        <v>97633.1361</v>
      </c>
      <c r="M613" s="145">
        <v>94082.84024</v>
      </c>
      <c r="N613" s="145">
        <v>67455.6213</v>
      </c>
      <c r="O613" s="148">
        <v>58579.88166</v>
      </c>
      <c r="P613" s="146">
        <v>51479.28994</v>
      </c>
      <c r="Q613" s="146">
        <v>53254.43787</v>
      </c>
      <c r="R613" s="146">
        <v>58579.88166</v>
      </c>
      <c r="S613" s="146">
        <v>76331.36095</v>
      </c>
    </row>
    <row r="614">
      <c r="A614" s="145">
        <v>37.688</v>
      </c>
      <c r="B614" s="145">
        <f t="shared" si="1"/>
        <v>12173.224</v>
      </c>
      <c r="C614" s="145">
        <v>72781.06509</v>
      </c>
      <c r="D614" s="145">
        <v>78106.50888</v>
      </c>
      <c r="E614" s="146">
        <v>76331.36095</v>
      </c>
      <c r="F614" s="148">
        <v>76331.36095</v>
      </c>
      <c r="G614" s="146">
        <v>83431.95266</v>
      </c>
      <c r="H614" s="146">
        <v>115384.6154</v>
      </c>
      <c r="I614" s="146">
        <v>85207.10059</v>
      </c>
      <c r="J614" s="145">
        <v>94082.84024</v>
      </c>
      <c r="K614" s="145">
        <v>101183.432</v>
      </c>
      <c r="L614" s="145">
        <v>97633.1361</v>
      </c>
      <c r="M614" s="145">
        <v>94082.84024</v>
      </c>
      <c r="N614" s="145">
        <v>67455.6213</v>
      </c>
      <c r="O614" s="148">
        <v>58579.88166</v>
      </c>
      <c r="P614" s="146">
        <v>51479.28994</v>
      </c>
      <c r="Q614" s="146">
        <v>53254.43787</v>
      </c>
      <c r="R614" s="146">
        <v>58579.88166</v>
      </c>
      <c r="S614" s="146">
        <v>76331.36095</v>
      </c>
    </row>
    <row r="615">
      <c r="A615" s="145">
        <v>37.766</v>
      </c>
      <c r="B615" s="145">
        <f t="shared" si="1"/>
        <v>12198.418</v>
      </c>
      <c r="C615" s="145">
        <v>72781.06509</v>
      </c>
      <c r="D615" s="145">
        <v>78106.50888</v>
      </c>
      <c r="E615" s="146">
        <v>76331.36095</v>
      </c>
      <c r="F615" s="148">
        <v>76331.36095</v>
      </c>
      <c r="G615" s="146">
        <v>85207.10059</v>
      </c>
      <c r="H615" s="146">
        <v>115384.6154</v>
      </c>
      <c r="I615" s="146">
        <v>85207.10059</v>
      </c>
      <c r="J615" s="145">
        <v>94082.84024</v>
      </c>
      <c r="K615" s="145">
        <v>101183.432</v>
      </c>
      <c r="L615" s="145">
        <v>97633.1361</v>
      </c>
      <c r="M615" s="145">
        <v>94082.84024</v>
      </c>
      <c r="N615" s="145">
        <v>67455.6213</v>
      </c>
      <c r="O615" s="148">
        <v>58579.88166</v>
      </c>
      <c r="P615" s="146">
        <v>51479.28994</v>
      </c>
      <c r="Q615" s="146">
        <v>53254.43787</v>
      </c>
      <c r="R615" s="146">
        <v>58579.88166</v>
      </c>
      <c r="S615" s="146">
        <v>76331.36095</v>
      </c>
    </row>
    <row r="616">
      <c r="A616" s="145">
        <v>37.813</v>
      </c>
      <c r="B616" s="145">
        <f t="shared" si="1"/>
        <v>12213.599</v>
      </c>
      <c r="C616" s="145">
        <v>72781.06509</v>
      </c>
      <c r="D616" s="145">
        <v>79881.65681</v>
      </c>
      <c r="E616" s="146">
        <v>76331.36095</v>
      </c>
      <c r="F616" s="148">
        <v>76331.36095</v>
      </c>
      <c r="G616" s="146">
        <v>85207.10059</v>
      </c>
      <c r="H616" s="146">
        <v>115384.6154</v>
      </c>
      <c r="I616" s="146">
        <v>85207.10059</v>
      </c>
      <c r="J616" s="145">
        <v>94082.84024</v>
      </c>
      <c r="K616" s="145">
        <v>101183.432</v>
      </c>
      <c r="L616" s="145">
        <v>97633.1361</v>
      </c>
      <c r="M616" s="145">
        <v>94082.84024</v>
      </c>
      <c r="N616" s="145">
        <v>67455.6213</v>
      </c>
      <c r="O616" s="148">
        <v>60355.02959</v>
      </c>
      <c r="P616" s="146">
        <v>51479.28994</v>
      </c>
      <c r="Q616" s="146">
        <v>53254.43787</v>
      </c>
      <c r="R616" s="146">
        <v>58579.88166</v>
      </c>
      <c r="S616" s="146">
        <v>76331.36095</v>
      </c>
    </row>
    <row r="617">
      <c r="A617" s="145">
        <v>37.875</v>
      </c>
      <c r="B617" s="145">
        <f t="shared" si="1"/>
        <v>12233.625</v>
      </c>
      <c r="C617" s="145">
        <v>72781.06509</v>
      </c>
      <c r="D617" s="145">
        <v>79881.65681</v>
      </c>
      <c r="E617" s="146">
        <v>78106.50888</v>
      </c>
      <c r="F617" s="148">
        <v>76331.36095</v>
      </c>
      <c r="G617" s="146">
        <v>85207.10059</v>
      </c>
      <c r="H617" s="146">
        <v>115384.6154</v>
      </c>
      <c r="I617" s="146">
        <v>85207.10059</v>
      </c>
      <c r="J617" s="145">
        <v>94082.84024</v>
      </c>
      <c r="K617" s="145">
        <v>101183.432</v>
      </c>
      <c r="L617" s="145">
        <v>97633.1361</v>
      </c>
      <c r="M617" s="145">
        <v>94082.84024</v>
      </c>
      <c r="N617" s="145">
        <v>67455.6213</v>
      </c>
      <c r="O617" s="148">
        <v>60355.02959</v>
      </c>
      <c r="P617" s="146">
        <v>51479.28994</v>
      </c>
      <c r="Q617" s="146">
        <v>53254.43787</v>
      </c>
      <c r="R617" s="146">
        <v>58579.88166</v>
      </c>
      <c r="S617" s="146">
        <v>76331.36095</v>
      </c>
    </row>
    <row r="618">
      <c r="A618" s="145">
        <v>37.938</v>
      </c>
      <c r="B618" s="145">
        <f t="shared" si="1"/>
        <v>12253.974</v>
      </c>
      <c r="C618" s="145">
        <v>74556.21302</v>
      </c>
      <c r="D618" s="145">
        <v>79881.65681</v>
      </c>
      <c r="E618" s="146">
        <v>78106.50888</v>
      </c>
      <c r="F618" s="148">
        <v>76331.36095</v>
      </c>
      <c r="G618" s="146">
        <v>85207.10059</v>
      </c>
      <c r="H618" s="146">
        <v>115384.6154</v>
      </c>
      <c r="I618" s="146">
        <v>85207.10059</v>
      </c>
      <c r="J618" s="145">
        <v>94082.84024</v>
      </c>
      <c r="K618" s="145">
        <v>101183.432</v>
      </c>
      <c r="L618" s="145">
        <v>97633.1361</v>
      </c>
      <c r="M618" s="145">
        <v>94082.84024</v>
      </c>
      <c r="N618" s="145">
        <v>67455.6213</v>
      </c>
      <c r="O618" s="148">
        <v>60355.02959</v>
      </c>
      <c r="P618" s="146">
        <v>51479.28994</v>
      </c>
      <c r="Q618" s="146">
        <v>53254.43787</v>
      </c>
      <c r="R618" s="146">
        <v>58579.88166</v>
      </c>
      <c r="S618" s="146">
        <v>76331.36095</v>
      </c>
    </row>
    <row r="619">
      <c r="A619" s="145">
        <v>38.0</v>
      </c>
      <c r="B619" s="145">
        <f t="shared" si="1"/>
        <v>12274</v>
      </c>
      <c r="C619" s="145">
        <v>74556.21302</v>
      </c>
      <c r="D619" s="145">
        <v>79881.65681</v>
      </c>
      <c r="E619" s="146">
        <v>78106.50888</v>
      </c>
      <c r="F619" s="148">
        <v>76331.36095</v>
      </c>
      <c r="G619" s="146">
        <v>85207.10059</v>
      </c>
      <c r="H619" s="146">
        <v>115384.6154</v>
      </c>
      <c r="I619" s="146">
        <v>85207.10059</v>
      </c>
      <c r="J619" s="145">
        <v>94082.84024</v>
      </c>
      <c r="K619" s="145">
        <v>101183.432</v>
      </c>
      <c r="L619" s="145">
        <v>97633.1361</v>
      </c>
      <c r="M619" s="145">
        <v>94082.84024</v>
      </c>
      <c r="N619" s="145">
        <v>67455.6213</v>
      </c>
      <c r="O619" s="148">
        <v>60355.02959</v>
      </c>
      <c r="P619" s="146">
        <v>51479.28994</v>
      </c>
      <c r="Q619" s="146">
        <v>55029.5858</v>
      </c>
      <c r="R619" s="146">
        <v>58579.88166</v>
      </c>
      <c r="S619" s="146">
        <v>76331.36095</v>
      </c>
    </row>
    <row r="620">
      <c r="A620" s="145">
        <v>38.063</v>
      </c>
      <c r="B620" s="145">
        <f t="shared" si="1"/>
        <v>12294.349</v>
      </c>
      <c r="C620" s="145">
        <v>74556.21302</v>
      </c>
      <c r="D620" s="145">
        <v>79881.65681</v>
      </c>
      <c r="E620" s="146">
        <v>78106.50888</v>
      </c>
      <c r="F620" s="148">
        <v>76331.36095</v>
      </c>
      <c r="G620" s="146">
        <v>85207.10059</v>
      </c>
      <c r="H620" s="146">
        <v>115384.6154</v>
      </c>
      <c r="I620" s="146">
        <v>85207.10059</v>
      </c>
      <c r="J620" s="145">
        <v>95857.98817</v>
      </c>
      <c r="K620" s="145">
        <v>101183.432</v>
      </c>
      <c r="L620" s="145">
        <v>97633.1361</v>
      </c>
      <c r="M620" s="145">
        <v>94082.84024</v>
      </c>
      <c r="N620" s="145">
        <v>67455.6213</v>
      </c>
      <c r="O620" s="148">
        <v>60355.02959</v>
      </c>
      <c r="P620" s="146">
        <v>51479.28994</v>
      </c>
      <c r="Q620" s="146">
        <v>55029.5858</v>
      </c>
      <c r="R620" s="146">
        <v>58579.88166</v>
      </c>
      <c r="S620" s="146">
        <v>76331.36095</v>
      </c>
    </row>
    <row r="621">
      <c r="A621" s="145">
        <v>38.141</v>
      </c>
      <c r="B621" s="145">
        <f t="shared" si="1"/>
        <v>12319.543</v>
      </c>
      <c r="C621" s="145">
        <v>74556.21302</v>
      </c>
      <c r="D621" s="145">
        <v>79881.65681</v>
      </c>
      <c r="E621" s="146">
        <v>78106.50888</v>
      </c>
      <c r="F621" s="148">
        <v>76331.36095</v>
      </c>
      <c r="G621" s="146">
        <v>85207.10059</v>
      </c>
      <c r="H621" s="146">
        <v>115384.6154</v>
      </c>
      <c r="I621" s="146">
        <v>85207.10059</v>
      </c>
      <c r="J621" s="145">
        <v>95857.98817</v>
      </c>
      <c r="K621" s="145">
        <v>102958.5799</v>
      </c>
      <c r="L621" s="145">
        <v>97633.1361</v>
      </c>
      <c r="M621" s="145">
        <v>94082.84024</v>
      </c>
      <c r="N621" s="145">
        <v>67455.6213</v>
      </c>
      <c r="O621" s="148">
        <v>60355.02959</v>
      </c>
      <c r="P621" s="146">
        <v>51479.28994</v>
      </c>
      <c r="Q621" s="146">
        <v>55029.5858</v>
      </c>
      <c r="R621" s="146">
        <v>58579.88166</v>
      </c>
      <c r="S621" s="146">
        <v>76331.36095</v>
      </c>
    </row>
    <row r="622">
      <c r="A622" s="145">
        <v>38.188</v>
      </c>
      <c r="B622" s="145">
        <f t="shared" si="1"/>
        <v>12334.724</v>
      </c>
      <c r="C622" s="145">
        <v>74556.21302</v>
      </c>
      <c r="D622" s="145">
        <v>79881.65681</v>
      </c>
      <c r="E622" s="146">
        <v>78106.50888</v>
      </c>
      <c r="F622" s="148">
        <v>76331.36095</v>
      </c>
      <c r="G622" s="146">
        <v>85207.10059</v>
      </c>
      <c r="H622" s="146">
        <v>115384.6154</v>
      </c>
      <c r="I622" s="146">
        <v>85207.10059</v>
      </c>
      <c r="J622" s="145">
        <v>95857.98817</v>
      </c>
      <c r="K622" s="145">
        <v>102958.5799</v>
      </c>
      <c r="L622" s="145">
        <v>101183.432</v>
      </c>
      <c r="M622" s="145">
        <v>94082.84024</v>
      </c>
      <c r="N622" s="145">
        <v>67455.6213</v>
      </c>
      <c r="O622" s="148">
        <v>60355.02959</v>
      </c>
      <c r="P622" s="146">
        <v>51479.28994</v>
      </c>
      <c r="Q622" s="146">
        <v>55029.5858</v>
      </c>
      <c r="R622" s="146">
        <v>58579.88166</v>
      </c>
      <c r="S622" s="146">
        <v>76331.36095</v>
      </c>
    </row>
    <row r="623">
      <c r="A623" s="145">
        <v>38.25</v>
      </c>
      <c r="B623" s="145">
        <f t="shared" si="1"/>
        <v>12354.75</v>
      </c>
      <c r="C623" s="145">
        <v>74556.21302</v>
      </c>
      <c r="D623" s="145">
        <v>79881.65681</v>
      </c>
      <c r="E623" s="146">
        <v>78106.50888</v>
      </c>
      <c r="F623" s="148">
        <v>76331.36095</v>
      </c>
      <c r="G623" s="146">
        <v>85207.10059</v>
      </c>
      <c r="H623" s="146">
        <v>115384.6154</v>
      </c>
      <c r="I623" s="146">
        <v>85207.10059</v>
      </c>
      <c r="J623" s="145">
        <v>97633.1361</v>
      </c>
      <c r="K623" s="145">
        <v>102958.5799</v>
      </c>
      <c r="L623" s="145">
        <v>101183.432</v>
      </c>
      <c r="M623" s="145">
        <v>94082.84024</v>
      </c>
      <c r="N623" s="145">
        <v>67455.6213</v>
      </c>
      <c r="O623" s="148">
        <v>60355.02959</v>
      </c>
      <c r="P623" s="146">
        <v>51479.28994</v>
      </c>
      <c r="Q623" s="146">
        <v>55029.5858</v>
      </c>
      <c r="R623" s="146">
        <v>58579.88166</v>
      </c>
      <c r="S623" s="146">
        <v>76331.36095</v>
      </c>
    </row>
    <row r="624">
      <c r="A624" s="145">
        <v>38.313</v>
      </c>
      <c r="B624" s="145">
        <f t="shared" si="1"/>
        <v>12375.099</v>
      </c>
      <c r="C624" s="145">
        <v>74556.21302</v>
      </c>
      <c r="D624" s="145">
        <v>79881.65681</v>
      </c>
      <c r="E624" s="146">
        <v>78106.50888</v>
      </c>
      <c r="F624" s="148">
        <v>76331.36095</v>
      </c>
      <c r="G624" s="146">
        <v>85207.10059</v>
      </c>
      <c r="H624" s="146">
        <v>115384.6154</v>
      </c>
      <c r="I624" s="146">
        <v>85207.10059</v>
      </c>
      <c r="J624" s="145">
        <v>97633.1361</v>
      </c>
      <c r="K624" s="145">
        <v>102958.5799</v>
      </c>
      <c r="L624" s="145">
        <v>101183.432</v>
      </c>
      <c r="M624" s="145">
        <v>94082.84024</v>
      </c>
      <c r="N624" s="145">
        <v>71005.91716</v>
      </c>
      <c r="O624" s="148">
        <v>60355.02959</v>
      </c>
      <c r="P624" s="146">
        <v>51479.28994</v>
      </c>
      <c r="Q624" s="146">
        <v>55029.5858</v>
      </c>
      <c r="R624" s="146">
        <v>58579.88166</v>
      </c>
      <c r="S624" s="146">
        <v>76331.36095</v>
      </c>
    </row>
    <row r="625">
      <c r="A625" s="145">
        <v>38.375</v>
      </c>
      <c r="B625" s="145">
        <f t="shared" si="1"/>
        <v>12395.125</v>
      </c>
      <c r="C625" s="145">
        <v>74556.21302</v>
      </c>
      <c r="D625" s="145">
        <v>79881.65681</v>
      </c>
      <c r="E625" s="146">
        <v>78106.50888</v>
      </c>
      <c r="F625" s="148">
        <v>76331.36095</v>
      </c>
      <c r="G625" s="146">
        <v>85207.10059</v>
      </c>
      <c r="H625" s="146">
        <v>115384.6154</v>
      </c>
      <c r="I625" s="146">
        <v>85207.10059</v>
      </c>
      <c r="J625" s="145">
        <v>99408.28402</v>
      </c>
      <c r="K625" s="145">
        <v>102958.5799</v>
      </c>
      <c r="L625" s="145">
        <v>101183.432</v>
      </c>
      <c r="M625" s="145">
        <v>94082.84024</v>
      </c>
      <c r="N625" s="145">
        <v>71005.91716</v>
      </c>
      <c r="O625" s="148">
        <v>62130.17752</v>
      </c>
      <c r="P625" s="146">
        <v>51479.28994</v>
      </c>
      <c r="Q625" s="146">
        <v>55029.5858</v>
      </c>
      <c r="R625" s="146">
        <v>58579.88166</v>
      </c>
      <c r="S625" s="146">
        <v>76331.36095</v>
      </c>
    </row>
    <row r="626">
      <c r="A626" s="145">
        <v>38.454</v>
      </c>
      <c r="B626" s="145">
        <f t="shared" si="1"/>
        <v>12420.642</v>
      </c>
      <c r="C626" s="145">
        <v>74556.21302</v>
      </c>
      <c r="D626" s="145">
        <v>81656.80473</v>
      </c>
      <c r="E626" s="146">
        <v>78106.50888</v>
      </c>
      <c r="F626" s="148">
        <v>76331.36095</v>
      </c>
      <c r="G626" s="146">
        <v>85207.10059</v>
      </c>
      <c r="H626" s="146">
        <v>117159.7633</v>
      </c>
      <c r="I626" s="146">
        <v>86982.24852</v>
      </c>
      <c r="J626" s="145">
        <v>99408.28402</v>
      </c>
      <c r="K626" s="145">
        <v>102958.5799</v>
      </c>
      <c r="L626" s="145">
        <v>101183.432</v>
      </c>
      <c r="M626" s="145">
        <v>95857.98817</v>
      </c>
      <c r="N626" s="145">
        <v>71005.91716</v>
      </c>
      <c r="O626" s="148">
        <v>62130.17752</v>
      </c>
      <c r="P626" s="146">
        <v>51479.28994</v>
      </c>
      <c r="Q626" s="146">
        <v>55029.5858</v>
      </c>
      <c r="R626" s="146">
        <v>58579.88166</v>
      </c>
      <c r="S626" s="146">
        <v>76331.36095</v>
      </c>
    </row>
    <row r="627">
      <c r="A627" s="145">
        <v>38.5</v>
      </c>
      <c r="B627" s="145">
        <f t="shared" si="1"/>
        <v>12435.5</v>
      </c>
      <c r="C627" s="145">
        <v>74556.21302</v>
      </c>
      <c r="D627" s="145">
        <v>81656.80473</v>
      </c>
      <c r="E627" s="146">
        <v>78106.50888</v>
      </c>
      <c r="F627" s="148">
        <v>76331.36095</v>
      </c>
      <c r="G627" s="146">
        <v>85207.10059</v>
      </c>
      <c r="H627" s="146">
        <v>117159.7633</v>
      </c>
      <c r="I627" s="146">
        <v>86982.24852</v>
      </c>
      <c r="J627" s="145">
        <v>99408.28402</v>
      </c>
      <c r="K627" s="145">
        <v>102958.5799</v>
      </c>
      <c r="L627" s="145">
        <v>101183.432</v>
      </c>
      <c r="M627" s="145">
        <v>95857.98817</v>
      </c>
      <c r="N627" s="145">
        <v>71005.91716</v>
      </c>
      <c r="O627" s="148">
        <v>62130.17752</v>
      </c>
      <c r="P627" s="146">
        <v>51479.28994</v>
      </c>
      <c r="Q627" s="146">
        <v>55029.5858</v>
      </c>
      <c r="R627" s="146">
        <v>58579.88166</v>
      </c>
      <c r="S627" s="146">
        <v>76331.36095</v>
      </c>
    </row>
    <row r="628">
      <c r="A628" s="145">
        <v>38.563</v>
      </c>
      <c r="B628" s="145">
        <f t="shared" si="1"/>
        <v>12455.849</v>
      </c>
      <c r="C628" s="145">
        <v>74556.21302</v>
      </c>
      <c r="D628" s="145">
        <v>81656.80473</v>
      </c>
      <c r="E628" s="146">
        <v>78106.50888</v>
      </c>
      <c r="F628" s="148">
        <v>76331.36095</v>
      </c>
      <c r="G628" s="146">
        <v>85207.10059</v>
      </c>
      <c r="H628" s="146">
        <v>117159.7633</v>
      </c>
      <c r="I628" s="146">
        <v>86982.24852</v>
      </c>
      <c r="J628" s="145">
        <v>99408.28402</v>
      </c>
      <c r="K628" s="145">
        <v>102958.5799</v>
      </c>
      <c r="L628" s="145">
        <v>101183.432</v>
      </c>
      <c r="M628" s="145">
        <v>95857.98817</v>
      </c>
      <c r="N628" s="145">
        <v>71005.91716</v>
      </c>
      <c r="O628" s="148">
        <v>62130.17752</v>
      </c>
      <c r="P628" s="146">
        <v>51479.28994</v>
      </c>
      <c r="Q628" s="146">
        <v>55029.5858</v>
      </c>
      <c r="R628" s="146">
        <v>58579.88166</v>
      </c>
      <c r="S628" s="146">
        <v>78106.50888</v>
      </c>
    </row>
    <row r="629">
      <c r="A629" s="145">
        <v>38.625</v>
      </c>
      <c r="B629" s="145">
        <f t="shared" si="1"/>
        <v>12475.875</v>
      </c>
      <c r="C629" s="145">
        <v>74556.21302</v>
      </c>
      <c r="D629" s="145">
        <v>81656.80473</v>
      </c>
      <c r="E629" s="146">
        <v>78106.50888</v>
      </c>
      <c r="F629" s="148">
        <v>76331.36095</v>
      </c>
      <c r="G629" s="146">
        <v>85207.10059</v>
      </c>
      <c r="H629" s="146">
        <v>117159.7633</v>
      </c>
      <c r="I629" s="146">
        <v>86982.24852</v>
      </c>
      <c r="J629" s="145">
        <v>99408.28402</v>
      </c>
      <c r="K629" s="145">
        <v>102958.5799</v>
      </c>
      <c r="L629" s="145">
        <v>101183.432</v>
      </c>
      <c r="M629" s="145">
        <v>95857.98817</v>
      </c>
      <c r="N629" s="145">
        <v>71005.91716</v>
      </c>
      <c r="O629" s="148">
        <v>62130.17752</v>
      </c>
      <c r="P629" s="146">
        <v>51479.28994</v>
      </c>
      <c r="Q629" s="146">
        <v>55029.5858</v>
      </c>
      <c r="R629" s="146">
        <v>58579.88166</v>
      </c>
      <c r="S629" s="146">
        <v>78106.50888</v>
      </c>
    </row>
    <row r="630">
      <c r="A630" s="145">
        <v>38.688</v>
      </c>
      <c r="B630" s="145">
        <f t="shared" si="1"/>
        <v>12496.224</v>
      </c>
      <c r="C630" s="145">
        <v>74556.21302</v>
      </c>
      <c r="D630" s="145">
        <v>81656.80473</v>
      </c>
      <c r="E630" s="146">
        <v>78106.50888</v>
      </c>
      <c r="F630" s="148">
        <v>76331.36095</v>
      </c>
      <c r="G630" s="146">
        <v>85207.10059</v>
      </c>
      <c r="H630" s="146">
        <v>117159.7633</v>
      </c>
      <c r="I630" s="146">
        <v>86982.24852</v>
      </c>
      <c r="J630" s="145">
        <v>99408.28402</v>
      </c>
      <c r="K630" s="145">
        <v>102958.5799</v>
      </c>
      <c r="L630" s="145">
        <v>101183.432</v>
      </c>
      <c r="M630" s="145">
        <v>95857.98817</v>
      </c>
      <c r="N630" s="145">
        <v>71005.91716</v>
      </c>
      <c r="O630" s="148">
        <v>62130.17752</v>
      </c>
      <c r="P630" s="146">
        <v>51479.28994</v>
      </c>
      <c r="Q630" s="146">
        <v>55029.5858</v>
      </c>
      <c r="R630" s="146">
        <v>58579.88166</v>
      </c>
      <c r="S630" s="146">
        <v>78106.50888</v>
      </c>
    </row>
    <row r="631">
      <c r="A631" s="145">
        <v>38.75</v>
      </c>
      <c r="B631" s="145">
        <f t="shared" si="1"/>
        <v>12516.25</v>
      </c>
      <c r="C631" s="145">
        <v>74556.21302</v>
      </c>
      <c r="D631" s="145">
        <v>83431.95266</v>
      </c>
      <c r="E631" s="146">
        <v>78106.50888</v>
      </c>
      <c r="F631" s="148">
        <v>76331.36095</v>
      </c>
      <c r="G631" s="146">
        <v>85207.10059</v>
      </c>
      <c r="H631" s="146">
        <v>117159.7633</v>
      </c>
      <c r="I631" s="146">
        <v>86982.24852</v>
      </c>
      <c r="J631" s="145">
        <v>99408.28402</v>
      </c>
      <c r="K631" s="145">
        <v>102958.5799</v>
      </c>
      <c r="L631" s="145">
        <v>101183.432</v>
      </c>
      <c r="M631" s="145">
        <v>95857.98817</v>
      </c>
      <c r="N631" s="145">
        <v>71005.91716</v>
      </c>
      <c r="O631" s="148">
        <v>62130.17752</v>
      </c>
      <c r="P631" s="146">
        <v>51479.28994</v>
      </c>
      <c r="Q631" s="146">
        <v>55029.5858</v>
      </c>
      <c r="R631" s="146">
        <v>58579.88166</v>
      </c>
      <c r="S631" s="146">
        <v>78106.50888</v>
      </c>
    </row>
    <row r="632">
      <c r="A632" s="145">
        <v>38.813</v>
      </c>
      <c r="B632" s="145">
        <f t="shared" si="1"/>
        <v>12536.599</v>
      </c>
      <c r="C632" s="145">
        <v>74556.21302</v>
      </c>
      <c r="D632" s="145">
        <v>83431.95266</v>
      </c>
      <c r="E632" s="146">
        <v>78106.50888</v>
      </c>
      <c r="F632" s="148">
        <v>76331.36095</v>
      </c>
      <c r="G632" s="146">
        <v>85207.10059</v>
      </c>
      <c r="H632" s="146">
        <v>117159.7633</v>
      </c>
      <c r="I632" s="146">
        <v>86982.24852</v>
      </c>
      <c r="J632" s="145">
        <v>99408.28402</v>
      </c>
      <c r="K632" s="145">
        <v>102958.5799</v>
      </c>
      <c r="L632" s="145">
        <v>101183.432</v>
      </c>
      <c r="M632" s="145">
        <v>95857.98817</v>
      </c>
      <c r="N632" s="145">
        <v>71005.91716</v>
      </c>
      <c r="O632" s="148">
        <v>62130.17752</v>
      </c>
      <c r="P632" s="146">
        <v>51479.28994</v>
      </c>
      <c r="Q632" s="146">
        <v>55029.5858</v>
      </c>
      <c r="R632" s="146">
        <v>58579.88166</v>
      </c>
      <c r="S632" s="146">
        <v>78106.50888</v>
      </c>
    </row>
    <row r="633">
      <c r="A633" s="145">
        <v>38.875</v>
      </c>
      <c r="B633" s="145">
        <f t="shared" si="1"/>
        <v>12556.625</v>
      </c>
      <c r="C633" s="145">
        <v>74556.21302</v>
      </c>
      <c r="D633" s="145">
        <v>83431.95266</v>
      </c>
      <c r="E633" s="146">
        <v>79881.65681</v>
      </c>
      <c r="F633" s="148">
        <v>76331.36095</v>
      </c>
      <c r="G633" s="146">
        <v>85207.10059</v>
      </c>
      <c r="H633" s="146">
        <v>117159.7633</v>
      </c>
      <c r="I633" s="146">
        <v>86982.24852</v>
      </c>
      <c r="J633" s="145">
        <v>99408.28402</v>
      </c>
      <c r="K633" s="145">
        <v>102958.5799</v>
      </c>
      <c r="L633" s="145">
        <v>101183.432</v>
      </c>
      <c r="M633" s="145">
        <v>95857.98817</v>
      </c>
      <c r="N633" s="145">
        <v>71005.91716</v>
      </c>
      <c r="O633" s="148">
        <v>62130.17752</v>
      </c>
      <c r="P633" s="146">
        <v>51479.28994</v>
      </c>
      <c r="Q633" s="146">
        <v>55029.5858</v>
      </c>
      <c r="R633" s="146">
        <v>58579.88166</v>
      </c>
      <c r="S633" s="146">
        <v>78106.50888</v>
      </c>
    </row>
    <row r="634">
      <c r="A634" s="145">
        <v>38.938</v>
      </c>
      <c r="B634" s="145">
        <f t="shared" si="1"/>
        <v>12576.974</v>
      </c>
      <c r="C634" s="145">
        <v>74556.21302</v>
      </c>
      <c r="D634" s="145">
        <v>83431.95266</v>
      </c>
      <c r="E634" s="146">
        <v>79881.65681</v>
      </c>
      <c r="F634" s="148">
        <v>76331.36095</v>
      </c>
      <c r="G634" s="146">
        <v>86982.24852</v>
      </c>
      <c r="H634" s="146">
        <v>117159.7633</v>
      </c>
      <c r="I634" s="146">
        <v>86982.24852</v>
      </c>
      <c r="J634" s="145">
        <v>99408.28402</v>
      </c>
      <c r="K634" s="145">
        <v>102958.5799</v>
      </c>
      <c r="L634" s="145">
        <v>101183.432</v>
      </c>
      <c r="M634" s="145">
        <v>95857.98817</v>
      </c>
      <c r="N634" s="145">
        <v>71005.91716</v>
      </c>
      <c r="O634" s="148">
        <v>62130.17752</v>
      </c>
      <c r="P634" s="146">
        <v>51479.28994</v>
      </c>
      <c r="Q634" s="146">
        <v>55029.5858</v>
      </c>
      <c r="R634" s="146">
        <v>58579.88166</v>
      </c>
      <c r="S634" s="146">
        <v>78106.50888</v>
      </c>
    </row>
    <row r="635">
      <c r="A635" s="145">
        <v>39.0</v>
      </c>
      <c r="B635" s="145">
        <f t="shared" si="1"/>
        <v>12597</v>
      </c>
      <c r="C635" s="145">
        <v>74556.21302</v>
      </c>
      <c r="D635" s="145">
        <v>83431.95266</v>
      </c>
      <c r="E635" s="146">
        <v>79881.65681</v>
      </c>
      <c r="F635" s="148">
        <v>76331.36095</v>
      </c>
      <c r="G635" s="146">
        <v>86982.24852</v>
      </c>
      <c r="H635" s="146">
        <v>117159.7633</v>
      </c>
      <c r="I635" s="146">
        <v>86982.24852</v>
      </c>
      <c r="J635" s="145">
        <v>99408.28402</v>
      </c>
      <c r="K635" s="145">
        <v>102958.5799</v>
      </c>
      <c r="L635" s="145">
        <v>101183.432</v>
      </c>
      <c r="M635" s="145">
        <v>95857.98817</v>
      </c>
      <c r="N635" s="145">
        <v>71005.91716</v>
      </c>
      <c r="O635" s="148">
        <v>62130.17752</v>
      </c>
      <c r="P635" s="146">
        <v>51479.28994</v>
      </c>
      <c r="Q635" s="146">
        <v>55029.5858</v>
      </c>
      <c r="R635" s="146">
        <v>58579.88166</v>
      </c>
      <c r="S635" s="146">
        <v>78106.50888</v>
      </c>
    </row>
    <row r="636">
      <c r="A636" s="145">
        <v>39.063</v>
      </c>
      <c r="B636" s="145">
        <f t="shared" si="1"/>
        <v>12617.349</v>
      </c>
      <c r="C636" s="145">
        <v>76331.36095</v>
      </c>
      <c r="D636" s="145">
        <v>83431.95266</v>
      </c>
      <c r="E636" s="146">
        <v>79881.65681</v>
      </c>
      <c r="F636" s="148">
        <v>76331.36095</v>
      </c>
      <c r="G636" s="146">
        <v>86982.24852</v>
      </c>
      <c r="H636" s="146">
        <v>117159.7633</v>
      </c>
      <c r="I636" s="146">
        <v>86982.24852</v>
      </c>
      <c r="J636" s="145">
        <v>99408.28402</v>
      </c>
      <c r="K636" s="145">
        <v>102958.5799</v>
      </c>
      <c r="L636" s="145">
        <v>101183.432</v>
      </c>
      <c r="M636" s="145">
        <v>95857.98817</v>
      </c>
      <c r="N636" s="145">
        <v>71005.91716</v>
      </c>
      <c r="O636" s="148">
        <v>62130.17752</v>
      </c>
      <c r="P636" s="146">
        <v>51479.28994</v>
      </c>
      <c r="Q636" s="146">
        <v>55029.5858</v>
      </c>
      <c r="R636" s="146">
        <v>58579.88166</v>
      </c>
      <c r="S636" s="146">
        <v>78106.50888</v>
      </c>
    </row>
    <row r="637">
      <c r="A637" s="145">
        <v>39.125</v>
      </c>
      <c r="B637" s="145">
        <f t="shared" si="1"/>
        <v>12637.375</v>
      </c>
      <c r="C637" s="145">
        <v>76331.36095</v>
      </c>
      <c r="D637" s="145">
        <v>83431.95266</v>
      </c>
      <c r="E637" s="146">
        <v>79881.65681</v>
      </c>
      <c r="F637" s="148">
        <v>76331.36095</v>
      </c>
      <c r="G637" s="146">
        <v>86982.24852</v>
      </c>
      <c r="H637" s="146">
        <v>117159.7633</v>
      </c>
      <c r="I637" s="146">
        <v>86982.24852</v>
      </c>
      <c r="J637" s="145">
        <v>99408.28402</v>
      </c>
      <c r="K637" s="145">
        <v>102958.5799</v>
      </c>
      <c r="L637" s="145">
        <v>101183.432</v>
      </c>
      <c r="M637" s="145">
        <v>95857.98817</v>
      </c>
      <c r="N637" s="145">
        <v>72781.06509</v>
      </c>
      <c r="O637" s="148">
        <v>62130.17752</v>
      </c>
      <c r="P637" s="146">
        <v>51479.28994</v>
      </c>
      <c r="Q637" s="146">
        <v>55029.5858</v>
      </c>
      <c r="R637" s="146">
        <v>58579.88166</v>
      </c>
      <c r="S637" s="146">
        <v>78106.50888</v>
      </c>
    </row>
    <row r="638">
      <c r="A638" s="145">
        <v>39.188</v>
      </c>
      <c r="B638" s="145">
        <f t="shared" si="1"/>
        <v>12657.724</v>
      </c>
      <c r="C638" s="145">
        <v>76331.36095</v>
      </c>
      <c r="D638" s="145">
        <v>85207.10059</v>
      </c>
      <c r="E638" s="146">
        <v>79881.65681</v>
      </c>
      <c r="F638" s="148">
        <v>76331.36095</v>
      </c>
      <c r="G638" s="146">
        <v>86982.24852</v>
      </c>
      <c r="H638" s="146">
        <v>117159.7633</v>
      </c>
      <c r="I638" s="146">
        <v>86982.24852</v>
      </c>
      <c r="J638" s="145">
        <v>99408.28402</v>
      </c>
      <c r="K638" s="145">
        <v>102958.5799</v>
      </c>
      <c r="L638" s="145">
        <v>101183.432</v>
      </c>
      <c r="M638" s="145">
        <v>95857.98817</v>
      </c>
      <c r="N638" s="145">
        <v>72781.06509</v>
      </c>
      <c r="O638" s="148">
        <v>62130.17752</v>
      </c>
      <c r="P638" s="146">
        <v>53254.43787</v>
      </c>
      <c r="Q638" s="146">
        <v>55029.5858</v>
      </c>
      <c r="R638" s="146">
        <v>58579.88166</v>
      </c>
      <c r="S638" s="146">
        <v>78106.50888</v>
      </c>
    </row>
    <row r="639">
      <c r="A639" s="145">
        <v>39.25</v>
      </c>
      <c r="B639" s="145">
        <f t="shared" si="1"/>
        <v>12677.75</v>
      </c>
      <c r="C639" s="145">
        <v>76331.36095</v>
      </c>
      <c r="D639" s="145">
        <v>85207.10059</v>
      </c>
      <c r="E639" s="146">
        <v>79881.65681</v>
      </c>
      <c r="F639" s="148">
        <v>76331.36095</v>
      </c>
      <c r="G639" s="146">
        <v>86982.24852</v>
      </c>
      <c r="H639" s="146">
        <v>117159.7633</v>
      </c>
      <c r="I639" s="146">
        <v>86982.24852</v>
      </c>
      <c r="J639" s="145">
        <v>99408.28402</v>
      </c>
      <c r="K639" s="145">
        <v>102958.5799</v>
      </c>
      <c r="L639" s="145">
        <v>101183.432</v>
      </c>
      <c r="M639" s="145">
        <v>95857.98817</v>
      </c>
      <c r="N639" s="145">
        <v>72781.06509</v>
      </c>
      <c r="O639" s="148">
        <v>62130.17752</v>
      </c>
      <c r="P639" s="146">
        <v>53254.43787</v>
      </c>
      <c r="Q639" s="146">
        <v>55029.5858</v>
      </c>
      <c r="R639" s="146">
        <v>58579.88166</v>
      </c>
      <c r="S639" s="146">
        <v>78106.50888</v>
      </c>
    </row>
    <row r="640">
      <c r="A640" s="145">
        <v>39.329</v>
      </c>
      <c r="B640" s="145">
        <f t="shared" si="1"/>
        <v>12703.267</v>
      </c>
      <c r="C640" s="145">
        <v>76331.36095</v>
      </c>
      <c r="D640" s="145">
        <v>85207.10059</v>
      </c>
      <c r="E640" s="146">
        <v>79881.65681</v>
      </c>
      <c r="F640" s="148">
        <v>76331.36095</v>
      </c>
      <c r="G640" s="146">
        <v>86982.24852</v>
      </c>
      <c r="H640" s="146">
        <v>117159.7633</v>
      </c>
      <c r="I640" s="146">
        <v>86982.24852</v>
      </c>
      <c r="J640" s="145">
        <v>99408.28402</v>
      </c>
      <c r="K640" s="145">
        <v>102958.5799</v>
      </c>
      <c r="L640" s="145">
        <v>101183.432</v>
      </c>
      <c r="M640" s="145">
        <v>95857.98817</v>
      </c>
      <c r="N640" s="145">
        <v>72781.06509</v>
      </c>
      <c r="O640" s="148">
        <v>62130.17752</v>
      </c>
      <c r="P640" s="146">
        <v>53254.43787</v>
      </c>
      <c r="Q640" s="146">
        <v>56804.73373</v>
      </c>
      <c r="R640" s="146">
        <v>58579.88166</v>
      </c>
      <c r="S640" s="146">
        <v>78106.50888</v>
      </c>
    </row>
    <row r="641">
      <c r="A641" s="145">
        <v>39.375</v>
      </c>
      <c r="B641" s="145">
        <f t="shared" si="1"/>
        <v>12718.125</v>
      </c>
      <c r="C641" s="145">
        <v>76331.36095</v>
      </c>
      <c r="D641" s="145">
        <v>85207.10059</v>
      </c>
      <c r="E641" s="146">
        <v>81656.80473</v>
      </c>
      <c r="F641" s="148">
        <v>76331.36095</v>
      </c>
      <c r="G641" s="146">
        <v>86982.24852</v>
      </c>
      <c r="H641" s="146">
        <v>117159.7633</v>
      </c>
      <c r="I641" s="146">
        <v>86982.24852</v>
      </c>
      <c r="J641" s="145">
        <v>99408.28402</v>
      </c>
      <c r="K641" s="145">
        <v>102958.5799</v>
      </c>
      <c r="L641" s="145">
        <v>101183.432</v>
      </c>
      <c r="M641" s="145">
        <v>95857.98817</v>
      </c>
      <c r="N641" s="145">
        <v>74556.21302</v>
      </c>
      <c r="O641" s="148">
        <v>62130.17752</v>
      </c>
      <c r="P641" s="146">
        <v>53254.43787</v>
      </c>
      <c r="Q641" s="146">
        <v>56804.73373</v>
      </c>
      <c r="R641" s="146">
        <v>60355.02959</v>
      </c>
      <c r="S641" s="146">
        <v>78106.50888</v>
      </c>
    </row>
    <row r="642">
      <c r="A642" s="145">
        <v>39.438</v>
      </c>
      <c r="B642" s="145">
        <f t="shared" si="1"/>
        <v>12738.474</v>
      </c>
      <c r="C642" s="145">
        <v>76331.36095</v>
      </c>
      <c r="D642" s="145">
        <v>85207.10059</v>
      </c>
      <c r="E642" s="146">
        <v>81656.80473</v>
      </c>
      <c r="F642" s="148">
        <v>76331.36095</v>
      </c>
      <c r="G642" s="146">
        <v>86982.24852</v>
      </c>
      <c r="H642" s="146">
        <v>117159.7633</v>
      </c>
      <c r="I642" s="146">
        <v>86982.24852</v>
      </c>
      <c r="J642" s="145">
        <v>99408.28402</v>
      </c>
      <c r="K642" s="145">
        <v>102958.5799</v>
      </c>
      <c r="L642" s="145">
        <v>101183.432</v>
      </c>
      <c r="M642" s="145">
        <v>95857.98817</v>
      </c>
      <c r="N642" s="145">
        <v>74556.21302</v>
      </c>
      <c r="O642" s="148">
        <v>62130.17752</v>
      </c>
      <c r="P642" s="146">
        <v>53254.43787</v>
      </c>
      <c r="Q642" s="146">
        <v>56804.73373</v>
      </c>
      <c r="R642" s="146">
        <v>60355.02959</v>
      </c>
      <c r="S642" s="146">
        <v>79881.65681</v>
      </c>
    </row>
    <row r="643">
      <c r="A643" s="145">
        <v>39.516</v>
      </c>
      <c r="B643" s="145">
        <f t="shared" si="1"/>
        <v>12763.668</v>
      </c>
      <c r="C643" s="145">
        <v>76331.36095</v>
      </c>
      <c r="D643" s="145">
        <v>85207.10059</v>
      </c>
      <c r="E643" s="146">
        <v>81656.80473</v>
      </c>
      <c r="F643" s="148">
        <v>76331.36095</v>
      </c>
      <c r="G643" s="146">
        <v>86982.24852</v>
      </c>
      <c r="H643" s="146">
        <v>117159.7633</v>
      </c>
      <c r="I643" s="146">
        <v>86982.24852</v>
      </c>
      <c r="J643" s="145">
        <v>99408.28402</v>
      </c>
      <c r="K643" s="145">
        <v>102958.5799</v>
      </c>
      <c r="L643" s="145">
        <v>101183.432</v>
      </c>
      <c r="M643" s="145">
        <v>95857.98817</v>
      </c>
      <c r="N643" s="145">
        <v>74556.21302</v>
      </c>
      <c r="O643" s="148">
        <v>63905.32544</v>
      </c>
      <c r="P643" s="146">
        <v>53254.43787</v>
      </c>
      <c r="Q643" s="146">
        <v>56804.73373</v>
      </c>
      <c r="R643" s="146">
        <v>60355.02959</v>
      </c>
      <c r="S643" s="146">
        <v>79881.65681</v>
      </c>
    </row>
    <row r="644">
      <c r="A644" s="145">
        <v>39.563</v>
      </c>
      <c r="B644" s="145">
        <f t="shared" si="1"/>
        <v>12778.849</v>
      </c>
      <c r="C644" s="145">
        <v>76331.36095</v>
      </c>
      <c r="D644" s="145">
        <v>85207.10059</v>
      </c>
      <c r="E644" s="146">
        <v>81656.80473</v>
      </c>
      <c r="F644" s="148">
        <v>76331.36095</v>
      </c>
      <c r="G644" s="146">
        <v>86982.24852</v>
      </c>
      <c r="H644" s="146">
        <v>117159.7633</v>
      </c>
      <c r="I644" s="146">
        <v>86982.24852</v>
      </c>
      <c r="J644" s="145">
        <v>99408.28402</v>
      </c>
      <c r="K644" s="145">
        <v>102958.5799</v>
      </c>
      <c r="L644" s="145">
        <v>101183.432</v>
      </c>
      <c r="M644" s="145">
        <v>95857.98817</v>
      </c>
      <c r="N644" s="145">
        <v>74556.21302</v>
      </c>
      <c r="O644" s="148">
        <v>63905.32544</v>
      </c>
      <c r="P644" s="146">
        <v>53254.43787</v>
      </c>
      <c r="Q644" s="146">
        <v>56804.73373</v>
      </c>
      <c r="R644" s="146">
        <v>60355.02959</v>
      </c>
      <c r="S644" s="146">
        <v>79881.65681</v>
      </c>
    </row>
    <row r="645">
      <c r="A645" s="145">
        <v>39.625</v>
      </c>
      <c r="B645" s="145">
        <f t="shared" si="1"/>
        <v>12798.875</v>
      </c>
      <c r="C645" s="145">
        <v>76331.36095</v>
      </c>
      <c r="D645" s="145">
        <v>85207.10059</v>
      </c>
      <c r="E645" s="146">
        <v>81656.80473</v>
      </c>
      <c r="F645" s="148">
        <v>76331.36095</v>
      </c>
      <c r="G645" s="146">
        <v>86982.24852</v>
      </c>
      <c r="H645" s="146">
        <v>117159.7633</v>
      </c>
      <c r="I645" s="146">
        <v>86982.24852</v>
      </c>
      <c r="J645" s="145">
        <v>99408.28402</v>
      </c>
      <c r="K645" s="145">
        <v>102958.5799</v>
      </c>
      <c r="L645" s="145">
        <v>101183.432</v>
      </c>
      <c r="M645" s="145">
        <v>95857.98817</v>
      </c>
      <c r="N645" s="145">
        <v>74556.21302</v>
      </c>
      <c r="O645" s="148">
        <v>63905.32544</v>
      </c>
      <c r="P645" s="146">
        <v>53254.43787</v>
      </c>
      <c r="Q645" s="146">
        <v>56804.73373</v>
      </c>
      <c r="R645" s="146">
        <v>60355.02959</v>
      </c>
      <c r="S645" s="146">
        <v>79881.65681</v>
      </c>
    </row>
    <row r="646">
      <c r="A646" s="145">
        <v>39.688</v>
      </c>
      <c r="B646" s="145">
        <f t="shared" si="1"/>
        <v>12819.224</v>
      </c>
      <c r="C646" s="145">
        <v>76331.36095</v>
      </c>
      <c r="D646" s="145">
        <v>85207.10059</v>
      </c>
      <c r="E646" s="146">
        <v>81656.80473</v>
      </c>
      <c r="F646" s="148">
        <v>76331.36095</v>
      </c>
      <c r="G646" s="146">
        <v>86982.24852</v>
      </c>
      <c r="H646" s="146">
        <v>117159.7633</v>
      </c>
      <c r="I646" s="146">
        <v>86982.24852</v>
      </c>
      <c r="J646" s="148">
        <v>99408.28402</v>
      </c>
      <c r="K646" s="145">
        <v>102958.5799</v>
      </c>
      <c r="L646" s="145">
        <v>101183.432</v>
      </c>
      <c r="M646" s="145">
        <v>95857.98817</v>
      </c>
      <c r="N646" s="145">
        <v>74556.21302</v>
      </c>
      <c r="O646" s="148">
        <v>63905.32544</v>
      </c>
      <c r="P646" s="146">
        <v>53254.43787</v>
      </c>
      <c r="Q646" s="146">
        <v>56804.73373</v>
      </c>
      <c r="R646" s="146">
        <v>60355.02959</v>
      </c>
      <c r="S646" s="146">
        <v>79881.65681</v>
      </c>
    </row>
    <row r="647">
      <c r="A647" s="145">
        <v>39.75</v>
      </c>
      <c r="B647" s="145">
        <f t="shared" si="1"/>
        <v>12839.25</v>
      </c>
      <c r="C647" s="145">
        <v>76331.36095</v>
      </c>
      <c r="D647" s="145">
        <v>85207.10059</v>
      </c>
      <c r="E647" s="146">
        <v>81656.80473</v>
      </c>
      <c r="F647" s="148">
        <v>78106.50888</v>
      </c>
      <c r="G647" s="146">
        <v>86982.24852</v>
      </c>
      <c r="H647" s="146">
        <v>117159.7633</v>
      </c>
      <c r="I647" s="146">
        <v>86982.24852</v>
      </c>
      <c r="J647" s="148">
        <v>99408.28402</v>
      </c>
      <c r="K647" s="145">
        <v>102958.5799</v>
      </c>
      <c r="L647" s="145">
        <v>101183.432</v>
      </c>
      <c r="M647" s="145">
        <v>95857.98817</v>
      </c>
      <c r="N647" s="145">
        <v>74556.21302</v>
      </c>
      <c r="O647" s="148">
        <v>63905.32544</v>
      </c>
      <c r="P647" s="146">
        <v>53254.43787</v>
      </c>
      <c r="Q647" s="146">
        <v>56804.73373</v>
      </c>
      <c r="R647" s="146">
        <v>60355.02959</v>
      </c>
      <c r="S647" s="146">
        <v>79881.65681</v>
      </c>
    </row>
    <row r="648">
      <c r="A648" s="145">
        <v>39.813</v>
      </c>
      <c r="B648" s="145">
        <f t="shared" si="1"/>
        <v>12859.599</v>
      </c>
      <c r="C648" s="145">
        <v>76331.36095</v>
      </c>
      <c r="D648" s="145">
        <v>85207.10059</v>
      </c>
      <c r="E648" s="146">
        <v>81656.80473</v>
      </c>
      <c r="F648" s="148">
        <v>78106.50888</v>
      </c>
      <c r="G648" s="146">
        <v>86982.24852</v>
      </c>
      <c r="H648" s="146">
        <v>117159.7633</v>
      </c>
      <c r="I648" s="146">
        <v>86982.24852</v>
      </c>
      <c r="J648" s="148">
        <v>99408.28402</v>
      </c>
      <c r="K648" s="145">
        <v>102958.5799</v>
      </c>
      <c r="L648" s="145">
        <v>101183.432</v>
      </c>
      <c r="M648" s="145">
        <v>95857.98817</v>
      </c>
      <c r="N648" s="145">
        <v>74556.21302</v>
      </c>
      <c r="O648" s="148">
        <v>63905.32544</v>
      </c>
      <c r="P648" s="146">
        <v>55029.5858</v>
      </c>
      <c r="Q648" s="146">
        <v>56804.73373</v>
      </c>
      <c r="R648" s="146">
        <v>60355.02959</v>
      </c>
      <c r="S648" s="146">
        <v>79881.65681</v>
      </c>
    </row>
    <row r="649">
      <c r="A649" s="145">
        <v>39.875</v>
      </c>
      <c r="B649" s="145">
        <f t="shared" si="1"/>
        <v>12879.625</v>
      </c>
      <c r="C649" s="145">
        <v>76331.36095</v>
      </c>
      <c r="D649" s="145">
        <v>85207.10059</v>
      </c>
      <c r="E649" s="146">
        <v>81656.80473</v>
      </c>
      <c r="F649" s="148">
        <v>78106.50888</v>
      </c>
      <c r="G649" s="146">
        <v>86982.24852</v>
      </c>
      <c r="H649" s="146">
        <v>117159.7633</v>
      </c>
      <c r="I649" s="146">
        <v>86982.24852</v>
      </c>
      <c r="J649" s="148">
        <v>99408.28402</v>
      </c>
      <c r="K649" s="145">
        <v>102958.5799</v>
      </c>
      <c r="L649" s="145">
        <v>102958.5799</v>
      </c>
      <c r="M649" s="145">
        <v>95857.98817</v>
      </c>
      <c r="N649" s="145">
        <v>74556.21302</v>
      </c>
      <c r="O649" s="148">
        <v>63905.32544</v>
      </c>
      <c r="P649" s="146">
        <v>55029.5858</v>
      </c>
      <c r="Q649" s="146">
        <v>56804.73373</v>
      </c>
      <c r="R649" s="146">
        <v>60355.02959</v>
      </c>
      <c r="S649" s="146">
        <v>79881.65681</v>
      </c>
    </row>
    <row r="650">
      <c r="A650" s="145">
        <v>39.938</v>
      </c>
      <c r="B650" s="145">
        <f t="shared" si="1"/>
        <v>12899.974</v>
      </c>
      <c r="C650" s="145">
        <v>76331.36095</v>
      </c>
      <c r="D650" s="145">
        <v>85207.10059</v>
      </c>
      <c r="E650" s="146">
        <v>81656.80473</v>
      </c>
      <c r="F650" s="148">
        <v>78106.50888</v>
      </c>
      <c r="G650" s="146">
        <v>86982.24852</v>
      </c>
      <c r="H650" s="146">
        <v>117159.7633</v>
      </c>
      <c r="I650" s="146">
        <v>86982.24852</v>
      </c>
      <c r="J650" s="148">
        <v>99408.28402</v>
      </c>
      <c r="K650" s="145">
        <v>102958.5799</v>
      </c>
      <c r="L650" s="145">
        <v>102958.5799</v>
      </c>
      <c r="M650" s="145">
        <v>95857.98817</v>
      </c>
      <c r="N650" s="145">
        <v>74556.21302</v>
      </c>
      <c r="O650" s="148">
        <v>63905.32544</v>
      </c>
      <c r="P650" s="146">
        <v>55029.5858</v>
      </c>
      <c r="Q650" s="146">
        <v>58579.88166</v>
      </c>
      <c r="R650" s="146">
        <v>60355.02959</v>
      </c>
      <c r="S650" s="146">
        <v>79881.65681</v>
      </c>
    </row>
    <row r="651">
      <c r="A651" s="145">
        <v>40.016</v>
      </c>
      <c r="B651" s="145">
        <f t="shared" si="1"/>
        <v>12925.168</v>
      </c>
      <c r="C651" s="145">
        <v>76331.36095</v>
      </c>
      <c r="D651" s="145">
        <v>85207.10059</v>
      </c>
      <c r="E651" s="146">
        <v>81656.80473</v>
      </c>
      <c r="F651" s="148">
        <v>78106.50888</v>
      </c>
      <c r="G651" s="146">
        <v>86982.24852</v>
      </c>
      <c r="H651" s="146">
        <v>117159.7633</v>
      </c>
      <c r="I651" s="146">
        <v>86982.24852</v>
      </c>
      <c r="J651" s="148">
        <v>99408.28402</v>
      </c>
      <c r="K651" s="145">
        <v>102958.5799</v>
      </c>
      <c r="L651" s="145">
        <v>102958.5799</v>
      </c>
      <c r="M651" s="145">
        <v>95857.98817</v>
      </c>
      <c r="N651" s="145">
        <v>74556.21302</v>
      </c>
      <c r="O651" s="148">
        <v>63905.32544</v>
      </c>
      <c r="P651" s="146">
        <v>55029.5858</v>
      </c>
      <c r="Q651" s="146">
        <v>58579.88166</v>
      </c>
      <c r="R651" s="146">
        <v>60355.02959</v>
      </c>
      <c r="S651" s="146">
        <v>79881.65681</v>
      </c>
    </row>
    <row r="652">
      <c r="A652" s="145">
        <v>40.063</v>
      </c>
      <c r="B652" s="145">
        <f t="shared" si="1"/>
        <v>12940.349</v>
      </c>
      <c r="C652" s="145">
        <v>78106.50888</v>
      </c>
      <c r="D652" s="145">
        <v>85207.10059</v>
      </c>
      <c r="E652" s="146">
        <v>81656.80473</v>
      </c>
      <c r="F652" s="148">
        <v>78106.50888</v>
      </c>
      <c r="G652" s="146">
        <v>86982.24852</v>
      </c>
      <c r="H652" s="146">
        <v>117159.7633</v>
      </c>
      <c r="I652" s="146">
        <v>92307.69231</v>
      </c>
      <c r="J652" s="148">
        <v>99408.28402</v>
      </c>
      <c r="K652" s="145">
        <v>102958.5799</v>
      </c>
      <c r="L652" s="145">
        <v>102958.5799</v>
      </c>
      <c r="M652" s="145">
        <v>95857.98817</v>
      </c>
      <c r="N652" s="145">
        <v>74556.21302</v>
      </c>
      <c r="O652" s="150">
        <v>63905.32544</v>
      </c>
      <c r="P652" s="146">
        <v>55029.5858</v>
      </c>
      <c r="Q652" s="146">
        <v>58579.88166</v>
      </c>
      <c r="R652" s="146">
        <v>60355.02959</v>
      </c>
      <c r="S652" s="146">
        <v>79881.65681</v>
      </c>
    </row>
    <row r="653">
      <c r="A653" s="145">
        <v>40.125</v>
      </c>
      <c r="B653" s="145">
        <f t="shared" si="1"/>
        <v>12960.375</v>
      </c>
      <c r="C653" s="145">
        <v>78106.50888</v>
      </c>
      <c r="D653" s="145">
        <v>85207.10059</v>
      </c>
      <c r="E653" s="146">
        <v>81656.80473</v>
      </c>
      <c r="F653" s="148">
        <v>78106.50888</v>
      </c>
      <c r="G653" s="146">
        <v>86982.24852</v>
      </c>
      <c r="H653" s="146">
        <v>117159.7633</v>
      </c>
      <c r="I653" s="146">
        <v>92307.69231</v>
      </c>
      <c r="J653" s="148">
        <v>99408.28402</v>
      </c>
      <c r="K653" s="145">
        <v>102958.5799</v>
      </c>
      <c r="L653" s="145">
        <v>102958.5799</v>
      </c>
      <c r="M653" s="145">
        <v>95857.98817</v>
      </c>
      <c r="N653" s="145">
        <v>74556.21302</v>
      </c>
      <c r="O653" s="150">
        <v>63905.32544</v>
      </c>
      <c r="P653" s="146">
        <v>55029.5858</v>
      </c>
      <c r="Q653" s="146">
        <v>58579.88166</v>
      </c>
      <c r="R653" s="146">
        <v>62130.17752</v>
      </c>
      <c r="S653" s="146">
        <v>79881.65681</v>
      </c>
    </row>
    <row r="654">
      <c r="A654" s="145">
        <v>40.204</v>
      </c>
      <c r="B654" s="145">
        <f t="shared" si="1"/>
        <v>12985.892</v>
      </c>
      <c r="C654" s="145">
        <v>78106.50888</v>
      </c>
      <c r="D654" s="145">
        <v>85207.10059</v>
      </c>
      <c r="E654" s="146">
        <v>81656.80473</v>
      </c>
      <c r="F654" s="148">
        <v>78106.50888</v>
      </c>
      <c r="G654" s="146">
        <v>86982.24852</v>
      </c>
      <c r="H654" s="146">
        <v>117159.7633</v>
      </c>
      <c r="I654" s="146">
        <v>92307.69231</v>
      </c>
      <c r="J654" s="148">
        <v>99408.28402</v>
      </c>
      <c r="K654" s="145">
        <v>102958.5799</v>
      </c>
      <c r="L654" s="145">
        <v>102958.5799</v>
      </c>
      <c r="M654" s="145">
        <v>95857.98817</v>
      </c>
      <c r="N654" s="145">
        <v>74556.21302</v>
      </c>
      <c r="O654" s="148">
        <v>63905.32544</v>
      </c>
      <c r="P654" s="146">
        <v>55029.5858</v>
      </c>
      <c r="Q654" s="146">
        <v>58579.88166</v>
      </c>
      <c r="R654" s="146">
        <v>62130.17752</v>
      </c>
      <c r="S654" s="146">
        <v>79881.65681</v>
      </c>
    </row>
    <row r="655">
      <c r="A655" s="145">
        <v>40.25</v>
      </c>
      <c r="B655" s="145">
        <f t="shared" si="1"/>
        <v>13000.75</v>
      </c>
      <c r="C655" s="145">
        <v>78106.50888</v>
      </c>
      <c r="D655" s="145">
        <v>85207.10059</v>
      </c>
      <c r="E655" s="146">
        <v>81656.80473</v>
      </c>
      <c r="F655" s="148">
        <v>78106.50888</v>
      </c>
      <c r="G655" s="146">
        <v>86982.24852</v>
      </c>
      <c r="H655" s="146">
        <v>117159.7633</v>
      </c>
      <c r="I655" s="146">
        <v>92307.69231</v>
      </c>
      <c r="J655" s="148">
        <v>99408.28402</v>
      </c>
      <c r="K655" s="145">
        <v>102958.5799</v>
      </c>
      <c r="L655" s="145">
        <v>102958.5799</v>
      </c>
      <c r="M655" s="145">
        <v>95857.98817</v>
      </c>
      <c r="N655" s="145">
        <v>74556.21302</v>
      </c>
      <c r="O655" s="148">
        <v>63905.32544</v>
      </c>
      <c r="P655" s="146">
        <v>55029.5858</v>
      </c>
      <c r="Q655" s="146">
        <v>58579.88166</v>
      </c>
      <c r="R655" s="146">
        <v>62130.17752</v>
      </c>
      <c r="S655" s="146">
        <v>79881.65681</v>
      </c>
    </row>
    <row r="656">
      <c r="A656" s="145">
        <v>40.313</v>
      </c>
      <c r="B656" s="145">
        <f t="shared" si="1"/>
        <v>13021.099</v>
      </c>
      <c r="C656" s="145">
        <v>78106.50888</v>
      </c>
      <c r="D656" s="145">
        <v>85207.10059</v>
      </c>
      <c r="E656" s="146">
        <v>83431.95266</v>
      </c>
      <c r="F656" s="148">
        <v>78106.50888</v>
      </c>
      <c r="G656" s="146">
        <v>86982.24852</v>
      </c>
      <c r="H656" s="146">
        <v>117159.7633</v>
      </c>
      <c r="I656" s="146">
        <v>92307.69231</v>
      </c>
      <c r="J656" s="148">
        <v>99408.28402</v>
      </c>
      <c r="K656" s="145">
        <v>102958.5799</v>
      </c>
      <c r="L656" s="145">
        <v>102958.5799</v>
      </c>
      <c r="M656" s="145">
        <v>95857.98817</v>
      </c>
      <c r="N656" s="145">
        <v>74556.21302</v>
      </c>
      <c r="O656" s="148">
        <v>63905.32544</v>
      </c>
      <c r="P656" s="146">
        <v>55029.5858</v>
      </c>
      <c r="Q656" s="146">
        <v>58579.88166</v>
      </c>
      <c r="R656" s="146">
        <v>62130.17752</v>
      </c>
      <c r="S656" s="146">
        <v>81656.80473</v>
      </c>
    </row>
    <row r="657">
      <c r="A657" s="145">
        <v>40.375</v>
      </c>
      <c r="B657" s="145">
        <f t="shared" si="1"/>
        <v>13041.125</v>
      </c>
      <c r="C657" s="145">
        <v>78106.50888</v>
      </c>
      <c r="D657" s="145">
        <v>85207.10059</v>
      </c>
      <c r="E657" s="146">
        <v>83431.95266</v>
      </c>
      <c r="F657" s="148">
        <v>78106.50888</v>
      </c>
      <c r="G657" s="146">
        <v>86982.24852</v>
      </c>
      <c r="H657" s="146">
        <v>117159.7633</v>
      </c>
      <c r="I657" s="146">
        <v>92307.69231</v>
      </c>
      <c r="J657" s="148">
        <v>101183.432</v>
      </c>
      <c r="K657" s="145">
        <v>102958.5799</v>
      </c>
      <c r="L657" s="145">
        <v>102958.5799</v>
      </c>
      <c r="M657" s="145">
        <v>95857.98817</v>
      </c>
      <c r="N657" s="145">
        <v>74556.21302</v>
      </c>
      <c r="O657" s="148">
        <v>65680.47337</v>
      </c>
      <c r="P657" s="146">
        <v>56804.73373</v>
      </c>
      <c r="Q657" s="146">
        <v>58579.88166</v>
      </c>
      <c r="R657" s="146">
        <v>62130.17752</v>
      </c>
      <c r="S657" s="146">
        <v>81656.80473</v>
      </c>
    </row>
    <row r="658">
      <c r="A658" s="145">
        <v>40.438</v>
      </c>
      <c r="B658" s="145">
        <f t="shared" si="1"/>
        <v>13061.474</v>
      </c>
      <c r="C658" s="145">
        <v>78106.50888</v>
      </c>
      <c r="D658" s="145">
        <v>85207.10059</v>
      </c>
      <c r="E658" s="146">
        <v>83431.95266</v>
      </c>
      <c r="F658" s="148">
        <v>78106.50888</v>
      </c>
      <c r="G658" s="146">
        <v>86982.24852</v>
      </c>
      <c r="H658" s="146">
        <v>118934.9112</v>
      </c>
      <c r="I658" s="146">
        <v>92307.69231</v>
      </c>
      <c r="J658" s="148">
        <v>101183.432</v>
      </c>
      <c r="K658" s="145">
        <v>102958.5799</v>
      </c>
      <c r="L658" s="145">
        <v>102958.5799</v>
      </c>
      <c r="M658" s="145">
        <v>95857.98817</v>
      </c>
      <c r="N658" s="145">
        <v>74556.21302</v>
      </c>
      <c r="O658" s="148">
        <v>65680.47337</v>
      </c>
      <c r="P658" s="146">
        <v>56804.73373</v>
      </c>
      <c r="Q658" s="146">
        <v>58579.88166</v>
      </c>
      <c r="R658" s="146">
        <v>62130.17752</v>
      </c>
      <c r="S658" s="146">
        <v>81656.80473</v>
      </c>
    </row>
    <row r="659">
      <c r="A659" s="145">
        <v>40.5</v>
      </c>
      <c r="B659" s="145">
        <f t="shared" si="1"/>
        <v>13081.5</v>
      </c>
      <c r="C659" s="145">
        <v>78106.50888</v>
      </c>
      <c r="D659" s="145">
        <v>85207.10059</v>
      </c>
      <c r="E659" s="146">
        <v>85207.10059</v>
      </c>
      <c r="F659" s="148">
        <v>78106.50888</v>
      </c>
      <c r="G659" s="146">
        <v>86982.24852</v>
      </c>
      <c r="H659" s="146">
        <v>118934.9112</v>
      </c>
      <c r="I659" s="146">
        <v>92307.69231</v>
      </c>
      <c r="J659" s="148">
        <v>101183.432</v>
      </c>
      <c r="K659" s="145">
        <v>102958.5799</v>
      </c>
      <c r="L659" s="145">
        <v>102958.5799</v>
      </c>
      <c r="M659" s="145">
        <v>95857.98817</v>
      </c>
      <c r="N659" s="145">
        <v>76331.36095</v>
      </c>
      <c r="O659" s="148">
        <v>65680.47337</v>
      </c>
      <c r="P659" s="146">
        <v>56804.73373</v>
      </c>
      <c r="Q659" s="146">
        <v>58579.88166</v>
      </c>
      <c r="R659" s="146">
        <v>62130.17752</v>
      </c>
      <c r="S659" s="146">
        <v>81656.80473</v>
      </c>
    </row>
    <row r="660">
      <c r="A660" s="145">
        <v>40.563</v>
      </c>
      <c r="B660" s="145">
        <f t="shared" si="1"/>
        <v>13101.849</v>
      </c>
      <c r="C660" s="145">
        <v>78106.50888</v>
      </c>
      <c r="D660" s="145">
        <v>86982.24852</v>
      </c>
      <c r="E660" s="146">
        <v>85207.10059</v>
      </c>
      <c r="F660" s="148">
        <v>78106.50888</v>
      </c>
      <c r="G660" s="146">
        <v>86982.24852</v>
      </c>
      <c r="H660" s="146">
        <v>118934.9112</v>
      </c>
      <c r="I660" s="146">
        <v>92307.69231</v>
      </c>
      <c r="J660" s="148">
        <v>101183.432</v>
      </c>
      <c r="K660" s="145">
        <v>102958.5799</v>
      </c>
      <c r="L660" s="145">
        <v>102958.5799</v>
      </c>
      <c r="M660" s="145">
        <v>95857.98817</v>
      </c>
      <c r="N660" s="145">
        <v>76331.36095</v>
      </c>
      <c r="O660" s="148">
        <v>65680.47337</v>
      </c>
      <c r="P660" s="146">
        <v>56804.73373</v>
      </c>
      <c r="Q660" s="146">
        <v>58579.88166</v>
      </c>
      <c r="R660" s="146">
        <v>62130.17752</v>
      </c>
      <c r="S660" s="146">
        <v>81656.80473</v>
      </c>
    </row>
    <row r="661">
      <c r="A661" s="145">
        <v>40.641</v>
      </c>
      <c r="B661" s="145">
        <f t="shared" si="1"/>
        <v>13127.043</v>
      </c>
      <c r="C661" s="145">
        <v>78106.50888</v>
      </c>
      <c r="D661" s="145">
        <v>86982.24852</v>
      </c>
      <c r="E661" s="146">
        <v>85207.10059</v>
      </c>
      <c r="F661" s="148">
        <v>78106.50888</v>
      </c>
      <c r="G661" s="146">
        <v>90532.54438</v>
      </c>
      <c r="H661" s="146">
        <v>118934.9112</v>
      </c>
      <c r="I661" s="146">
        <v>92307.69231</v>
      </c>
      <c r="J661" s="148">
        <v>101183.432</v>
      </c>
      <c r="K661" s="145">
        <v>102958.5799</v>
      </c>
      <c r="L661" s="145">
        <v>102958.5799</v>
      </c>
      <c r="M661" s="145">
        <v>95857.98817</v>
      </c>
      <c r="N661" s="145">
        <v>76331.36095</v>
      </c>
      <c r="O661" s="148">
        <v>65680.47337</v>
      </c>
      <c r="P661" s="146">
        <v>56804.73373</v>
      </c>
      <c r="Q661" s="146">
        <v>58579.88166</v>
      </c>
      <c r="R661" s="146">
        <v>62130.17752</v>
      </c>
      <c r="S661" s="146">
        <v>81656.80473</v>
      </c>
    </row>
    <row r="662">
      <c r="A662" s="145">
        <v>40.688</v>
      </c>
      <c r="B662" s="145">
        <f t="shared" si="1"/>
        <v>13142.224</v>
      </c>
      <c r="C662" s="145">
        <v>78106.50888</v>
      </c>
      <c r="D662" s="145">
        <v>86982.24852</v>
      </c>
      <c r="E662" s="146">
        <v>85207.10059</v>
      </c>
      <c r="F662" s="148">
        <v>78106.50888</v>
      </c>
      <c r="G662" s="146">
        <v>90532.54438</v>
      </c>
      <c r="H662" s="146">
        <v>118934.9112</v>
      </c>
      <c r="I662" s="146">
        <v>92307.69231</v>
      </c>
      <c r="J662" s="148">
        <v>101183.432</v>
      </c>
      <c r="K662" s="145">
        <v>106508.8757</v>
      </c>
      <c r="L662" s="145">
        <v>102958.5799</v>
      </c>
      <c r="M662" s="145">
        <v>95857.98817</v>
      </c>
      <c r="N662" s="145">
        <v>76331.36095</v>
      </c>
      <c r="O662" s="148">
        <v>65680.47337</v>
      </c>
      <c r="P662" s="146">
        <v>56804.73373</v>
      </c>
      <c r="Q662" s="146">
        <v>58579.88166</v>
      </c>
      <c r="R662" s="146">
        <v>62130.17752</v>
      </c>
      <c r="S662" s="146">
        <v>81656.80473</v>
      </c>
    </row>
    <row r="663">
      <c r="A663" s="145">
        <v>40.75</v>
      </c>
      <c r="B663" s="145">
        <f t="shared" si="1"/>
        <v>13162.25</v>
      </c>
      <c r="C663" s="145">
        <v>78106.50888</v>
      </c>
      <c r="D663" s="145">
        <v>86982.24852</v>
      </c>
      <c r="E663" s="146">
        <v>85207.10059</v>
      </c>
      <c r="F663" s="148">
        <v>78106.50888</v>
      </c>
      <c r="G663" s="146">
        <v>90532.54438</v>
      </c>
      <c r="H663" s="146">
        <v>118934.9112</v>
      </c>
      <c r="I663" s="146">
        <v>92307.69231</v>
      </c>
      <c r="J663" s="148">
        <v>101183.432</v>
      </c>
      <c r="K663" s="145">
        <v>106508.8757</v>
      </c>
      <c r="L663" s="145">
        <v>102958.5799</v>
      </c>
      <c r="M663" s="145">
        <v>95857.98817</v>
      </c>
      <c r="N663" s="145">
        <v>76331.36095</v>
      </c>
      <c r="O663" s="148">
        <v>65680.47337</v>
      </c>
      <c r="P663" s="146">
        <v>56804.73373</v>
      </c>
      <c r="Q663" s="146">
        <v>58579.88166</v>
      </c>
      <c r="R663" s="146">
        <v>62130.17752</v>
      </c>
      <c r="S663" s="146">
        <v>81656.80473</v>
      </c>
    </row>
    <row r="664">
      <c r="A664" s="145">
        <v>40.813</v>
      </c>
      <c r="B664" s="145">
        <f t="shared" si="1"/>
        <v>13182.599</v>
      </c>
      <c r="C664" s="145">
        <v>78106.50888</v>
      </c>
      <c r="D664" s="145">
        <v>86982.24852</v>
      </c>
      <c r="E664" s="146">
        <v>85207.10059</v>
      </c>
      <c r="F664" s="148">
        <v>78106.50888</v>
      </c>
      <c r="G664" s="146">
        <v>90532.54438</v>
      </c>
      <c r="H664" s="146">
        <v>118934.9112</v>
      </c>
      <c r="I664" s="146">
        <v>92307.69231</v>
      </c>
      <c r="J664" s="148">
        <v>101183.432</v>
      </c>
      <c r="K664" s="145">
        <v>106508.8757</v>
      </c>
      <c r="L664" s="145">
        <v>102958.5799</v>
      </c>
      <c r="M664" s="145">
        <v>95857.98817</v>
      </c>
      <c r="N664" s="145">
        <v>76331.36095</v>
      </c>
      <c r="O664" s="148">
        <v>65680.47337</v>
      </c>
      <c r="P664" s="146">
        <v>56804.73373</v>
      </c>
      <c r="Q664" s="146">
        <v>58579.88166</v>
      </c>
      <c r="R664" s="146">
        <v>63905.32544</v>
      </c>
      <c r="S664" s="146">
        <v>81656.80473</v>
      </c>
    </row>
    <row r="665">
      <c r="A665" s="145">
        <v>40.875</v>
      </c>
      <c r="B665" s="145">
        <f t="shared" si="1"/>
        <v>13202.625</v>
      </c>
      <c r="C665" s="145">
        <v>78106.50888</v>
      </c>
      <c r="D665" s="145">
        <v>86982.24852</v>
      </c>
      <c r="E665" s="146">
        <v>85207.10059</v>
      </c>
      <c r="F665" s="148">
        <v>78106.50888</v>
      </c>
      <c r="G665" s="146">
        <v>90532.54438</v>
      </c>
      <c r="H665" s="146">
        <v>118934.9112</v>
      </c>
      <c r="I665" s="146">
        <v>92307.69231</v>
      </c>
      <c r="J665" s="148">
        <v>101183.432</v>
      </c>
      <c r="K665" s="145">
        <v>106508.8757</v>
      </c>
      <c r="L665" s="145">
        <v>102958.5799</v>
      </c>
      <c r="M665" s="145">
        <v>95857.98817</v>
      </c>
      <c r="N665" s="145">
        <v>76331.36095</v>
      </c>
      <c r="O665" s="148">
        <v>65680.47337</v>
      </c>
      <c r="P665" s="146">
        <v>56804.73373</v>
      </c>
      <c r="Q665" s="146">
        <v>58579.88166</v>
      </c>
      <c r="R665" s="146">
        <v>63905.32544</v>
      </c>
      <c r="S665" s="146">
        <v>81656.80473</v>
      </c>
    </row>
    <row r="666">
      <c r="A666" s="145">
        <v>40.938</v>
      </c>
      <c r="B666" s="145">
        <f t="shared" si="1"/>
        <v>13222.974</v>
      </c>
      <c r="C666" s="145">
        <v>78106.50888</v>
      </c>
      <c r="D666" s="145">
        <v>88757.39645</v>
      </c>
      <c r="E666" s="146">
        <v>85207.10059</v>
      </c>
      <c r="F666" s="148">
        <v>78106.50888</v>
      </c>
      <c r="G666" s="146">
        <v>90532.54438</v>
      </c>
      <c r="H666" s="146">
        <v>118934.9112</v>
      </c>
      <c r="I666" s="146">
        <v>92307.69231</v>
      </c>
      <c r="J666" s="148">
        <v>101183.432</v>
      </c>
      <c r="K666" s="145">
        <v>106508.8757</v>
      </c>
      <c r="L666" s="145">
        <v>102958.5799</v>
      </c>
      <c r="M666" s="145">
        <v>95857.98817</v>
      </c>
      <c r="N666" s="145">
        <v>76331.36095</v>
      </c>
      <c r="O666" s="148">
        <v>65680.47337</v>
      </c>
      <c r="P666" s="146">
        <v>56804.73373</v>
      </c>
      <c r="Q666" s="146">
        <v>58579.88166</v>
      </c>
      <c r="R666" s="146">
        <v>63905.32544</v>
      </c>
      <c r="S666" s="146">
        <v>81656.80473</v>
      </c>
    </row>
    <row r="667">
      <c r="A667" s="145">
        <v>41.016</v>
      </c>
      <c r="B667" s="145">
        <f t="shared" si="1"/>
        <v>13248.168</v>
      </c>
      <c r="C667" s="145">
        <v>78106.50888</v>
      </c>
      <c r="D667" s="145">
        <v>88757.39645</v>
      </c>
      <c r="E667" s="146">
        <v>85207.10059</v>
      </c>
      <c r="F667" s="148">
        <v>78106.50888</v>
      </c>
      <c r="G667" s="146">
        <v>90532.54438</v>
      </c>
      <c r="H667" s="146">
        <v>122485.2071</v>
      </c>
      <c r="I667" s="146">
        <v>92307.69231</v>
      </c>
      <c r="J667" s="148">
        <v>101183.432</v>
      </c>
      <c r="K667" s="145">
        <v>106508.8757</v>
      </c>
      <c r="L667" s="145">
        <v>102958.5799</v>
      </c>
      <c r="M667" s="145">
        <v>95857.98817</v>
      </c>
      <c r="N667" s="145">
        <v>76331.36095</v>
      </c>
      <c r="O667" s="148">
        <v>65680.47337</v>
      </c>
      <c r="P667" s="146">
        <v>56804.73373</v>
      </c>
      <c r="Q667" s="146">
        <v>58579.88166</v>
      </c>
      <c r="R667" s="146">
        <v>63905.32544</v>
      </c>
      <c r="S667" s="146">
        <v>81656.80473</v>
      </c>
    </row>
    <row r="668">
      <c r="A668" s="145">
        <v>41.063</v>
      </c>
      <c r="B668" s="145">
        <f t="shared" si="1"/>
        <v>13263.349</v>
      </c>
      <c r="C668" s="145">
        <v>78106.50888</v>
      </c>
      <c r="D668" s="145">
        <v>88757.39645</v>
      </c>
      <c r="E668" s="146">
        <v>85207.10059</v>
      </c>
      <c r="F668" s="148">
        <v>78106.50888</v>
      </c>
      <c r="G668" s="146">
        <v>90532.54438</v>
      </c>
      <c r="H668" s="146">
        <v>122485.2071</v>
      </c>
      <c r="I668" s="146">
        <v>92307.69231</v>
      </c>
      <c r="J668" s="148">
        <v>101183.432</v>
      </c>
      <c r="K668" s="145">
        <v>106508.8757</v>
      </c>
      <c r="L668" s="145">
        <v>102958.5799</v>
      </c>
      <c r="M668" s="145">
        <v>95857.98817</v>
      </c>
      <c r="N668" s="145">
        <v>76331.36095</v>
      </c>
      <c r="O668" s="148">
        <v>67455.6213</v>
      </c>
      <c r="P668" s="146">
        <v>56804.73373</v>
      </c>
      <c r="Q668" s="146">
        <v>58579.88166</v>
      </c>
      <c r="R668" s="146">
        <v>63905.32544</v>
      </c>
      <c r="S668" s="146">
        <v>81656.80473</v>
      </c>
    </row>
    <row r="669">
      <c r="A669" s="145">
        <v>41.125</v>
      </c>
      <c r="B669" s="145">
        <f t="shared" si="1"/>
        <v>13283.375</v>
      </c>
      <c r="C669" s="145">
        <v>78106.50888</v>
      </c>
      <c r="D669" s="145">
        <v>88757.39645</v>
      </c>
      <c r="E669" s="146">
        <v>85207.10059</v>
      </c>
      <c r="F669" s="148">
        <v>78106.50888</v>
      </c>
      <c r="G669" s="146">
        <v>90532.54438</v>
      </c>
      <c r="H669" s="146">
        <v>122485.2071</v>
      </c>
      <c r="I669" s="146">
        <v>92307.69231</v>
      </c>
      <c r="J669" s="148">
        <v>101183.432</v>
      </c>
      <c r="K669" s="145">
        <v>106508.8757</v>
      </c>
      <c r="L669" s="145">
        <v>102958.5799</v>
      </c>
      <c r="M669" s="145">
        <v>95857.98817</v>
      </c>
      <c r="N669" s="145">
        <v>76331.36095</v>
      </c>
      <c r="O669" s="148">
        <v>67455.6213</v>
      </c>
      <c r="P669" s="146">
        <v>56804.73373</v>
      </c>
      <c r="Q669" s="146">
        <v>58579.88166</v>
      </c>
      <c r="R669" s="146">
        <v>63905.32544</v>
      </c>
      <c r="S669" s="146">
        <v>81656.80473</v>
      </c>
    </row>
    <row r="670">
      <c r="A670" s="145">
        <v>41.188</v>
      </c>
      <c r="B670" s="145">
        <f t="shared" si="1"/>
        <v>13303.724</v>
      </c>
      <c r="C670" s="145">
        <v>78106.50888</v>
      </c>
      <c r="D670" s="145">
        <v>88757.39645</v>
      </c>
      <c r="E670" s="146">
        <v>85207.10059</v>
      </c>
      <c r="F670" s="148">
        <v>78106.50888</v>
      </c>
      <c r="G670" s="146">
        <v>90532.54438</v>
      </c>
      <c r="H670" s="146">
        <v>122485.2071</v>
      </c>
      <c r="I670" s="146">
        <v>92307.69231</v>
      </c>
      <c r="J670" s="148">
        <v>101183.432</v>
      </c>
      <c r="K670" s="145">
        <v>106508.8757</v>
      </c>
      <c r="L670" s="145">
        <v>102958.5799</v>
      </c>
      <c r="M670" s="145">
        <v>95857.98817</v>
      </c>
      <c r="N670" s="145">
        <v>76331.36095</v>
      </c>
      <c r="O670" s="148">
        <v>67455.6213</v>
      </c>
      <c r="P670" s="146">
        <v>56804.73373</v>
      </c>
      <c r="Q670" s="146">
        <v>58579.88166</v>
      </c>
      <c r="R670" s="146">
        <v>63905.32544</v>
      </c>
      <c r="S670" s="146">
        <v>81656.80473</v>
      </c>
    </row>
    <row r="671">
      <c r="A671" s="145">
        <v>41.25</v>
      </c>
      <c r="B671" s="145">
        <f t="shared" si="1"/>
        <v>13323.75</v>
      </c>
      <c r="C671" s="145">
        <v>78106.50888</v>
      </c>
      <c r="D671" s="145">
        <v>88757.39645</v>
      </c>
      <c r="E671" s="146">
        <v>85207.10059</v>
      </c>
      <c r="F671" s="148">
        <v>79881.65681</v>
      </c>
      <c r="G671" s="146">
        <v>90532.54438</v>
      </c>
      <c r="H671" s="146">
        <v>122485.2071</v>
      </c>
      <c r="I671" s="146">
        <v>92307.69231</v>
      </c>
      <c r="J671" s="148">
        <v>101183.432</v>
      </c>
      <c r="K671" s="145">
        <v>106508.8757</v>
      </c>
      <c r="L671" s="145">
        <v>102958.5799</v>
      </c>
      <c r="M671" s="145">
        <v>95857.98817</v>
      </c>
      <c r="N671" s="145">
        <v>76331.36095</v>
      </c>
      <c r="O671" s="148">
        <v>67455.6213</v>
      </c>
      <c r="P671" s="146">
        <v>56804.73373</v>
      </c>
      <c r="Q671" s="146">
        <v>58579.88166</v>
      </c>
      <c r="R671" s="146">
        <v>63905.32544</v>
      </c>
      <c r="S671" s="146">
        <v>81656.80473</v>
      </c>
    </row>
    <row r="672">
      <c r="A672" s="145">
        <v>41.329</v>
      </c>
      <c r="B672" s="145">
        <f t="shared" si="1"/>
        <v>13349.267</v>
      </c>
      <c r="C672" s="145">
        <v>78106.50888</v>
      </c>
      <c r="D672" s="145">
        <v>88757.39645</v>
      </c>
      <c r="E672" s="146">
        <v>85207.10059</v>
      </c>
      <c r="F672" s="148">
        <v>79881.65681</v>
      </c>
      <c r="G672" s="146">
        <v>90532.54438</v>
      </c>
      <c r="H672" s="146">
        <v>122485.2071</v>
      </c>
      <c r="I672" s="146">
        <v>92307.69231</v>
      </c>
      <c r="J672" s="148">
        <v>101183.432</v>
      </c>
      <c r="K672" s="145">
        <v>106508.8757</v>
      </c>
      <c r="L672" s="145">
        <v>102958.5799</v>
      </c>
      <c r="M672" s="145">
        <v>95857.98817</v>
      </c>
      <c r="N672" s="145">
        <v>76331.36095</v>
      </c>
      <c r="O672" s="148">
        <v>67455.6213</v>
      </c>
      <c r="P672" s="146">
        <v>56804.73373</v>
      </c>
      <c r="Q672" s="146">
        <v>58579.88166</v>
      </c>
      <c r="R672" s="146">
        <v>63905.32544</v>
      </c>
      <c r="S672" s="146">
        <v>81656.80473</v>
      </c>
    </row>
    <row r="673">
      <c r="A673" s="145">
        <v>41.375</v>
      </c>
      <c r="B673" s="145">
        <f t="shared" si="1"/>
        <v>13364.125</v>
      </c>
      <c r="C673" s="145">
        <v>79881.65681</v>
      </c>
      <c r="D673" s="145">
        <v>88757.39645</v>
      </c>
      <c r="E673" s="146">
        <v>85207.10059</v>
      </c>
      <c r="F673" s="148">
        <v>79881.65681</v>
      </c>
      <c r="G673" s="146">
        <v>90532.54438</v>
      </c>
      <c r="H673" s="146">
        <v>122485.2071</v>
      </c>
      <c r="I673" s="146">
        <v>92307.69231</v>
      </c>
      <c r="J673" s="148">
        <v>104733.7278</v>
      </c>
      <c r="K673" s="145">
        <v>106508.8757</v>
      </c>
      <c r="L673" s="145">
        <v>102958.5799</v>
      </c>
      <c r="M673" s="145">
        <v>95857.98817</v>
      </c>
      <c r="N673" s="145">
        <v>76331.36095</v>
      </c>
      <c r="O673" s="148">
        <v>67455.6213</v>
      </c>
      <c r="P673" s="146">
        <v>56804.73373</v>
      </c>
      <c r="Q673" s="146">
        <v>58579.88166</v>
      </c>
      <c r="R673" s="146">
        <v>63905.32544</v>
      </c>
      <c r="S673" s="146">
        <v>81656.80473</v>
      </c>
    </row>
    <row r="674">
      <c r="A674" s="145">
        <v>41.438</v>
      </c>
      <c r="B674" s="145">
        <f t="shared" si="1"/>
        <v>13384.474</v>
      </c>
      <c r="C674" s="145">
        <v>79881.65681</v>
      </c>
      <c r="D674" s="145">
        <v>88757.39645</v>
      </c>
      <c r="E674" s="146">
        <v>85207.10059</v>
      </c>
      <c r="F674" s="148">
        <v>79881.65681</v>
      </c>
      <c r="G674" s="146">
        <v>90532.54438</v>
      </c>
      <c r="H674" s="146">
        <v>122485.2071</v>
      </c>
      <c r="I674" s="146">
        <v>92307.69231</v>
      </c>
      <c r="J674" s="148">
        <v>104733.7278</v>
      </c>
      <c r="K674" s="145">
        <v>106508.8757</v>
      </c>
      <c r="L674" s="145">
        <v>102958.5799</v>
      </c>
      <c r="M674" s="145">
        <v>95857.98817</v>
      </c>
      <c r="N674" s="145">
        <v>76331.36095</v>
      </c>
      <c r="O674" s="148">
        <v>67455.6213</v>
      </c>
      <c r="P674" s="146">
        <v>56804.73373</v>
      </c>
      <c r="Q674" s="146">
        <v>58579.88166</v>
      </c>
      <c r="R674" s="146">
        <v>63905.32544</v>
      </c>
      <c r="S674" s="146">
        <v>81656.80473</v>
      </c>
    </row>
    <row r="675">
      <c r="A675" s="145">
        <v>41.5</v>
      </c>
      <c r="B675" s="145">
        <f t="shared" si="1"/>
        <v>13404.5</v>
      </c>
      <c r="C675" s="145">
        <v>79881.65681</v>
      </c>
      <c r="D675" s="145">
        <v>88757.39645</v>
      </c>
      <c r="E675" s="146">
        <v>86982.24852</v>
      </c>
      <c r="F675" s="148">
        <v>79881.65681</v>
      </c>
      <c r="G675" s="146">
        <v>90532.54438</v>
      </c>
      <c r="H675" s="146">
        <v>122485.2071</v>
      </c>
      <c r="I675" s="146">
        <v>92307.69231</v>
      </c>
      <c r="J675" s="148">
        <v>104733.7278</v>
      </c>
      <c r="K675" s="145">
        <v>106508.8757</v>
      </c>
      <c r="L675" s="145">
        <v>102958.5799</v>
      </c>
      <c r="M675" s="145">
        <v>95857.98817</v>
      </c>
      <c r="N675" s="145">
        <v>76331.36095</v>
      </c>
      <c r="O675" s="148">
        <v>67455.6213</v>
      </c>
      <c r="P675" s="146">
        <v>56804.73373</v>
      </c>
      <c r="Q675" s="146">
        <v>58579.88166</v>
      </c>
      <c r="R675" s="146">
        <v>63905.32544</v>
      </c>
      <c r="S675" s="146">
        <v>81656.80473</v>
      </c>
    </row>
    <row r="676">
      <c r="A676" s="145">
        <v>41.563</v>
      </c>
      <c r="B676" s="145">
        <f t="shared" si="1"/>
        <v>13424.849</v>
      </c>
      <c r="C676" s="145">
        <v>79881.65681</v>
      </c>
      <c r="D676" s="145">
        <v>88757.39645</v>
      </c>
      <c r="E676" s="146">
        <v>86982.24852</v>
      </c>
      <c r="F676" s="148">
        <v>79881.65681</v>
      </c>
      <c r="G676" s="146">
        <v>90532.54438</v>
      </c>
      <c r="H676" s="146">
        <v>122485.2071</v>
      </c>
      <c r="I676" s="146">
        <v>92307.69231</v>
      </c>
      <c r="J676" s="148">
        <v>104733.7278</v>
      </c>
      <c r="K676" s="145">
        <v>108284.0237</v>
      </c>
      <c r="L676" s="145">
        <v>102958.5799</v>
      </c>
      <c r="M676" s="145">
        <v>95857.98817</v>
      </c>
      <c r="N676" s="145">
        <v>76331.36095</v>
      </c>
      <c r="O676" s="148">
        <v>67455.6213</v>
      </c>
      <c r="P676" s="146">
        <v>56804.73373</v>
      </c>
      <c r="Q676" s="146">
        <v>58579.88166</v>
      </c>
      <c r="R676" s="146">
        <v>63905.32544</v>
      </c>
      <c r="S676" s="146">
        <v>81656.80473</v>
      </c>
    </row>
    <row r="677">
      <c r="A677" s="145">
        <v>41.625</v>
      </c>
      <c r="B677" s="145">
        <f t="shared" si="1"/>
        <v>13444.875</v>
      </c>
      <c r="C677" s="145">
        <v>79881.65681</v>
      </c>
      <c r="D677" s="145">
        <v>88757.39645</v>
      </c>
      <c r="E677" s="146">
        <v>86982.24852</v>
      </c>
      <c r="F677" s="148">
        <v>79881.65681</v>
      </c>
      <c r="G677" s="146">
        <v>90532.54438</v>
      </c>
      <c r="H677" s="146">
        <v>122485.2071</v>
      </c>
      <c r="I677" s="146">
        <v>92307.69231</v>
      </c>
      <c r="J677" s="148">
        <v>104733.7278</v>
      </c>
      <c r="K677" s="145">
        <v>108284.0237</v>
      </c>
      <c r="L677" s="145">
        <v>102958.5799</v>
      </c>
      <c r="M677" s="145">
        <v>99408.28402</v>
      </c>
      <c r="N677" s="145">
        <v>76331.36095</v>
      </c>
      <c r="O677" s="148">
        <v>67455.6213</v>
      </c>
      <c r="P677" s="146">
        <v>56804.73373</v>
      </c>
      <c r="Q677" s="146">
        <v>58579.88166</v>
      </c>
      <c r="R677" s="146">
        <v>63905.32544</v>
      </c>
      <c r="S677" s="146">
        <v>81656.80473</v>
      </c>
    </row>
    <row r="678">
      <c r="A678" s="145">
        <v>41.688</v>
      </c>
      <c r="B678" s="145">
        <f t="shared" si="1"/>
        <v>13465.224</v>
      </c>
      <c r="C678" s="145">
        <v>79881.65681</v>
      </c>
      <c r="D678" s="145">
        <v>88757.39645</v>
      </c>
      <c r="E678" s="146">
        <v>86982.24852</v>
      </c>
      <c r="F678" s="148">
        <v>79881.65681</v>
      </c>
      <c r="G678" s="146">
        <v>94082.84024</v>
      </c>
      <c r="H678" s="146">
        <v>122485.2071</v>
      </c>
      <c r="I678" s="146">
        <v>94082.84024</v>
      </c>
      <c r="J678" s="148">
        <v>104733.7278</v>
      </c>
      <c r="K678" s="145">
        <v>108284.0237</v>
      </c>
      <c r="L678" s="145">
        <v>102958.5799</v>
      </c>
      <c r="M678" s="145">
        <v>99408.28402</v>
      </c>
      <c r="N678" s="145">
        <v>76331.36095</v>
      </c>
      <c r="O678" s="148">
        <v>67455.6213</v>
      </c>
      <c r="P678" s="146">
        <v>56804.73373</v>
      </c>
      <c r="Q678" s="146">
        <v>58579.88166</v>
      </c>
      <c r="R678" s="146">
        <v>63905.32544</v>
      </c>
      <c r="S678" s="146">
        <v>81656.80473</v>
      </c>
    </row>
    <row r="679">
      <c r="A679" s="145">
        <v>41.75</v>
      </c>
      <c r="B679" s="145">
        <f t="shared" si="1"/>
        <v>13485.25</v>
      </c>
      <c r="C679" s="145">
        <v>79881.65681</v>
      </c>
      <c r="D679" s="145">
        <v>88757.39645</v>
      </c>
      <c r="E679" s="146">
        <v>86982.24852</v>
      </c>
      <c r="F679" s="148">
        <v>79881.65681</v>
      </c>
      <c r="G679" s="146">
        <v>94082.84024</v>
      </c>
      <c r="H679" s="146">
        <v>122485.2071</v>
      </c>
      <c r="I679" s="146">
        <v>94082.84024</v>
      </c>
      <c r="J679" s="148">
        <v>104733.7278</v>
      </c>
      <c r="K679" s="145">
        <v>108284.0237</v>
      </c>
      <c r="L679" s="145">
        <v>102958.5799</v>
      </c>
      <c r="M679" s="145">
        <v>99408.28402</v>
      </c>
      <c r="N679" s="145">
        <v>78106.50888</v>
      </c>
      <c r="O679" s="148">
        <v>67455.6213</v>
      </c>
      <c r="P679" s="146">
        <v>56804.73373</v>
      </c>
      <c r="Q679" s="146">
        <v>58579.88166</v>
      </c>
      <c r="R679" s="146">
        <v>63905.32544</v>
      </c>
      <c r="S679" s="146">
        <v>81656.80473</v>
      </c>
    </row>
    <row r="680">
      <c r="A680" s="145">
        <v>41.813</v>
      </c>
      <c r="B680" s="145">
        <f t="shared" si="1"/>
        <v>13505.599</v>
      </c>
      <c r="C680" s="145">
        <v>81656.80473</v>
      </c>
      <c r="D680" s="145">
        <v>90532.54438</v>
      </c>
      <c r="E680" s="146">
        <v>86982.24852</v>
      </c>
      <c r="F680" s="148">
        <v>81656.80473</v>
      </c>
      <c r="G680" s="146">
        <v>94082.84024</v>
      </c>
      <c r="H680" s="146">
        <v>126035.503</v>
      </c>
      <c r="I680" s="146">
        <v>94082.84024</v>
      </c>
      <c r="J680" s="148">
        <v>104733.7278</v>
      </c>
      <c r="K680" s="145">
        <v>108284.0237</v>
      </c>
      <c r="L680" s="145">
        <v>102958.5799</v>
      </c>
      <c r="M680" s="145">
        <v>101183.432</v>
      </c>
      <c r="N680" s="145">
        <v>78106.50888</v>
      </c>
      <c r="O680" s="148">
        <v>67455.6213</v>
      </c>
      <c r="P680" s="146">
        <v>56804.73373</v>
      </c>
      <c r="Q680" s="146">
        <v>58579.88166</v>
      </c>
      <c r="R680" s="146">
        <v>63905.32544</v>
      </c>
      <c r="S680" s="146">
        <v>81656.80473</v>
      </c>
    </row>
    <row r="681">
      <c r="A681" s="145">
        <v>41.875</v>
      </c>
      <c r="B681" s="145">
        <f t="shared" si="1"/>
        <v>13525.625</v>
      </c>
      <c r="C681" s="145">
        <v>81656.80473</v>
      </c>
      <c r="D681" s="145">
        <v>90532.54438</v>
      </c>
      <c r="E681" s="146">
        <v>86982.24852</v>
      </c>
      <c r="F681" s="148">
        <v>81656.80473</v>
      </c>
      <c r="G681" s="146">
        <v>94082.84024</v>
      </c>
      <c r="H681" s="146">
        <v>126035.503</v>
      </c>
      <c r="I681" s="146">
        <v>94082.84024</v>
      </c>
      <c r="J681" s="148">
        <v>104733.7278</v>
      </c>
      <c r="K681" s="145">
        <v>108284.0237</v>
      </c>
      <c r="L681" s="145">
        <v>102958.5799</v>
      </c>
      <c r="M681" s="145">
        <v>101183.432</v>
      </c>
      <c r="N681" s="145">
        <v>78106.50888</v>
      </c>
      <c r="O681" s="148">
        <v>67455.6213</v>
      </c>
      <c r="P681" s="146">
        <v>56804.73373</v>
      </c>
      <c r="Q681" s="146">
        <v>58579.88166</v>
      </c>
      <c r="R681" s="146">
        <v>65680.47337</v>
      </c>
      <c r="S681" s="146">
        <v>81656.80473</v>
      </c>
    </row>
    <row r="682">
      <c r="A682" s="145">
        <v>41.938</v>
      </c>
      <c r="B682" s="145">
        <f t="shared" si="1"/>
        <v>13545.974</v>
      </c>
      <c r="C682" s="145">
        <v>81656.80473</v>
      </c>
      <c r="D682" s="145">
        <v>90532.54438</v>
      </c>
      <c r="E682" s="146">
        <v>86982.24852</v>
      </c>
      <c r="F682" s="148">
        <v>81656.80473</v>
      </c>
      <c r="G682" s="146">
        <v>94082.84024</v>
      </c>
      <c r="H682" s="146">
        <v>126035.503</v>
      </c>
      <c r="I682" s="146">
        <v>94082.84024</v>
      </c>
      <c r="J682" s="148">
        <v>104733.7278</v>
      </c>
      <c r="K682" s="145">
        <v>108284.0237</v>
      </c>
      <c r="L682" s="145">
        <v>102958.5799</v>
      </c>
      <c r="M682" s="145">
        <v>101183.432</v>
      </c>
      <c r="N682" s="145">
        <v>79881.65681</v>
      </c>
      <c r="O682" s="148">
        <v>67455.6213</v>
      </c>
      <c r="P682" s="146">
        <v>56804.73373</v>
      </c>
      <c r="Q682" s="146">
        <v>60355.02959</v>
      </c>
      <c r="R682" s="146">
        <v>65680.47337</v>
      </c>
      <c r="S682" s="146">
        <v>81656.80473</v>
      </c>
    </row>
    <row r="683">
      <c r="A683" s="145">
        <v>42.0</v>
      </c>
      <c r="B683" s="145">
        <f t="shared" si="1"/>
        <v>13566</v>
      </c>
      <c r="C683" s="145">
        <v>81656.80473</v>
      </c>
      <c r="D683" s="145">
        <v>90532.54438</v>
      </c>
      <c r="E683" s="146">
        <v>86982.24852</v>
      </c>
      <c r="F683" s="148">
        <v>81656.80473</v>
      </c>
      <c r="G683" s="146">
        <v>94082.84024</v>
      </c>
      <c r="H683" s="146">
        <v>126035.503</v>
      </c>
      <c r="I683" s="146">
        <v>94082.84024</v>
      </c>
      <c r="J683" s="148">
        <v>104733.7278</v>
      </c>
      <c r="K683" s="145">
        <v>108284.0237</v>
      </c>
      <c r="L683" s="145">
        <v>102958.5799</v>
      </c>
      <c r="M683" s="145">
        <v>101183.432</v>
      </c>
      <c r="N683" s="145">
        <v>79881.65681</v>
      </c>
      <c r="O683" s="148">
        <v>67455.6213</v>
      </c>
      <c r="P683" s="146">
        <v>56804.73373</v>
      </c>
      <c r="Q683" s="146">
        <v>60355.02959</v>
      </c>
      <c r="R683" s="146">
        <v>65680.47337</v>
      </c>
      <c r="S683" s="146">
        <v>81656.80473</v>
      </c>
    </row>
    <row r="684">
      <c r="A684" s="145">
        <v>42.063</v>
      </c>
      <c r="B684" s="145">
        <f t="shared" si="1"/>
        <v>13586.349</v>
      </c>
      <c r="C684" s="145">
        <v>81656.80473</v>
      </c>
      <c r="D684" s="145">
        <v>90532.54438</v>
      </c>
      <c r="E684" s="146">
        <v>86982.24852</v>
      </c>
      <c r="F684" s="148">
        <v>81656.80473</v>
      </c>
      <c r="G684" s="146">
        <v>94082.84024</v>
      </c>
      <c r="H684" s="146">
        <v>126035.503</v>
      </c>
      <c r="I684" s="146">
        <v>94082.84024</v>
      </c>
      <c r="J684" s="148">
        <v>104733.7278</v>
      </c>
      <c r="K684" s="145">
        <v>108284.0237</v>
      </c>
      <c r="L684" s="145">
        <v>102958.5799</v>
      </c>
      <c r="M684" s="145">
        <v>101183.432</v>
      </c>
      <c r="N684" s="145">
        <v>79881.65681</v>
      </c>
      <c r="O684" s="148">
        <v>67455.6213</v>
      </c>
      <c r="P684" s="146">
        <v>56804.73373</v>
      </c>
      <c r="Q684" s="146">
        <v>60355.02959</v>
      </c>
      <c r="R684" s="146">
        <v>65680.47337</v>
      </c>
      <c r="S684" s="146">
        <v>81656.80473</v>
      </c>
    </row>
    <row r="685">
      <c r="A685" s="145">
        <v>42.125</v>
      </c>
      <c r="B685" s="145">
        <f t="shared" si="1"/>
        <v>13606.375</v>
      </c>
      <c r="C685" s="145">
        <v>81656.80473</v>
      </c>
      <c r="D685" s="145">
        <v>90532.54438</v>
      </c>
      <c r="E685" s="146">
        <v>86982.24852</v>
      </c>
      <c r="F685" s="148">
        <v>81656.80473</v>
      </c>
      <c r="G685" s="146">
        <v>94082.84024</v>
      </c>
      <c r="H685" s="146">
        <v>126035.503</v>
      </c>
      <c r="I685" s="146">
        <v>94082.84024</v>
      </c>
      <c r="J685" s="148">
        <v>104733.7278</v>
      </c>
      <c r="K685" s="145">
        <v>108284.0237</v>
      </c>
      <c r="L685" s="145">
        <v>102958.5799</v>
      </c>
      <c r="M685" s="145">
        <v>101183.432</v>
      </c>
      <c r="N685" s="145">
        <v>79881.65681</v>
      </c>
      <c r="O685" s="148">
        <v>67455.6213</v>
      </c>
      <c r="P685" s="146">
        <v>56804.73373</v>
      </c>
      <c r="Q685" s="146">
        <v>60355.02959</v>
      </c>
      <c r="R685" s="146">
        <v>65680.47337</v>
      </c>
      <c r="S685" s="146">
        <v>81656.80473</v>
      </c>
    </row>
    <row r="686">
      <c r="A686" s="145">
        <v>42.188</v>
      </c>
      <c r="B686" s="145">
        <f t="shared" si="1"/>
        <v>13626.724</v>
      </c>
      <c r="C686" s="145">
        <v>81656.80473</v>
      </c>
      <c r="D686" s="145">
        <v>90532.54438</v>
      </c>
      <c r="E686" s="146">
        <v>88757.39645</v>
      </c>
      <c r="F686" s="148">
        <v>81656.80473</v>
      </c>
      <c r="G686" s="146">
        <v>94082.84024</v>
      </c>
      <c r="H686" s="146">
        <v>126035.503</v>
      </c>
      <c r="I686" s="146">
        <v>94082.84024</v>
      </c>
      <c r="J686" s="148">
        <v>104733.7278</v>
      </c>
      <c r="K686" s="145">
        <v>108284.0237</v>
      </c>
      <c r="L686" s="145">
        <v>102958.5799</v>
      </c>
      <c r="M686" s="145">
        <v>101183.432</v>
      </c>
      <c r="N686" s="145">
        <v>79881.65681</v>
      </c>
      <c r="O686" s="148">
        <v>67455.6213</v>
      </c>
      <c r="P686" s="146">
        <v>58579.88166</v>
      </c>
      <c r="Q686" s="146">
        <v>60355.02959</v>
      </c>
      <c r="R686" s="146">
        <v>65680.47337</v>
      </c>
      <c r="S686" s="146">
        <v>81656.80473</v>
      </c>
    </row>
    <row r="687">
      <c r="A687" s="145">
        <v>42.25</v>
      </c>
      <c r="B687" s="145">
        <f t="shared" si="1"/>
        <v>13646.75</v>
      </c>
      <c r="C687" s="145">
        <v>81656.80473</v>
      </c>
      <c r="D687" s="145">
        <v>90532.54438</v>
      </c>
      <c r="E687" s="146">
        <v>88757.39645</v>
      </c>
      <c r="F687" s="148">
        <v>81656.80473</v>
      </c>
      <c r="G687" s="146">
        <v>94082.84024</v>
      </c>
      <c r="H687" s="146">
        <v>126035.503</v>
      </c>
      <c r="I687" s="146">
        <v>94082.84024</v>
      </c>
      <c r="J687" s="148">
        <v>104733.7278</v>
      </c>
      <c r="K687" s="145">
        <v>108284.0237</v>
      </c>
      <c r="L687" s="145">
        <v>102958.5799</v>
      </c>
      <c r="M687" s="145">
        <v>101183.432</v>
      </c>
      <c r="N687" s="145">
        <v>79881.65681</v>
      </c>
      <c r="O687" s="148">
        <v>67455.6213</v>
      </c>
      <c r="P687" s="146">
        <v>58579.88166</v>
      </c>
      <c r="Q687" s="146">
        <v>60355.02959</v>
      </c>
      <c r="R687" s="146">
        <v>65680.47337</v>
      </c>
      <c r="S687" s="146">
        <v>81656.80473</v>
      </c>
    </row>
    <row r="688">
      <c r="A688" s="145">
        <v>42.313</v>
      </c>
      <c r="B688" s="145">
        <f t="shared" si="1"/>
        <v>13667.099</v>
      </c>
      <c r="C688" s="145">
        <v>81656.80473</v>
      </c>
      <c r="D688" s="145">
        <v>90532.54438</v>
      </c>
      <c r="E688" s="146">
        <v>88757.39645</v>
      </c>
      <c r="F688" s="148">
        <v>81656.80473</v>
      </c>
      <c r="G688" s="146">
        <v>94082.84024</v>
      </c>
      <c r="H688" s="146">
        <v>126035.503</v>
      </c>
      <c r="I688" s="146">
        <v>94082.84024</v>
      </c>
      <c r="J688" s="148">
        <v>104733.7278</v>
      </c>
      <c r="K688" s="145">
        <v>108284.0237</v>
      </c>
      <c r="L688" s="145">
        <v>102958.5799</v>
      </c>
      <c r="M688" s="145">
        <v>101183.432</v>
      </c>
      <c r="N688" s="145">
        <v>79881.65681</v>
      </c>
      <c r="O688" s="148">
        <v>67455.6213</v>
      </c>
      <c r="P688" s="146">
        <v>58579.88166</v>
      </c>
      <c r="Q688" s="146">
        <v>60355.02959</v>
      </c>
      <c r="R688" s="146">
        <v>65680.47337</v>
      </c>
      <c r="S688" s="146">
        <v>81656.80473</v>
      </c>
    </row>
    <row r="689">
      <c r="A689" s="145">
        <v>42.375</v>
      </c>
      <c r="B689" s="145">
        <f t="shared" si="1"/>
        <v>13687.125</v>
      </c>
      <c r="C689" s="145">
        <v>81656.80473</v>
      </c>
      <c r="D689" s="145">
        <v>90532.54438</v>
      </c>
      <c r="E689" s="146">
        <v>88757.39645</v>
      </c>
      <c r="F689" s="148">
        <v>81656.80473</v>
      </c>
      <c r="G689" s="146">
        <v>94082.84024</v>
      </c>
      <c r="H689" s="146">
        <v>126035.503</v>
      </c>
      <c r="I689" s="146">
        <v>94082.84024</v>
      </c>
      <c r="J689" s="148">
        <v>104733.7278</v>
      </c>
      <c r="K689" s="145">
        <v>108284.0237</v>
      </c>
      <c r="L689" s="145">
        <v>102958.5799</v>
      </c>
      <c r="M689" s="145">
        <v>101183.432</v>
      </c>
      <c r="N689" s="145">
        <v>79881.65681</v>
      </c>
      <c r="O689" s="148">
        <v>67455.6213</v>
      </c>
      <c r="P689" s="146">
        <v>58579.88166</v>
      </c>
      <c r="Q689" s="146">
        <v>60355.02959</v>
      </c>
      <c r="R689" s="146">
        <v>65680.47337</v>
      </c>
      <c r="S689" s="146">
        <v>83431.95266</v>
      </c>
    </row>
    <row r="690">
      <c r="A690" s="145">
        <v>42.438</v>
      </c>
      <c r="B690" s="145">
        <f t="shared" si="1"/>
        <v>13707.474</v>
      </c>
      <c r="C690" s="145">
        <v>81656.80473</v>
      </c>
      <c r="D690" s="145">
        <v>90532.54438</v>
      </c>
      <c r="E690" s="146">
        <v>88757.39645</v>
      </c>
      <c r="F690" s="148">
        <v>81656.80473</v>
      </c>
      <c r="G690" s="146">
        <v>94082.84024</v>
      </c>
      <c r="H690" s="146">
        <v>126035.503</v>
      </c>
      <c r="I690" s="146">
        <v>94082.84024</v>
      </c>
      <c r="J690" s="148">
        <v>104733.7278</v>
      </c>
      <c r="K690" s="145">
        <v>108284.0237</v>
      </c>
      <c r="L690" s="145">
        <v>102958.5799</v>
      </c>
      <c r="M690" s="145">
        <v>101183.432</v>
      </c>
      <c r="N690" s="145">
        <v>79881.65681</v>
      </c>
      <c r="O690" s="148">
        <v>67455.6213</v>
      </c>
      <c r="P690" s="146">
        <v>58579.88166</v>
      </c>
      <c r="Q690" s="146">
        <v>60355.02959</v>
      </c>
      <c r="R690" s="146">
        <v>65680.47337</v>
      </c>
      <c r="S690" s="146">
        <v>83431.95266</v>
      </c>
    </row>
    <row r="691">
      <c r="A691" s="145">
        <v>42.5</v>
      </c>
      <c r="B691" s="145">
        <f t="shared" si="1"/>
        <v>13727.5</v>
      </c>
      <c r="C691" s="145">
        <v>81656.80473</v>
      </c>
      <c r="D691" s="145">
        <v>90532.54438</v>
      </c>
      <c r="E691" s="146">
        <v>90532.54438</v>
      </c>
      <c r="F691" s="148">
        <v>81656.80473</v>
      </c>
      <c r="G691" s="146">
        <v>94082.84024</v>
      </c>
      <c r="H691" s="146">
        <v>126035.503</v>
      </c>
      <c r="I691" s="146">
        <v>95857.98817</v>
      </c>
      <c r="J691" s="148">
        <v>104733.7278</v>
      </c>
      <c r="K691" s="145">
        <v>108284.0237</v>
      </c>
      <c r="L691" s="145">
        <v>102958.5799</v>
      </c>
      <c r="M691" s="145">
        <v>101183.432</v>
      </c>
      <c r="N691" s="145">
        <v>79881.65681</v>
      </c>
      <c r="O691" s="148">
        <v>67455.6213</v>
      </c>
      <c r="P691" s="146">
        <v>58579.88166</v>
      </c>
      <c r="Q691" s="146">
        <v>60355.02959</v>
      </c>
      <c r="R691" s="146">
        <v>65680.47337</v>
      </c>
      <c r="S691" s="146">
        <v>83431.95266</v>
      </c>
    </row>
    <row r="692">
      <c r="A692" s="145">
        <v>42.563</v>
      </c>
      <c r="B692" s="145">
        <f t="shared" si="1"/>
        <v>13747.849</v>
      </c>
      <c r="C692" s="145">
        <v>81656.80473</v>
      </c>
      <c r="D692" s="145">
        <v>90532.54438</v>
      </c>
      <c r="E692" s="146">
        <v>90532.54438</v>
      </c>
      <c r="F692" s="148">
        <v>81656.80473</v>
      </c>
      <c r="G692" s="146">
        <v>94082.84024</v>
      </c>
      <c r="H692" s="146">
        <v>126035.503</v>
      </c>
      <c r="I692" s="146">
        <v>95857.98817</v>
      </c>
      <c r="J692" s="148">
        <v>104733.7278</v>
      </c>
      <c r="K692" s="145">
        <v>108284.0237</v>
      </c>
      <c r="L692" s="145">
        <v>104733.7278</v>
      </c>
      <c r="M692" s="145">
        <v>101183.432</v>
      </c>
      <c r="N692" s="145">
        <v>79881.65681</v>
      </c>
      <c r="O692" s="148">
        <v>69230.76923</v>
      </c>
      <c r="P692" s="146">
        <v>58579.88166</v>
      </c>
      <c r="Q692" s="146">
        <v>60355.02959</v>
      </c>
      <c r="R692" s="146">
        <v>65680.47337</v>
      </c>
      <c r="S692" s="146">
        <v>83431.95266</v>
      </c>
    </row>
    <row r="693">
      <c r="A693" s="145">
        <v>42.625</v>
      </c>
      <c r="B693" s="145">
        <f t="shared" si="1"/>
        <v>13767.875</v>
      </c>
      <c r="C693" s="145">
        <v>81656.80473</v>
      </c>
      <c r="D693" s="145">
        <v>90532.54438</v>
      </c>
      <c r="E693" s="146">
        <v>90532.54438</v>
      </c>
      <c r="F693" s="148">
        <v>81656.80473</v>
      </c>
      <c r="G693" s="146">
        <v>94082.84024</v>
      </c>
      <c r="H693" s="146">
        <v>127810.6509</v>
      </c>
      <c r="I693" s="146">
        <v>95857.98817</v>
      </c>
      <c r="J693" s="148">
        <v>104733.7278</v>
      </c>
      <c r="K693" s="145">
        <v>108284.0237</v>
      </c>
      <c r="L693" s="145">
        <v>104733.7278</v>
      </c>
      <c r="M693" s="145">
        <v>101183.432</v>
      </c>
      <c r="N693" s="145">
        <v>79881.65681</v>
      </c>
      <c r="O693" s="148">
        <v>69230.76923</v>
      </c>
      <c r="P693" s="146">
        <v>58579.88166</v>
      </c>
      <c r="Q693" s="146">
        <v>60355.02959</v>
      </c>
      <c r="R693" s="146">
        <v>65680.47337</v>
      </c>
      <c r="S693" s="146">
        <v>83431.95266</v>
      </c>
    </row>
    <row r="694">
      <c r="A694" s="145">
        <v>42.688</v>
      </c>
      <c r="B694" s="145">
        <f t="shared" si="1"/>
        <v>13788.224</v>
      </c>
      <c r="C694" s="145">
        <v>81656.80473</v>
      </c>
      <c r="D694" s="145">
        <v>90532.54438</v>
      </c>
      <c r="E694" s="146">
        <v>90532.54438</v>
      </c>
      <c r="F694" s="148">
        <v>81656.80473</v>
      </c>
      <c r="G694" s="146">
        <v>94082.84024</v>
      </c>
      <c r="H694" s="146">
        <v>127810.6509</v>
      </c>
      <c r="I694" s="146">
        <v>95857.98817</v>
      </c>
      <c r="J694" s="148">
        <v>104733.7278</v>
      </c>
      <c r="K694" s="145">
        <v>108284.0237</v>
      </c>
      <c r="L694" s="145">
        <v>104733.7278</v>
      </c>
      <c r="M694" s="145">
        <v>101183.432</v>
      </c>
      <c r="N694" s="145">
        <v>79881.65681</v>
      </c>
      <c r="O694" s="148">
        <v>69230.76923</v>
      </c>
      <c r="P694" s="146">
        <v>58579.88166</v>
      </c>
      <c r="Q694" s="146">
        <v>60355.02959</v>
      </c>
      <c r="R694" s="146">
        <v>65680.47337</v>
      </c>
      <c r="S694" s="146">
        <v>83431.95266</v>
      </c>
    </row>
    <row r="695">
      <c r="A695" s="145">
        <v>42.766</v>
      </c>
      <c r="B695" s="145">
        <f t="shared" si="1"/>
        <v>13813.418</v>
      </c>
      <c r="C695" s="145">
        <v>81656.80473</v>
      </c>
      <c r="D695" s="145">
        <v>90532.54438</v>
      </c>
      <c r="E695" s="146">
        <v>90532.54438</v>
      </c>
      <c r="F695" s="148">
        <v>81656.80473</v>
      </c>
      <c r="G695" s="146">
        <v>94082.84024</v>
      </c>
      <c r="H695" s="146">
        <v>127810.6509</v>
      </c>
      <c r="I695" s="146">
        <v>95857.98817</v>
      </c>
      <c r="J695" s="148">
        <v>104733.7278</v>
      </c>
      <c r="K695" s="145">
        <v>108284.0237</v>
      </c>
      <c r="L695" s="145">
        <v>104733.7278</v>
      </c>
      <c r="M695" s="145">
        <v>101183.432</v>
      </c>
      <c r="N695" s="145">
        <v>79881.65681</v>
      </c>
      <c r="O695" s="148">
        <v>69230.76923</v>
      </c>
      <c r="P695" s="146">
        <v>58579.88166</v>
      </c>
      <c r="Q695" s="146">
        <v>62130.17752</v>
      </c>
      <c r="R695" s="146">
        <v>65680.47337</v>
      </c>
      <c r="S695" s="146">
        <v>83431.95266</v>
      </c>
    </row>
    <row r="696">
      <c r="A696" s="145">
        <v>42.813</v>
      </c>
      <c r="B696" s="145">
        <f t="shared" si="1"/>
        <v>13828.599</v>
      </c>
      <c r="C696" s="145">
        <v>81656.80473</v>
      </c>
      <c r="D696" s="145">
        <v>90532.54438</v>
      </c>
      <c r="E696" s="146">
        <v>90532.54438</v>
      </c>
      <c r="F696" s="148">
        <v>81656.80473</v>
      </c>
      <c r="G696" s="146">
        <v>94082.84024</v>
      </c>
      <c r="H696" s="146">
        <v>127810.6509</v>
      </c>
      <c r="I696" s="146">
        <v>95857.98817</v>
      </c>
      <c r="J696" s="148">
        <v>104733.7278</v>
      </c>
      <c r="K696" s="145">
        <v>108284.0237</v>
      </c>
      <c r="L696" s="145">
        <v>104733.7278</v>
      </c>
      <c r="M696" s="145">
        <v>101183.432</v>
      </c>
      <c r="N696" s="145">
        <v>79881.65681</v>
      </c>
      <c r="O696" s="148">
        <v>69230.76923</v>
      </c>
      <c r="P696" s="146">
        <v>58579.88166</v>
      </c>
      <c r="Q696" s="146">
        <v>62130.17752</v>
      </c>
      <c r="R696" s="146">
        <v>65680.47337</v>
      </c>
      <c r="S696" s="146">
        <v>83431.95266</v>
      </c>
    </row>
    <row r="697">
      <c r="A697" s="145">
        <v>42.875</v>
      </c>
      <c r="B697" s="145">
        <f t="shared" si="1"/>
        <v>13848.625</v>
      </c>
      <c r="C697" s="145">
        <v>81656.80473</v>
      </c>
      <c r="D697" s="145">
        <v>90532.54438</v>
      </c>
      <c r="E697" s="146">
        <v>90532.54438</v>
      </c>
      <c r="F697" s="148">
        <v>81656.80473</v>
      </c>
      <c r="G697" s="146">
        <v>94082.84024</v>
      </c>
      <c r="H697" s="146">
        <v>127810.6509</v>
      </c>
      <c r="I697" s="146">
        <v>95857.98817</v>
      </c>
      <c r="J697" s="148">
        <v>104733.7278</v>
      </c>
      <c r="K697" s="145">
        <v>108284.0237</v>
      </c>
      <c r="L697" s="145">
        <v>104733.7278</v>
      </c>
      <c r="M697" s="145">
        <v>101183.432</v>
      </c>
      <c r="N697" s="145">
        <v>79881.65681</v>
      </c>
      <c r="O697" s="148">
        <v>69230.76923</v>
      </c>
      <c r="P697" s="146">
        <v>58579.88166</v>
      </c>
      <c r="Q697" s="146">
        <v>62130.17752</v>
      </c>
      <c r="R697" s="146">
        <v>65680.47337</v>
      </c>
      <c r="S697" s="146">
        <v>83431.95266</v>
      </c>
    </row>
    <row r="698">
      <c r="A698" s="145">
        <v>42.938</v>
      </c>
      <c r="B698" s="145">
        <f t="shared" si="1"/>
        <v>13868.974</v>
      </c>
      <c r="C698" s="145">
        <v>83431.95266</v>
      </c>
      <c r="D698" s="145">
        <v>90532.54438</v>
      </c>
      <c r="E698" s="146">
        <v>90532.54438</v>
      </c>
      <c r="F698" s="148">
        <v>81656.80473</v>
      </c>
      <c r="G698" s="146">
        <v>94082.84024</v>
      </c>
      <c r="H698" s="146">
        <v>127810.6509</v>
      </c>
      <c r="I698" s="146">
        <v>95857.98817</v>
      </c>
      <c r="J698" s="148">
        <v>104733.7278</v>
      </c>
      <c r="K698" s="145">
        <v>108284.0237</v>
      </c>
      <c r="L698" s="145">
        <v>104733.7278</v>
      </c>
      <c r="M698" s="145">
        <v>101183.432</v>
      </c>
      <c r="N698" s="145">
        <v>79881.65681</v>
      </c>
      <c r="O698" s="148">
        <v>69230.76923</v>
      </c>
      <c r="P698" s="146">
        <v>58579.88166</v>
      </c>
      <c r="Q698" s="146">
        <v>62130.17752</v>
      </c>
      <c r="R698" s="146">
        <v>65680.47337</v>
      </c>
      <c r="S698" s="146">
        <v>83431.95266</v>
      </c>
    </row>
    <row r="699">
      <c r="A699" s="145">
        <v>43.0</v>
      </c>
      <c r="B699" s="145">
        <f t="shared" si="1"/>
        <v>13889</v>
      </c>
      <c r="C699" s="145">
        <v>83431.95266</v>
      </c>
      <c r="D699" s="145">
        <v>92307.69231</v>
      </c>
      <c r="E699" s="146">
        <v>90532.54438</v>
      </c>
      <c r="F699" s="148">
        <v>81656.80473</v>
      </c>
      <c r="G699" s="146">
        <v>94082.84024</v>
      </c>
      <c r="H699" s="146">
        <v>129585.7988</v>
      </c>
      <c r="I699" s="146">
        <v>95857.98817</v>
      </c>
      <c r="J699" s="148">
        <v>104733.7278</v>
      </c>
      <c r="K699" s="145">
        <v>108284.0237</v>
      </c>
      <c r="L699" s="145">
        <v>106508.8757</v>
      </c>
      <c r="M699" s="145">
        <v>101183.432</v>
      </c>
      <c r="N699" s="145">
        <v>81656.80473</v>
      </c>
      <c r="O699" s="148">
        <v>69230.76923</v>
      </c>
      <c r="P699" s="146">
        <v>58579.88166</v>
      </c>
      <c r="Q699" s="146">
        <v>62130.17752</v>
      </c>
      <c r="R699" s="146">
        <v>67455.6213</v>
      </c>
      <c r="S699" s="146">
        <v>83431.95266</v>
      </c>
    </row>
    <row r="700">
      <c r="A700" s="145">
        <v>43.079</v>
      </c>
      <c r="B700" s="145">
        <f t="shared" si="1"/>
        <v>13914.517</v>
      </c>
      <c r="C700" s="145">
        <v>83431.95266</v>
      </c>
      <c r="D700" s="145">
        <v>92307.69231</v>
      </c>
      <c r="E700" s="146">
        <v>90532.54438</v>
      </c>
      <c r="F700" s="148">
        <v>81656.80473</v>
      </c>
      <c r="G700" s="146">
        <v>94082.84024</v>
      </c>
      <c r="H700" s="146">
        <v>129585.7988</v>
      </c>
      <c r="I700" s="146">
        <v>95857.98817</v>
      </c>
      <c r="J700" s="148">
        <v>104733.7278</v>
      </c>
      <c r="K700" s="145">
        <v>108284.0237</v>
      </c>
      <c r="L700" s="145">
        <v>106508.8757</v>
      </c>
      <c r="M700" s="145">
        <v>101183.432</v>
      </c>
      <c r="N700" s="145">
        <v>81656.80473</v>
      </c>
      <c r="O700" s="148">
        <v>69230.76923</v>
      </c>
      <c r="P700" s="146">
        <v>58579.88166</v>
      </c>
      <c r="Q700" s="146">
        <v>62130.17752</v>
      </c>
      <c r="R700" s="146">
        <v>67455.6213</v>
      </c>
      <c r="S700" s="146">
        <v>83431.95266</v>
      </c>
    </row>
    <row r="701">
      <c r="A701" s="145">
        <v>43.125</v>
      </c>
      <c r="B701" s="145">
        <f t="shared" si="1"/>
        <v>13929.375</v>
      </c>
      <c r="C701" s="145">
        <v>83431.95266</v>
      </c>
      <c r="D701" s="145">
        <v>92307.69231</v>
      </c>
      <c r="E701" s="146">
        <v>90532.54438</v>
      </c>
      <c r="F701" s="148">
        <v>81656.80473</v>
      </c>
      <c r="G701" s="146">
        <v>94082.84024</v>
      </c>
      <c r="H701" s="146">
        <v>129585.7988</v>
      </c>
      <c r="I701" s="146">
        <v>99408.28402</v>
      </c>
      <c r="J701" s="148">
        <v>104733.7278</v>
      </c>
      <c r="K701" s="145">
        <v>108284.0237</v>
      </c>
      <c r="L701" s="145">
        <v>106508.8757</v>
      </c>
      <c r="M701" s="145">
        <v>101183.432</v>
      </c>
      <c r="N701" s="145">
        <v>81656.80473</v>
      </c>
      <c r="O701" s="148">
        <v>69230.76923</v>
      </c>
      <c r="P701" s="146">
        <v>58579.88166</v>
      </c>
      <c r="Q701" s="146">
        <v>62130.17752</v>
      </c>
      <c r="R701" s="146">
        <v>67455.6213</v>
      </c>
      <c r="S701" s="146">
        <v>85207.10059</v>
      </c>
    </row>
    <row r="702">
      <c r="A702" s="145">
        <v>43.188</v>
      </c>
      <c r="B702" s="145">
        <f t="shared" si="1"/>
        <v>13949.724</v>
      </c>
      <c r="C702" s="145">
        <v>83431.95266</v>
      </c>
      <c r="D702" s="145">
        <v>92307.69231</v>
      </c>
      <c r="E702" s="146">
        <v>90532.54438</v>
      </c>
      <c r="F702" s="148">
        <v>81656.80473</v>
      </c>
      <c r="G702" s="146">
        <v>94082.84024</v>
      </c>
      <c r="H702" s="146">
        <v>129585.7988</v>
      </c>
      <c r="I702" s="146">
        <v>99408.28402</v>
      </c>
      <c r="J702" s="148">
        <v>104733.7278</v>
      </c>
      <c r="K702" s="145">
        <v>108284.0237</v>
      </c>
      <c r="L702" s="145">
        <v>106508.8757</v>
      </c>
      <c r="M702" s="145">
        <v>101183.432</v>
      </c>
      <c r="N702" s="145">
        <v>81656.80473</v>
      </c>
      <c r="O702" s="148">
        <v>69230.76923</v>
      </c>
      <c r="P702" s="146">
        <v>58579.88166</v>
      </c>
      <c r="Q702" s="146">
        <v>62130.17752</v>
      </c>
      <c r="R702" s="146">
        <v>67455.6213</v>
      </c>
      <c r="S702" s="146">
        <v>85207.10059</v>
      </c>
    </row>
    <row r="703">
      <c r="A703" s="145">
        <v>43.25</v>
      </c>
      <c r="B703" s="145">
        <f t="shared" si="1"/>
        <v>13969.75</v>
      </c>
      <c r="C703" s="145">
        <v>83431.95266</v>
      </c>
      <c r="D703" s="145">
        <v>92307.69231</v>
      </c>
      <c r="E703" s="146">
        <v>90532.54438</v>
      </c>
      <c r="F703" s="148">
        <v>81656.80473</v>
      </c>
      <c r="G703" s="146">
        <v>94082.84024</v>
      </c>
      <c r="H703" s="146">
        <v>129585.7988</v>
      </c>
      <c r="I703" s="146">
        <v>99408.28402</v>
      </c>
      <c r="J703" s="148">
        <v>104733.7278</v>
      </c>
      <c r="K703" s="145">
        <v>108284.0237</v>
      </c>
      <c r="L703" s="145">
        <v>106508.8757</v>
      </c>
      <c r="M703" s="145">
        <v>101183.432</v>
      </c>
      <c r="N703" s="145">
        <v>81656.80473</v>
      </c>
      <c r="O703" s="148">
        <v>69230.76923</v>
      </c>
      <c r="P703" s="146">
        <v>58579.88166</v>
      </c>
      <c r="Q703" s="146">
        <v>63905.32544</v>
      </c>
      <c r="R703" s="146">
        <v>67455.6213</v>
      </c>
      <c r="S703" s="146">
        <v>85207.10059</v>
      </c>
    </row>
    <row r="704">
      <c r="A704" s="145">
        <v>43.313</v>
      </c>
      <c r="B704" s="145">
        <f t="shared" si="1"/>
        <v>13990.099</v>
      </c>
      <c r="C704" s="145">
        <v>85207.10059</v>
      </c>
      <c r="D704" s="145">
        <v>92307.69231</v>
      </c>
      <c r="E704" s="146">
        <v>90532.54438</v>
      </c>
      <c r="F704" s="148">
        <v>81656.80473</v>
      </c>
      <c r="G704" s="146">
        <v>94082.84024</v>
      </c>
      <c r="H704" s="146">
        <v>129585.7988</v>
      </c>
      <c r="I704" s="146">
        <v>99408.28402</v>
      </c>
      <c r="J704" s="148">
        <v>106508.8757</v>
      </c>
      <c r="K704" s="145">
        <v>108284.0237</v>
      </c>
      <c r="L704" s="145">
        <v>106508.8757</v>
      </c>
      <c r="M704" s="145">
        <v>101183.432</v>
      </c>
      <c r="N704" s="145">
        <v>81656.80473</v>
      </c>
      <c r="O704" s="148">
        <v>69230.76923</v>
      </c>
      <c r="P704" s="146">
        <v>58579.88166</v>
      </c>
      <c r="Q704" s="146">
        <v>63905.32544</v>
      </c>
      <c r="R704" s="146">
        <v>67455.6213</v>
      </c>
      <c r="S704" s="146">
        <v>85207.10059</v>
      </c>
    </row>
    <row r="705">
      <c r="A705" s="145">
        <v>43.391</v>
      </c>
      <c r="B705" s="145">
        <f t="shared" si="1"/>
        <v>14015.293</v>
      </c>
      <c r="C705" s="145">
        <v>85207.10059</v>
      </c>
      <c r="D705" s="145">
        <v>92307.69231</v>
      </c>
      <c r="E705" s="146">
        <v>90532.54438</v>
      </c>
      <c r="F705" s="148">
        <v>83431.95266</v>
      </c>
      <c r="G705" s="146">
        <v>94082.84024</v>
      </c>
      <c r="H705" s="146">
        <v>129585.7988</v>
      </c>
      <c r="I705" s="146">
        <v>99408.28402</v>
      </c>
      <c r="J705" s="148">
        <v>106508.8757</v>
      </c>
      <c r="K705" s="145">
        <v>108284.0237</v>
      </c>
      <c r="L705" s="145">
        <v>106508.8757</v>
      </c>
      <c r="M705" s="145">
        <v>102958.5799</v>
      </c>
      <c r="N705" s="145">
        <v>81656.80473</v>
      </c>
      <c r="O705" s="148">
        <v>69230.76923</v>
      </c>
      <c r="P705" s="146">
        <v>58579.88166</v>
      </c>
      <c r="Q705" s="146">
        <v>63905.32544</v>
      </c>
      <c r="R705" s="146">
        <v>67455.6213</v>
      </c>
      <c r="S705" s="146">
        <v>85207.10059</v>
      </c>
    </row>
    <row r="706">
      <c r="A706" s="145">
        <v>43.438</v>
      </c>
      <c r="B706" s="145">
        <f t="shared" si="1"/>
        <v>14030.474</v>
      </c>
      <c r="C706" s="145">
        <v>85207.10059</v>
      </c>
      <c r="D706" s="145">
        <v>92307.69231</v>
      </c>
      <c r="E706" s="146">
        <v>90532.54438</v>
      </c>
      <c r="F706" s="148">
        <v>83431.95266</v>
      </c>
      <c r="G706" s="146">
        <v>94082.84024</v>
      </c>
      <c r="H706" s="146">
        <v>129585.7988</v>
      </c>
      <c r="I706" s="146">
        <v>99408.28402</v>
      </c>
      <c r="J706" s="148">
        <v>106508.8757</v>
      </c>
      <c r="K706" s="145">
        <v>108284.0237</v>
      </c>
      <c r="L706" s="145">
        <v>106508.8757</v>
      </c>
      <c r="M706" s="145">
        <v>102958.5799</v>
      </c>
      <c r="N706" s="145">
        <v>81656.80473</v>
      </c>
      <c r="O706" s="148">
        <v>69230.76923</v>
      </c>
      <c r="P706" s="146">
        <v>58579.88166</v>
      </c>
      <c r="Q706" s="146">
        <v>63905.32544</v>
      </c>
      <c r="R706" s="146">
        <v>67455.6213</v>
      </c>
      <c r="S706" s="146">
        <v>85207.10059</v>
      </c>
    </row>
    <row r="707">
      <c r="A707" s="145">
        <v>43.5</v>
      </c>
      <c r="B707" s="145">
        <f t="shared" si="1"/>
        <v>14050.5</v>
      </c>
      <c r="C707" s="145">
        <v>85207.10059</v>
      </c>
      <c r="D707" s="145">
        <v>92307.69231</v>
      </c>
      <c r="E707" s="146">
        <v>90532.54438</v>
      </c>
      <c r="F707" s="148">
        <v>83431.95266</v>
      </c>
      <c r="G707" s="146">
        <v>95857.98817</v>
      </c>
      <c r="H707" s="146">
        <v>129585.7988</v>
      </c>
      <c r="I707" s="146">
        <v>99408.28402</v>
      </c>
      <c r="J707" s="148">
        <v>106508.8757</v>
      </c>
      <c r="K707" s="145">
        <v>108284.0237</v>
      </c>
      <c r="L707" s="145">
        <v>110059.1716</v>
      </c>
      <c r="M707" s="145">
        <v>102958.5799</v>
      </c>
      <c r="N707" s="145">
        <v>81656.80473</v>
      </c>
      <c r="O707" s="148">
        <v>69230.76923</v>
      </c>
      <c r="P707" s="146">
        <v>58579.88166</v>
      </c>
      <c r="Q707" s="146">
        <v>63905.32544</v>
      </c>
      <c r="R707" s="146">
        <v>67455.6213</v>
      </c>
      <c r="S707" s="146">
        <v>85207.10059</v>
      </c>
    </row>
    <row r="708">
      <c r="A708" s="145">
        <v>43.563</v>
      </c>
      <c r="B708" s="145">
        <f t="shared" si="1"/>
        <v>14070.849</v>
      </c>
      <c r="C708" s="145">
        <v>85207.10059</v>
      </c>
      <c r="D708" s="145">
        <v>92307.69231</v>
      </c>
      <c r="E708" s="146">
        <v>90532.54438</v>
      </c>
      <c r="F708" s="148">
        <v>83431.95266</v>
      </c>
      <c r="G708" s="146">
        <v>95857.98817</v>
      </c>
      <c r="H708" s="146">
        <v>129585.7988</v>
      </c>
      <c r="I708" s="146">
        <v>99408.28402</v>
      </c>
      <c r="J708" s="148">
        <v>106508.8757</v>
      </c>
      <c r="K708" s="145">
        <v>108284.0237</v>
      </c>
      <c r="L708" s="145">
        <v>110059.1716</v>
      </c>
      <c r="M708" s="145">
        <v>102958.5799</v>
      </c>
      <c r="N708" s="145">
        <v>81656.80473</v>
      </c>
      <c r="O708" s="148">
        <v>69230.76923</v>
      </c>
      <c r="P708" s="146">
        <v>58579.88166</v>
      </c>
      <c r="Q708" s="146">
        <v>63905.32544</v>
      </c>
      <c r="R708" s="146">
        <v>67455.6213</v>
      </c>
      <c r="S708" s="146">
        <v>85207.10059</v>
      </c>
    </row>
    <row r="709">
      <c r="A709" s="145">
        <v>43.625</v>
      </c>
      <c r="B709" s="145">
        <f t="shared" si="1"/>
        <v>14090.875</v>
      </c>
      <c r="C709" s="145">
        <v>85207.10059</v>
      </c>
      <c r="D709" s="145">
        <v>92307.69231</v>
      </c>
      <c r="E709" s="146">
        <v>92307.69231</v>
      </c>
      <c r="F709" s="148">
        <v>83431.95266</v>
      </c>
      <c r="G709" s="146">
        <v>95857.98817</v>
      </c>
      <c r="H709" s="146">
        <v>129585.7988</v>
      </c>
      <c r="I709" s="146">
        <v>99408.28402</v>
      </c>
      <c r="J709" s="148">
        <v>106508.8757</v>
      </c>
      <c r="K709" s="145">
        <v>108284.0237</v>
      </c>
      <c r="L709" s="145">
        <v>110059.1716</v>
      </c>
      <c r="M709" s="145">
        <v>102958.5799</v>
      </c>
      <c r="N709" s="145">
        <v>81656.80473</v>
      </c>
      <c r="O709" s="151">
        <v>69230.76923</v>
      </c>
      <c r="P709" s="146">
        <v>58579.88166</v>
      </c>
      <c r="Q709" s="146">
        <v>63905.32544</v>
      </c>
      <c r="R709" s="146">
        <v>67455.6213</v>
      </c>
      <c r="S709" s="146">
        <v>85207.10059</v>
      </c>
    </row>
    <row r="710">
      <c r="A710" s="145">
        <v>43.704</v>
      </c>
      <c r="B710" s="145">
        <f t="shared" si="1"/>
        <v>14116.392</v>
      </c>
      <c r="C710" s="145">
        <v>85207.10059</v>
      </c>
      <c r="D710" s="145">
        <v>92307.69231</v>
      </c>
      <c r="E710" s="146">
        <v>92307.69231</v>
      </c>
      <c r="F710" s="148">
        <v>83431.95266</v>
      </c>
      <c r="G710" s="146">
        <v>95857.98817</v>
      </c>
      <c r="H710" s="146">
        <v>129585.7988</v>
      </c>
      <c r="I710" s="146">
        <v>99408.28402</v>
      </c>
      <c r="J710" s="148">
        <v>110059.1716</v>
      </c>
      <c r="K710" s="145">
        <v>108284.0237</v>
      </c>
      <c r="L710" s="145">
        <v>110059.1716</v>
      </c>
      <c r="M710" s="145">
        <v>102958.5799</v>
      </c>
      <c r="N710" s="145">
        <v>81656.80473</v>
      </c>
      <c r="O710" s="151">
        <v>71005.91716</v>
      </c>
      <c r="P710" s="146">
        <v>58579.88166</v>
      </c>
      <c r="Q710" s="146">
        <v>63905.32544</v>
      </c>
      <c r="R710" s="146">
        <v>67455.6213</v>
      </c>
      <c r="S710" s="146">
        <v>85207.10059</v>
      </c>
    </row>
    <row r="711">
      <c r="A711" s="145">
        <v>43.75</v>
      </c>
      <c r="B711" s="145">
        <f t="shared" si="1"/>
        <v>14131.25</v>
      </c>
      <c r="C711" s="145">
        <v>85207.10059</v>
      </c>
      <c r="D711" s="145">
        <v>94082.84024</v>
      </c>
      <c r="E711" s="146">
        <v>92307.69231</v>
      </c>
      <c r="F711" s="148">
        <v>83431.95266</v>
      </c>
      <c r="G711" s="146">
        <v>95857.98817</v>
      </c>
      <c r="H711" s="146">
        <v>129585.7988</v>
      </c>
      <c r="I711" s="146">
        <v>99408.28402</v>
      </c>
      <c r="J711" s="148">
        <v>110059.1716</v>
      </c>
      <c r="K711" s="145">
        <v>108284.0237</v>
      </c>
      <c r="L711" s="145">
        <v>110059.1716</v>
      </c>
      <c r="M711" s="145">
        <v>102958.5799</v>
      </c>
      <c r="N711" s="145">
        <v>81656.80473</v>
      </c>
      <c r="O711" s="151">
        <v>71005.91716</v>
      </c>
      <c r="P711" s="146">
        <v>58579.88166</v>
      </c>
      <c r="Q711" s="146">
        <v>63905.32544</v>
      </c>
      <c r="R711" s="146">
        <v>67455.6213</v>
      </c>
      <c r="S711" s="146">
        <v>85207.10059</v>
      </c>
    </row>
    <row r="712">
      <c r="A712" s="145">
        <v>43.813</v>
      </c>
      <c r="B712" s="145">
        <f t="shared" si="1"/>
        <v>14151.599</v>
      </c>
      <c r="C712" s="145">
        <v>85207.10059</v>
      </c>
      <c r="D712" s="145">
        <v>94082.84024</v>
      </c>
      <c r="E712" s="146">
        <v>92307.69231</v>
      </c>
      <c r="F712" s="148">
        <v>83431.95266</v>
      </c>
      <c r="G712" s="146">
        <v>95857.98817</v>
      </c>
      <c r="H712" s="146">
        <v>129585.7988</v>
      </c>
      <c r="I712" s="146">
        <v>99408.28402</v>
      </c>
      <c r="J712" s="148">
        <v>110059.1716</v>
      </c>
      <c r="K712" s="145">
        <v>108284.0237</v>
      </c>
      <c r="L712" s="145">
        <v>110059.1716</v>
      </c>
      <c r="M712" s="145">
        <v>102958.5799</v>
      </c>
      <c r="N712" s="145">
        <v>81656.80473</v>
      </c>
      <c r="O712" s="151">
        <v>71005.91716</v>
      </c>
      <c r="P712" s="146">
        <v>58579.88166</v>
      </c>
      <c r="Q712" s="146">
        <v>63905.32544</v>
      </c>
      <c r="R712" s="146">
        <v>67455.6213</v>
      </c>
      <c r="S712" s="146">
        <v>85207.10059</v>
      </c>
    </row>
    <row r="713">
      <c r="A713" s="145">
        <v>43.875</v>
      </c>
      <c r="B713" s="145">
        <f t="shared" si="1"/>
        <v>14171.625</v>
      </c>
      <c r="C713" s="145">
        <v>85207.10059</v>
      </c>
      <c r="D713" s="145">
        <v>94082.84024</v>
      </c>
      <c r="E713" s="146">
        <v>92307.69231</v>
      </c>
      <c r="F713" s="148">
        <v>83431.95266</v>
      </c>
      <c r="G713" s="146">
        <v>95857.98817</v>
      </c>
      <c r="H713" s="146">
        <v>131360.9467</v>
      </c>
      <c r="I713" s="146">
        <v>99408.28402</v>
      </c>
      <c r="J713" s="148">
        <v>110059.1716</v>
      </c>
      <c r="K713" s="145">
        <v>108284.0237</v>
      </c>
      <c r="L713" s="145">
        <v>110059.1716</v>
      </c>
      <c r="M713" s="145">
        <v>102958.5799</v>
      </c>
      <c r="N713" s="145">
        <v>81656.80473</v>
      </c>
      <c r="O713" s="151">
        <v>71005.91716</v>
      </c>
      <c r="P713" s="146">
        <v>58579.88166</v>
      </c>
      <c r="Q713" s="146">
        <v>63905.32544</v>
      </c>
      <c r="R713" s="146">
        <v>67455.6213</v>
      </c>
      <c r="S713" s="146">
        <v>85207.10059</v>
      </c>
    </row>
    <row r="714">
      <c r="A714" s="145">
        <v>43.938</v>
      </c>
      <c r="B714" s="145">
        <f t="shared" si="1"/>
        <v>14191.974</v>
      </c>
      <c r="C714" s="145">
        <v>85207.10059</v>
      </c>
      <c r="D714" s="145">
        <v>94082.84024</v>
      </c>
      <c r="E714" s="146">
        <v>92307.69231</v>
      </c>
      <c r="F714" s="148">
        <v>83431.95266</v>
      </c>
      <c r="G714" s="146">
        <v>95857.98817</v>
      </c>
      <c r="H714" s="146">
        <v>131360.9467</v>
      </c>
      <c r="I714" s="146">
        <v>99408.28402</v>
      </c>
      <c r="J714" s="148">
        <v>110059.1716</v>
      </c>
      <c r="K714" s="145">
        <v>108284.0237</v>
      </c>
      <c r="L714" s="145">
        <v>110059.1716</v>
      </c>
      <c r="M714" s="145">
        <v>102958.5799</v>
      </c>
      <c r="N714" s="145">
        <v>81656.80473</v>
      </c>
      <c r="O714" s="151">
        <v>71005.91716</v>
      </c>
      <c r="P714" s="146">
        <v>58579.88166</v>
      </c>
      <c r="Q714" s="146">
        <v>63905.32544</v>
      </c>
      <c r="R714" s="146">
        <v>67455.6213</v>
      </c>
      <c r="S714" s="146">
        <v>85207.10059</v>
      </c>
    </row>
    <row r="715">
      <c r="A715" s="145">
        <v>44.0</v>
      </c>
      <c r="B715" s="145">
        <f t="shared" si="1"/>
        <v>14212</v>
      </c>
      <c r="C715" s="145">
        <v>85207.10059</v>
      </c>
      <c r="D715" s="145">
        <v>94082.84024</v>
      </c>
      <c r="E715" s="146">
        <v>92307.69231</v>
      </c>
      <c r="F715" s="148">
        <v>83431.95266</v>
      </c>
      <c r="G715" s="146">
        <v>95857.98817</v>
      </c>
      <c r="H715" s="146">
        <v>131360.9467</v>
      </c>
      <c r="I715" s="146">
        <v>102958.5799</v>
      </c>
      <c r="J715" s="148">
        <v>110059.1716</v>
      </c>
      <c r="K715" s="145">
        <v>108284.0237</v>
      </c>
      <c r="L715" s="145">
        <v>110059.1716</v>
      </c>
      <c r="M715" s="145">
        <v>102958.5799</v>
      </c>
      <c r="N715" s="145">
        <v>81656.80473</v>
      </c>
      <c r="O715" s="151">
        <v>71005.91716</v>
      </c>
      <c r="P715" s="146">
        <v>58579.88166</v>
      </c>
      <c r="Q715" s="146">
        <v>63905.32544</v>
      </c>
      <c r="R715" s="146">
        <v>67455.6213</v>
      </c>
      <c r="S715" s="146">
        <v>85207.10059</v>
      </c>
    </row>
    <row r="716">
      <c r="A716" s="145">
        <v>44.063</v>
      </c>
      <c r="B716" s="145">
        <f t="shared" si="1"/>
        <v>14232.349</v>
      </c>
      <c r="C716" s="145">
        <v>85207.10059</v>
      </c>
      <c r="D716" s="145">
        <v>94082.84024</v>
      </c>
      <c r="E716" s="146">
        <v>92307.69231</v>
      </c>
      <c r="F716" s="148">
        <v>83431.95266</v>
      </c>
      <c r="G716" s="146">
        <v>95857.98817</v>
      </c>
      <c r="H716" s="146">
        <v>131360.9467</v>
      </c>
      <c r="I716" s="146">
        <v>102958.5799</v>
      </c>
      <c r="J716" s="148">
        <v>110059.1716</v>
      </c>
      <c r="K716" s="145">
        <v>108284.0237</v>
      </c>
      <c r="L716" s="145">
        <v>111834.3195</v>
      </c>
      <c r="M716" s="145">
        <v>102958.5799</v>
      </c>
      <c r="N716" s="145">
        <v>81656.80473</v>
      </c>
      <c r="O716" s="151">
        <v>72781.06509</v>
      </c>
      <c r="P716" s="146">
        <v>58579.88166</v>
      </c>
      <c r="Q716" s="146">
        <v>63905.32544</v>
      </c>
      <c r="R716" s="146">
        <v>67455.6213</v>
      </c>
      <c r="S716" s="146">
        <v>85207.10059</v>
      </c>
    </row>
    <row r="717">
      <c r="A717" s="145">
        <v>44.125</v>
      </c>
      <c r="B717" s="145">
        <f t="shared" si="1"/>
        <v>14252.375</v>
      </c>
      <c r="C717" s="145">
        <v>86982.24852</v>
      </c>
      <c r="D717" s="145">
        <v>94082.84024</v>
      </c>
      <c r="E717" s="146">
        <v>92307.69231</v>
      </c>
      <c r="F717" s="148">
        <v>83431.95266</v>
      </c>
      <c r="G717" s="146">
        <v>95857.98817</v>
      </c>
      <c r="H717" s="146">
        <v>131360.9467</v>
      </c>
      <c r="I717" s="146">
        <v>102958.5799</v>
      </c>
      <c r="J717" s="148">
        <v>110059.1716</v>
      </c>
      <c r="K717" s="145">
        <v>108284.0237</v>
      </c>
      <c r="L717" s="145">
        <v>111834.3195</v>
      </c>
      <c r="M717" s="145">
        <v>102958.5799</v>
      </c>
      <c r="N717" s="145">
        <v>81656.80473</v>
      </c>
      <c r="O717" s="151">
        <v>72781.06509</v>
      </c>
      <c r="P717" s="146">
        <v>58579.88166</v>
      </c>
      <c r="Q717" s="146">
        <v>63905.32544</v>
      </c>
      <c r="R717" s="146">
        <v>67455.6213</v>
      </c>
      <c r="S717" s="146">
        <v>85207.10059</v>
      </c>
    </row>
    <row r="718">
      <c r="A718" s="145">
        <v>44.188</v>
      </c>
      <c r="B718" s="145">
        <f t="shared" si="1"/>
        <v>14272.724</v>
      </c>
      <c r="C718" s="145">
        <v>86982.24852</v>
      </c>
      <c r="D718" s="145">
        <v>94082.84024</v>
      </c>
      <c r="E718" s="146">
        <v>92307.69231</v>
      </c>
      <c r="F718" s="148">
        <v>83431.95266</v>
      </c>
      <c r="G718" s="146">
        <v>95857.98817</v>
      </c>
      <c r="H718" s="146">
        <v>131360.9467</v>
      </c>
      <c r="I718" s="146">
        <v>102958.5799</v>
      </c>
      <c r="J718" s="148">
        <v>110059.1716</v>
      </c>
      <c r="K718" s="145">
        <v>108284.0237</v>
      </c>
      <c r="L718" s="145">
        <v>111834.3195</v>
      </c>
      <c r="M718" s="145">
        <v>102958.5799</v>
      </c>
      <c r="N718" s="145">
        <v>83431.95266</v>
      </c>
      <c r="O718" s="151">
        <v>72781.06509</v>
      </c>
      <c r="P718" s="146">
        <v>58579.88166</v>
      </c>
      <c r="Q718" s="146">
        <v>63905.32544</v>
      </c>
      <c r="R718" s="146">
        <v>67455.6213</v>
      </c>
      <c r="S718" s="146">
        <v>85207.10059</v>
      </c>
    </row>
    <row r="719">
      <c r="A719" s="145">
        <v>44.25</v>
      </c>
      <c r="B719" s="145">
        <f t="shared" si="1"/>
        <v>14292.75</v>
      </c>
      <c r="C719" s="145">
        <v>86982.24852</v>
      </c>
      <c r="D719" s="145">
        <v>94082.84024</v>
      </c>
      <c r="E719" s="146">
        <v>92307.69231</v>
      </c>
      <c r="F719" s="148">
        <v>83431.95266</v>
      </c>
      <c r="G719" s="146">
        <v>95857.98817</v>
      </c>
      <c r="H719" s="146">
        <v>131360.9467</v>
      </c>
      <c r="I719" s="146">
        <v>102958.5799</v>
      </c>
      <c r="J719" s="148">
        <v>110059.1716</v>
      </c>
      <c r="K719" s="145">
        <v>108284.0237</v>
      </c>
      <c r="L719" s="145">
        <v>111834.3195</v>
      </c>
      <c r="M719" s="145">
        <v>102958.5799</v>
      </c>
      <c r="N719" s="145">
        <v>83431.95266</v>
      </c>
      <c r="O719" s="151">
        <v>72781.06509</v>
      </c>
      <c r="P719" s="146">
        <v>58579.88166</v>
      </c>
      <c r="Q719" s="146">
        <v>63905.32544</v>
      </c>
      <c r="R719" s="146">
        <v>67455.6213</v>
      </c>
      <c r="S719" s="146">
        <v>85207.10059</v>
      </c>
    </row>
    <row r="720">
      <c r="A720" s="145">
        <v>44.313</v>
      </c>
      <c r="B720" s="145">
        <f t="shared" si="1"/>
        <v>14313.099</v>
      </c>
      <c r="C720" s="145">
        <v>86982.24852</v>
      </c>
      <c r="D720" s="145">
        <v>94082.84024</v>
      </c>
      <c r="E720" s="146">
        <v>92307.69231</v>
      </c>
      <c r="F720" s="148">
        <v>83431.95266</v>
      </c>
      <c r="G720" s="146">
        <v>95857.98817</v>
      </c>
      <c r="H720" s="146">
        <v>131360.9467</v>
      </c>
      <c r="I720" s="146">
        <v>102958.5799</v>
      </c>
      <c r="J720" s="148">
        <v>110059.1716</v>
      </c>
      <c r="K720" s="145">
        <v>110059.1716</v>
      </c>
      <c r="L720" s="145">
        <v>111834.3195</v>
      </c>
      <c r="M720" s="145">
        <v>102958.5799</v>
      </c>
      <c r="N720" s="145">
        <v>85207.10059</v>
      </c>
      <c r="O720" s="151">
        <v>72781.06509</v>
      </c>
      <c r="P720" s="146">
        <v>58579.88166</v>
      </c>
      <c r="Q720" s="146">
        <v>63905.32544</v>
      </c>
      <c r="R720" s="146">
        <v>69230.76923</v>
      </c>
      <c r="S720" s="146">
        <v>85207.10059</v>
      </c>
    </row>
    <row r="721">
      <c r="A721" s="145">
        <v>44.391</v>
      </c>
      <c r="B721" s="145">
        <f t="shared" si="1"/>
        <v>14338.293</v>
      </c>
      <c r="C721" s="145">
        <v>86982.24852</v>
      </c>
      <c r="D721" s="145">
        <v>94082.84024</v>
      </c>
      <c r="E721" s="146">
        <v>92307.69231</v>
      </c>
      <c r="F721" s="148">
        <v>83431.95266</v>
      </c>
      <c r="G721" s="146">
        <v>95857.98817</v>
      </c>
      <c r="H721" s="146">
        <v>133136.0947</v>
      </c>
      <c r="I721" s="146">
        <v>102958.5799</v>
      </c>
      <c r="J721" s="148">
        <v>110059.1716</v>
      </c>
      <c r="K721" s="145">
        <v>110059.1716</v>
      </c>
      <c r="L721" s="145">
        <v>111834.3195</v>
      </c>
      <c r="M721" s="145">
        <v>102958.5799</v>
      </c>
      <c r="N721" s="145">
        <v>85207.10059</v>
      </c>
      <c r="O721" s="151">
        <v>74556.21302</v>
      </c>
      <c r="P721" s="146">
        <v>58579.88166</v>
      </c>
      <c r="Q721" s="146">
        <v>63905.32544</v>
      </c>
      <c r="R721" s="146">
        <v>69230.76923</v>
      </c>
      <c r="S721" s="146">
        <v>85207.10059</v>
      </c>
    </row>
    <row r="722">
      <c r="A722" s="145">
        <v>44.438</v>
      </c>
      <c r="B722" s="145">
        <f t="shared" si="1"/>
        <v>14353.474</v>
      </c>
      <c r="C722" s="145">
        <v>86982.24852</v>
      </c>
      <c r="D722" s="145">
        <v>94082.84024</v>
      </c>
      <c r="E722" s="146">
        <v>94082.84024</v>
      </c>
      <c r="F722" s="148">
        <v>83431.95266</v>
      </c>
      <c r="G722" s="146">
        <v>95857.98817</v>
      </c>
      <c r="H722" s="146">
        <v>133136.0947</v>
      </c>
      <c r="I722" s="146">
        <v>102958.5799</v>
      </c>
      <c r="J722" s="148">
        <v>110059.1716</v>
      </c>
      <c r="K722" s="145">
        <v>110059.1716</v>
      </c>
      <c r="L722" s="145">
        <v>111834.3195</v>
      </c>
      <c r="M722" s="145">
        <v>102958.5799</v>
      </c>
      <c r="N722" s="145">
        <v>85207.10059</v>
      </c>
      <c r="O722" s="151">
        <v>74556.21302</v>
      </c>
      <c r="P722" s="146">
        <v>58579.88166</v>
      </c>
      <c r="Q722" s="146">
        <v>63905.32544</v>
      </c>
      <c r="R722" s="146">
        <v>69230.76923</v>
      </c>
      <c r="S722" s="146">
        <v>85207.10059</v>
      </c>
    </row>
    <row r="723">
      <c r="A723" s="145">
        <v>44.5</v>
      </c>
      <c r="B723" s="145">
        <f t="shared" si="1"/>
        <v>14373.5</v>
      </c>
      <c r="C723" s="145">
        <v>86982.24852</v>
      </c>
      <c r="D723" s="145">
        <v>94082.84024</v>
      </c>
      <c r="E723" s="146">
        <v>94082.84024</v>
      </c>
      <c r="F723" s="148">
        <v>85207.10059</v>
      </c>
      <c r="G723" s="146">
        <v>95857.98817</v>
      </c>
      <c r="H723" s="146">
        <v>133136.0947</v>
      </c>
      <c r="I723" s="146">
        <v>102958.5799</v>
      </c>
      <c r="J723" s="148">
        <v>110059.1716</v>
      </c>
      <c r="K723" s="145">
        <v>110059.1716</v>
      </c>
      <c r="L723" s="145">
        <v>113609.4675</v>
      </c>
      <c r="M723" s="145">
        <v>102958.5799</v>
      </c>
      <c r="N723" s="145">
        <v>85207.10059</v>
      </c>
      <c r="O723" s="151">
        <v>74556.21302</v>
      </c>
      <c r="P723" s="146">
        <v>58579.88166</v>
      </c>
      <c r="Q723" s="146">
        <v>63905.32544</v>
      </c>
      <c r="R723" s="146">
        <v>69230.76923</v>
      </c>
      <c r="S723" s="146">
        <v>85207.10059</v>
      </c>
    </row>
    <row r="724">
      <c r="A724" s="145">
        <v>44.563</v>
      </c>
      <c r="B724" s="145">
        <f t="shared" si="1"/>
        <v>14393.849</v>
      </c>
      <c r="C724" s="145">
        <v>86982.24852</v>
      </c>
      <c r="D724" s="145">
        <v>94082.84024</v>
      </c>
      <c r="E724" s="146">
        <v>94082.84024</v>
      </c>
      <c r="F724" s="148">
        <v>85207.10059</v>
      </c>
      <c r="G724" s="146">
        <v>95857.98817</v>
      </c>
      <c r="H724" s="146">
        <v>133136.0947</v>
      </c>
      <c r="I724" s="146">
        <v>102958.5799</v>
      </c>
      <c r="J724" s="148">
        <v>110059.1716</v>
      </c>
      <c r="K724" s="145">
        <v>110059.1716</v>
      </c>
      <c r="L724" s="145">
        <v>113609.4675</v>
      </c>
      <c r="M724" s="145">
        <v>102958.5799</v>
      </c>
      <c r="N724" s="145">
        <v>85207.10059</v>
      </c>
      <c r="O724" s="151">
        <v>74556.21302</v>
      </c>
      <c r="P724" s="146">
        <v>58579.88166</v>
      </c>
      <c r="Q724" s="146">
        <v>63905.32544</v>
      </c>
      <c r="R724" s="146">
        <v>69230.76923</v>
      </c>
      <c r="S724" s="146">
        <v>85207.10059</v>
      </c>
    </row>
    <row r="725">
      <c r="A725" s="145">
        <v>44.625</v>
      </c>
      <c r="B725" s="145">
        <f t="shared" si="1"/>
        <v>14413.875</v>
      </c>
      <c r="C725" s="145">
        <v>86982.24852</v>
      </c>
      <c r="D725" s="145">
        <v>94082.84024</v>
      </c>
      <c r="E725" s="146">
        <v>94082.84024</v>
      </c>
      <c r="F725" s="148">
        <v>85207.10059</v>
      </c>
      <c r="G725" s="146">
        <v>95857.98817</v>
      </c>
      <c r="H725" s="146">
        <v>133136.0947</v>
      </c>
      <c r="I725" s="146">
        <v>102958.5799</v>
      </c>
      <c r="J725" s="148">
        <v>110059.1716</v>
      </c>
      <c r="K725" s="145">
        <v>110059.1716</v>
      </c>
      <c r="L725" s="145">
        <v>113609.4675</v>
      </c>
      <c r="M725" s="145">
        <v>102958.5799</v>
      </c>
      <c r="N725" s="145">
        <v>85207.10059</v>
      </c>
      <c r="O725" s="151">
        <v>74556.21302</v>
      </c>
      <c r="P725" s="146">
        <v>58579.88166</v>
      </c>
      <c r="Q725" s="146">
        <v>63905.32544</v>
      </c>
      <c r="R725" s="146">
        <v>69230.76923</v>
      </c>
      <c r="S725" s="146">
        <v>85207.10059</v>
      </c>
    </row>
    <row r="726">
      <c r="A726" s="145">
        <v>44.704</v>
      </c>
      <c r="B726" s="145">
        <f t="shared" si="1"/>
        <v>14439.392</v>
      </c>
      <c r="C726" s="145">
        <v>86982.24852</v>
      </c>
      <c r="D726" s="145">
        <v>94082.84024</v>
      </c>
      <c r="E726" s="146">
        <v>94082.84024</v>
      </c>
      <c r="F726" s="148">
        <v>85207.10059</v>
      </c>
      <c r="G726" s="146">
        <v>95857.98817</v>
      </c>
      <c r="H726" s="146">
        <v>133136.0947</v>
      </c>
      <c r="I726" s="146">
        <v>102958.5799</v>
      </c>
      <c r="J726" s="148">
        <v>110059.1716</v>
      </c>
      <c r="K726" s="145">
        <v>110059.1716</v>
      </c>
      <c r="L726" s="145">
        <v>113609.4675</v>
      </c>
      <c r="M726" s="145">
        <v>102958.5799</v>
      </c>
      <c r="N726" s="145">
        <v>85207.10059</v>
      </c>
      <c r="O726" s="151">
        <v>74556.21302</v>
      </c>
      <c r="P726" s="146">
        <v>58579.88166</v>
      </c>
      <c r="Q726" s="146">
        <v>63905.32544</v>
      </c>
      <c r="R726" s="146">
        <v>69230.76923</v>
      </c>
      <c r="S726" s="146">
        <v>85207.10059</v>
      </c>
    </row>
    <row r="727">
      <c r="A727" s="145">
        <v>44.75</v>
      </c>
      <c r="B727" s="145">
        <f t="shared" si="1"/>
        <v>14454.25</v>
      </c>
      <c r="C727" s="145">
        <v>86982.24852</v>
      </c>
      <c r="D727" s="145">
        <v>94082.84024</v>
      </c>
      <c r="E727" s="146">
        <v>94082.84024</v>
      </c>
      <c r="F727" s="148">
        <v>85207.10059</v>
      </c>
      <c r="G727" s="146">
        <v>97633.1361</v>
      </c>
      <c r="H727" s="146">
        <v>133136.0947</v>
      </c>
      <c r="I727" s="146">
        <v>102958.5799</v>
      </c>
      <c r="J727" s="148">
        <v>110059.1716</v>
      </c>
      <c r="K727" s="145">
        <v>110059.1716</v>
      </c>
      <c r="L727" s="145">
        <v>113609.4675</v>
      </c>
      <c r="M727" s="145">
        <v>102958.5799</v>
      </c>
      <c r="N727" s="145">
        <v>85207.10059</v>
      </c>
      <c r="O727" s="151">
        <v>74556.21302</v>
      </c>
      <c r="P727" s="146">
        <v>58579.88166</v>
      </c>
      <c r="Q727" s="146">
        <v>63905.32544</v>
      </c>
      <c r="R727" s="146">
        <v>69230.76923</v>
      </c>
      <c r="S727" s="146">
        <v>85207.10059</v>
      </c>
    </row>
    <row r="728">
      <c r="A728" s="145">
        <v>44.813</v>
      </c>
      <c r="B728" s="145">
        <f t="shared" si="1"/>
        <v>14474.599</v>
      </c>
      <c r="C728" s="145">
        <v>86982.24852</v>
      </c>
      <c r="D728" s="145">
        <v>94082.84024</v>
      </c>
      <c r="E728" s="146">
        <v>94082.84024</v>
      </c>
      <c r="F728" s="148">
        <v>85207.10059</v>
      </c>
      <c r="G728" s="146">
        <v>97633.1361</v>
      </c>
      <c r="H728" s="146">
        <v>133136.0947</v>
      </c>
      <c r="I728" s="146">
        <v>102958.5799</v>
      </c>
      <c r="J728" s="148">
        <v>110059.1716</v>
      </c>
      <c r="K728" s="145">
        <v>110059.1716</v>
      </c>
      <c r="L728" s="145">
        <v>117159.7633</v>
      </c>
      <c r="M728" s="145">
        <v>102958.5799</v>
      </c>
      <c r="N728" s="145">
        <v>85207.10059</v>
      </c>
      <c r="O728" s="151">
        <v>74556.21302</v>
      </c>
      <c r="P728" s="146">
        <v>58579.88166</v>
      </c>
      <c r="Q728" s="146">
        <v>63905.32544</v>
      </c>
      <c r="R728" s="146">
        <v>69230.76923</v>
      </c>
      <c r="S728" s="146">
        <v>85207.10059</v>
      </c>
    </row>
    <row r="729">
      <c r="A729" s="145">
        <v>44.891</v>
      </c>
      <c r="B729" s="145">
        <f t="shared" si="1"/>
        <v>14499.793</v>
      </c>
      <c r="C729" s="145">
        <v>86982.24852</v>
      </c>
      <c r="D729" s="145">
        <v>94082.84024</v>
      </c>
      <c r="E729" s="146">
        <v>94082.84024</v>
      </c>
      <c r="F729" s="148">
        <v>85207.10059</v>
      </c>
      <c r="G729" s="146">
        <v>97633.1361</v>
      </c>
      <c r="H729" s="146">
        <v>134911.2426</v>
      </c>
      <c r="I729" s="146">
        <v>102958.5799</v>
      </c>
      <c r="J729" s="148">
        <v>110059.1716</v>
      </c>
      <c r="K729" s="145">
        <v>110059.1716</v>
      </c>
      <c r="L729" s="145">
        <v>117159.7633</v>
      </c>
      <c r="M729" s="145">
        <v>102958.5799</v>
      </c>
      <c r="N729" s="145">
        <v>85207.10059</v>
      </c>
      <c r="O729" s="151">
        <v>74556.21302</v>
      </c>
      <c r="P729" s="146">
        <v>58579.88166</v>
      </c>
      <c r="Q729" s="146">
        <v>63905.32544</v>
      </c>
      <c r="R729" s="146">
        <v>69230.76923</v>
      </c>
      <c r="S729" s="146">
        <v>85207.10059</v>
      </c>
    </row>
    <row r="730">
      <c r="A730" s="145">
        <v>44.938</v>
      </c>
      <c r="B730" s="145">
        <f t="shared" si="1"/>
        <v>14514.974</v>
      </c>
      <c r="C730" s="145">
        <v>86982.24852</v>
      </c>
      <c r="D730" s="145">
        <v>94082.84024</v>
      </c>
      <c r="E730" s="146">
        <v>94082.84024</v>
      </c>
      <c r="F730" s="148">
        <v>85207.10059</v>
      </c>
      <c r="G730" s="146">
        <v>97633.1361</v>
      </c>
      <c r="H730" s="146">
        <v>134911.2426</v>
      </c>
      <c r="I730" s="146">
        <v>102958.5799</v>
      </c>
      <c r="J730" s="148">
        <v>110059.1716</v>
      </c>
      <c r="K730" s="145">
        <v>110059.1716</v>
      </c>
      <c r="L730" s="145">
        <v>117159.7633</v>
      </c>
      <c r="M730" s="145">
        <v>102958.5799</v>
      </c>
      <c r="N730" s="145">
        <v>85207.10059</v>
      </c>
      <c r="O730" s="151">
        <v>74556.21302</v>
      </c>
      <c r="P730" s="146">
        <v>60355.02959</v>
      </c>
      <c r="Q730" s="146">
        <v>65680.47337</v>
      </c>
      <c r="R730" s="146">
        <v>69230.76923</v>
      </c>
      <c r="S730" s="146">
        <v>85207.10059</v>
      </c>
    </row>
    <row r="731">
      <c r="A731" s="145">
        <v>45.0</v>
      </c>
      <c r="B731" s="145">
        <f t="shared" si="1"/>
        <v>14535</v>
      </c>
      <c r="C731" s="145">
        <v>86982.24852</v>
      </c>
      <c r="D731" s="145">
        <v>94082.84024</v>
      </c>
      <c r="E731" s="146">
        <v>94082.84024</v>
      </c>
      <c r="F731" s="148">
        <v>85207.10059</v>
      </c>
      <c r="G731" s="146">
        <v>97633.1361</v>
      </c>
      <c r="H731" s="146">
        <v>134911.2426</v>
      </c>
      <c r="I731" s="146">
        <v>102958.5799</v>
      </c>
      <c r="J731" s="148">
        <v>110059.1716</v>
      </c>
      <c r="K731" s="145">
        <v>110059.1716</v>
      </c>
      <c r="L731" s="145">
        <v>117159.7633</v>
      </c>
      <c r="M731" s="145">
        <v>102958.5799</v>
      </c>
      <c r="N731" s="145">
        <v>85207.10059</v>
      </c>
      <c r="O731" s="151">
        <v>74556.21302</v>
      </c>
      <c r="P731" s="146">
        <v>60355.02959</v>
      </c>
      <c r="Q731" s="146">
        <v>65680.47337</v>
      </c>
      <c r="R731" s="146">
        <v>69230.76923</v>
      </c>
      <c r="S731" s="146">
        <v>86982.24852</v>
      </c>
    </row>
    <row r="732">
      <c r="A732" s="145">
        <v>45.063</v>
      </c>
      <c r="B732" s="145">
        <f t="shared" si="1"/>
        <v>14555.349</v>
      </c>
      <c r="C732" s="145">
        <v>86982.24852</v>
      </c>
      <c r="D732" s="145">
        <v>94082.84024</v>
      </c>
      <c r="E732" s="146">
        <v>94082.84024</v>
      </c>
      <c r="F732" s="148">
        <v>85207.10059</v>
      </c>
      <c r="G732" s="146">
        <v>97633.1361</v>
      </c>
      <c r="H732" s="146">
        <v>134911.2426</v>
      </c>
      <c r="I732" s="146">
        <v>102958.5799</v>
      </c>
      <c r="J732" s="148">
        <v>110059.1716</v>
      </c>
      <c r="K732" s="145">
        <v>110059.1716</v>
      </c>
      <c r="L732" s="145">
        <v>117159.7633</v>
      </c>
      <c r="M732" s="145">
        <v>102958.5799</v>
      </c>
      <c r="N732" s="145">
        <v>85207.10059</v>
      </c>
      <c r="O732" s="151">
        <v>76331.36095</v>
      </c>
      <c r="P732" s="146">
        <v>60355.02959</v>
      </c>
      <c r="Q732" s="146">
        <v>65680.47337</v>
      </c>
      <c r="R732" s="146">
        <v>69230.76923</v>
      </c>
      <c r="S732" s="146">
        <v>86982.24852</v>
      </c>
    </row>
    <row r="733">
      <c r="A733" s="145">
        <v>45.125</v>
      </c>
      <c r="B733" s="145">
        <f t="shared" si="1"/>
        <v>14575.375</v>
      </c>
      <c r="C733" s="145">
        <v>88757.39645</v>
      </c>
      <c r="D733" s="145">
        <v>95857.98817</v>
      </c>
      <c r="E733" s="146">
        <v>94082.84024</v>
      </c>
      <c r="F733" s="148">
        <v>85207.10059</v>
      </c>
      <c r="G733" s="146">
        <v>97633.1361</v>
      </c>
      <c r="H733" s="145">
        <v>134911.2426</v>
      </c>
      <c r="I733" s="146">
        <v>102958.5799</v>
      </c>
      <c r="J733" s="148">
        <v>111834.3195</v>
      </c>
      <c r="K733" s="145">
        <v>110059.1716</v>
      </c>
      <c r="L733" s="145">
        <v>117159.7633</v>
      </c>
      <c r="M733" s="145">
        <v>102958.5799</v>
      </c>
      <c r="N733" s="145">
        <v>85207.10059</v>
      </c>
      <c r="O733" s="151">
        <v>76331.36095</v>
      </c>
      <c r="P733" s="146">
        <v>60355.02959</v>
      </c>
      <c r="Q733" s="146">
        <v>65680.47337</v>
      </c>
      <c r="R733" s="146">
        <v>69230.76923</v>
      </c>
      <c r="S733" s="146">
        <v>86982.24852</v>
      </c>
    </row>
    <row r="734">
      <c r="A734" s="145">
        <v>45.204</v>
      </c>
      <c r="B734" s="145">
        <f t="shared" si="1"/>
        <v>14600.892</v>
      </c>
      <c r="C734" s="145">
        <v>88757.39645</v>
      </c>
      <c r="D734" s="145">
        <v>95857.98817</v>
      </c>
      <c r="E734" s="146">
        <v>94082.84024</v>
      </c>
      <c r="F734" s="148">
        <v>85207.10059</v>
      </c>
      <c r="G734" s="146">
        <v>97633.1361</v>
      </c>
      <c r="H734" s="145">
        <v>134911.2426</v>
      </c>
      <c r="I734" s="146">
        <v>102958.5799</v>
      </c>
      <c r="J734" s="148">
        <v>111834.3195</v>
      </c>
      <c r="K734" s="145">
        <v>110059.1716</v>
      </c>
      <c r="L734" s="145">
        <v>117159.7633</v>
      </c>
      <c r="M734" s="145">
        <v>102958.5799</v>
      </c>
      <c r="N734" s="145">
        <v>85207.10059</v>
      </c>
      <c r="O734" s="151">
        <v>76331.36095</v>
      </c>
      <c r="P734" s="146">
        <v>60355.02959</v>
      </c>
      <c r="Q734" s="146">
        <v>65680.47337</v>
      </c>
      <c r="R734" s="146">
        <v>69230.76923</v>
      </c>
      <c r="S734" s="146">
        <v>86982.24852</v>
      </c>
    </row>
    <row r="735">
      <c r="A735" s="145">
        <v>45.25</v>
      </c>
      <c r="B735" s="145">
        <f t="shared" si="1"/>
        <v>14615.75</v>
      </c>
      <c r="C735" s="145">
        <v>88757.39645</v>
      </c>
      <c r="D735" s="145">
        <v>95857.98817</v>
      </c>
      <c r="E735" s="146">
        <v>94082.84024</v>
      </c>
      <c r="F735" s="148">
        <v>85207.10059</v>
      </c>
      <c r="G735" s="146">
        <v>97633.1361</v>
      </c>
      <c r="H735" s="145">
        <v>134911.2426</v>
      </c>
      <c r="I735" s="146">
        <v>102958.5799</v>
      </c>
      <c r="J735" s="148">
        <v>111834.3195</v>
      </c>
      <c r="K735" s="145">
        <v>110059.1716</v>
      </c>
      <c r="L735" s="145">
        <v>117159.7633</v>
      </c>
      <c r="M735" s="145">
        <v>102958.5799</v>
      </c>
      <c r="N735" s="145">
        <v>85207.10059</v>
      </c>
      <c r="O735" s="151">
        <v>76331.36095</v>
      </c>
      <c r="P735" s="146">
        <v>60355.02959</v>
      </c>
      <c r="Q735" s="146">
        <v>65680.47337</v>
      </c>
      <c r="R735" s="146">
        <v>69230.76923</v>
      </c>
      <c r="S735" s="146">
        <v>86982.24852</v>
      </c>
    </row>
    <row r="736">
      <c r="A736" s="145">
        <v>45.313</v>
      </c>
      <c r="B736" s="145">
        <f t="shared" si="1"/>
        <v>14636.099</v>
      </c>
      <c r="C736" s="145">
        <v>88757.39645</v>
      </c>
      <c r="D736" s="145">
        <v>95857.98817</v>
      </c>
      <c r="E736" s="146">
        <v>94082.84024</v>
      </c>
      <c r="F736" s="148">
        <v>85207.10059</v>
      </c>
      <c r="G736" s="146">
        <v>97633.1361</v>
      </c>
      <c r="H736" s="145">
        <v>134911.2426</v>
      </c>
      <c r="I736" s="146">
        <v>102958.5799</v>
      </c>
      <c r="J736" s="148">
        <v>111834.3195</v>
      </c>
      <c r="K736" s="145">
        <v>110059.1716</v>
      </c>
      <c r="L736" s="145">
        <v>118934.9112</v>
      </c>
      <c r="M736" s="145">
        <v>102958.5799</v>
      </c>
      <c r="N736" s="145">
        <v>85207.10059</v>
      </c>
      <c r="O736" s="151">
        <v>76331.36095</v>
      </c>
      <c r="P736" s="146">
        <v>60355.02959</v>
      </c>
      <c r="Q736" s="146">
        <v>65680.47337</v>
      </c>
      <c r="R736" s="146">
        <v>69230.76923</v>
      </c>
      <c r="S736" s="146">
        <v>86982.24852</v>
      </c>
    </row>
    <row r="737">
      <c r="A737" s="145">
        <v>45.375</v>
      </c>
      <c r="B737" s="145">
        <f t="shared" si="1"/>
        <v>14656.125</v>
      </c>
      <c r="C737" s="145">
        <v>88757.39645</v>
      </c>
      <c r="D737" s="145">
        <v>95857.98817</v>
      </c>
      <c r="E737" s="146">
        <v>94082.84024</v>
      </c>
      <c r="F737" s="148">
        <v>85207.10059</v>
      </c>
      <c r="G737" s="146">
        <v>97633.1361</v>
      </c>
      <c r="H737" s="145">
        <v>134911.2426</v>
      </c>
      <c r="I737" s="146">
        <v>102958.5799</v>
      </c>
      <c r="J737" s="148">
        <v>111834.3195</v>
      </c>
      <c r="K737" s="145">
        <v>110059.1716</v>
      </c>
      <c r="L737" s="145">
        <v>118934.9112</v>
      </c>
      <c r="M737" s="145">
        <v>102958.5799</v>
      </c>
      <c r="N737" s="145">
        <v>85207.10059</v>
      </c>
      <c r="O737" s="151">
        <v>76331.36095</v>
      </c>
      <c r="P737" s="146">
        <v>60355.02959</v>
      </c>
      <c r="Q737" s="146">
        <v>65680.47337</v>
      </c>
      <c r="R737" s="146">
        <v>69230.76923</v>
      </c>
      <c r="S737" s="146">
        <v>86982.24852</v>
      </c>
    </row>
    <row r="738">
      <c r="A738" s="145">
        <v>45.438</v>
      </c>
      <c r="B738" s="145">
        <f t="shared" si="1"/>
        <v>14676.474</v>
      </c>
      <c r="C738" s="145">
        <v>88757.39645</v>
      </c>
      <c r="D738" s="145">
        <v>95857.98817</v>
      </c>
      <c r="E738" s="146">
        <v>94082.84024</v>
      </c>
      <c r="F738" s="148">
        <v>85207.10059</v>
      </c>
      <c r="G738" s="146">
        <v>97633.1361</v>
      </c>
      <c r="H738" s="145">
        <v>134911.2426</v>
      </c>
      <c r="I738" s="146">
        <v>102958.5799</v>
      </c>
      <c r="J738" s="148">
        <v>111834.3195</v>
      </c>
      <c r="K738" s="145">
        <v>110059.1716</v>
      </c>
      <c r="L738" s="145">
        <v>118934.9112</v>
      </c>
      <c r="M738" s="145">
        <v>102958.5799</v>
      </c>
      <c r="N738" s="145">
        <v>85207.10059</v>
      </c>
      <c r="O738" s="151">
        <v>76331.36095</v>
      </c>
      <c r="P738" s="146">
        <v>60355.02959</v>
      </c>
      <c r="Q738" s="146">
        <v>65680.47337</v>
      </c>
      <c r="R738" s="146">
        <v>69230.76923</v>
      </c>
      <c r="S738" s="146">
        <v>86982.24852</v>
      </c>
    </row>
    <row r="739">
      <c r="A739" s="145">
        <v>45.5</v>
      </c>
      <c r="B739" s="145">
        <f t="shared" si="1"/>
        <v>14696.5</v>
      </c>
      <c r="C739" s="145">
        <v>88757.39645</v>
      </c>
      <c r="D739" s="145">
        <v>97633.1361</v>
      </c>
      <c r="E739" s="146">
        <v>94082.84024</v>
      </c>
      <c r="F739" s="148">
        <v>85207.10059</v>
      </c>
      <c r="G739" s="146">
        <v>97633.1361</v>
      </c>
      <c r="H739" s="145">
        <v>134911.2426</v>
      </c>
      <c r="I739" s="146">
        <v>102958.5799</v>
      </c>
      <c r="J739" s="148">
        <v>111834.3195</v>
      </c>
      <c r="K739" s="145">
        <v>110059.1716</v>
      </c>
      <c r="L739" s="145">
        <v>118934.9112</v>
      </c>
      <c r="M739" s="145">
        <v>102958.5799</v>
      </c>
      <c r="N739" s="145">
        <v>85207.10059</v>
      </c>
      <c r="O739" s="151">
        <v>76331.36095</v>
      </c>
      <c r="P739" s="146">
        <v>60355.02959</v>
      </c>
      <c r="Q739" s="146">
        <v>65680.47337</v>
      </c>
      <c r="R739" s="146">
        <v>69230.76923</v>
      </c>
      <c r="S739" s="146">
        <v>86982.24852</v>
      </c>
    </row>
    <row r="740">
      <c r="A740" s="145">
        <v>45.563</v>
      </c>
      <c r="B740" s="145">
        <f t="shared" si="1"/>
        <v>14716.849</v>
      </c>
      <c r="C740" s="145">
        <v>88757.39645</v>
      </c>
      <c r="D740" s="145">
        <v>97633.1361</v>
      </c>
      <c r="E740" s="146">
        <v>94082.84024</v>
      </c>
      <c r="F740" s="148">
        <v>85207.10059</v>
      </c>
      <c r="G740" s="146">
        <v>97633.1361</v>
      </c>
      <c r="H740" s="145">
        <v>134911.2426</v>
      </c>
      <c r="I740" s="146">
        <v>102958.5799</v>
      </c>
      <c r="J740" s="148">
        <v>111834.3195</v>
      </c>
      <c r="K740" s="145">
        <v>110059.1716</v>
      </c>
      <c r="L740" s="145">
        <v>118934.9112</v>
      </c>
      <c r="M740" s="145">
        <v>102958.5799</v>
      </c>
      <c r="N740" s="145">
        <v>85207.10059</v>
      </c>
      <c r="O740" s="151">
        <v>76331.36095</v>
      </c>
      <c r="P740" s="146">
        <v>60355.02959</v>
      </c>
      <c r="Q740" s="146">
        <v>65680.47337</v>
      </c>
      <c r="R740" s="146">
        <v>69230.76923</v>
      </c>
      <c r="S740" s="146">
        <v>86982.24852</v>
      </c>
    </row>
    <row r="741">
      <c r="A741" s="145">
        <v>45.625</v>
      </c>
      <c r="B741" s="145">
        <f t="shared" si="1"/>
        <v>14736.875</v>
      </c>
      <c r="C741" s="145">
        <v>88757.39645</v>
      </c>
      <c r="D741" s="145">
        <v>97633.1361</v>
      </c>
      <c r="E741" s="146">
        <v>94082.84024</v>
      </c>
      <c r="F741" s="148">
        <v>85207.10059</v>
      </c>
      <c r="G741" s="146">
        <v>97633.1361</v>
      </c>
      <c r="H741" s="145">
        <v>134911.2426</v>
      </c>
      <c r="I741" s="146">
        <v>104733.7278</v>
      </c>
      <c r="J741" s="148">
        <v>111834.3195</v>
      </c>
      <c r="K741" s="145">
        <v>110059.1716</v>
      </c>
      <c r="L741" s="145">
        <v>118934.9112</v>
      </c>
      <c r="M741" s="145">
        <v>102958.5799</v>
      </c>
      <c r="N741" s="145">
        <v>85207.10059</v>
      </c>
      <c r="O741" s="151">
        <v>76331.36095</v>
      </c>
      <c r="P741" s="146">
        <v>60355.02959</v>
      </c>
      <c r="Q741" s="146">
        <v>65680.47337</v>
      </c>
      <c r="R741" s="146">
        <v>69230.76923</v>
      </c>
      <c r="S741" s="146">
        <v>86982.24852</v>
      </c>
    </row>
    <row r="742">
      <c r="A742" s="145">
        <v>45.688</v>
      </c>
      <c r="B742" s="145">
        <f t="shared" si="1"/>
        <v>14757.224</v>
      </c>
      <c r="C742" s="145">
        <v>88757.39645</v>
      </c>
      <c r="D742" s="145">
        <v>97633.1361</v>
      </c>
      <c r="E742" s="146">
        <v>94082.84024</v>
      </c>
      <c r="F742" s="148">
        <v>85207.10059</v>
      </c>
      <c r="G742" s="146">
        <v>99408.28402</v>
      </c>
      <c r="H742" s="145">
        <v>134911.2426</v>
      </c>
      <c r="I742" s="146">
        <v>104733.7278</v>
      </c>
      <c r="J742" s="148">
        <v>111834.3195</v>
      </c>
      <c r="K742" s="145">
        <v>110059.1716</v>
      </c>
      <c r="L742" s="145">
        <v>118934.9112</v>
      </c>
      <c r="M742" s="145">
        <v>102958.5799</v>
      </c>
      <c r="N742" s="145">
        <v>85207.10059</v>
      </c>
      <c r="O742" s="151">
        <v>76331.36095</v>
      </c>
      <c r="P742" s="146">
        <v>60355.02959</v>
      </c>
      <c r="Q742" s="146">
        <v>65680.47337</v>
      </c>
      <c r="R742" s="146">
        <v>69230.76923</v>
      </c>
      <c r="S742" s="146">
        <v>86982.24852</v>
      </c>
    </row>
    <row r="743">
      <c r="A743" s="145">
        <v>45.766</v>
      </c>
      <c r="B743" s="145">
        <f t="shared" si="1"/>
        <v>14782.418</v>
      </c>
      <c r="C743" s="145">
        <v>88757.39645</v>
      </c>
      <c r="D743" s="145">
        <v>97633.1361</v>
      </c>
      <c r="E743" s="146">
        <v>94082.84024</v>
      </c>
      <c r="F743" s="148">
        <v>85207.10059</v>
      </c>
      <c r="G743" s="146">
        <v>99408.28402</v>
      </c>
      <c r="H743" s="145">
        <v>134911.2426</v>
      </c>
      <c r="I743" s="146">
        <v>104733.7278</v>
      </c>
      <c r="J743" s="148">
        <v>111834.3195</v>
      </c>
      <c r="K743" s="145">
        <v>110059.1716</v>
      </c>
      <c r="L743" s="145">
        <v>118934.9112</v>
      </c>
      <c r="M743" s="145">
        <v>102958.5799</v>
      </c>
      <c r="N743" s="145">
        <v>85207.10059</v>
      </c>
      <c r="O743" s="151">
        <v>76331.36095</v>
      </c>
      <c r="P743" s="146">
        <v>60355.02959</v>
      </c>
      <c r="Q743" s="146">
        <v>65680.47337</v>
      </c>
      <c r="R743" s="146">
        <v>69230.76923</v>
      </c>
      <c r="S743" s="146">
        <v>88757.39645</v>
      </c>
    </row>
    <row r="744">
      <c r="A744" s="145">
        <v>45.813</v>
      </c>
      <c r="B744" s="145">
        <f t="shared" si="1"/>
        <v>14797.599</v>
      </c>
      <c r="C744" s="145">
        <v>88757.39645</v>
      </c>
      <c r="D744" s="145">
        <v>97633.1361</v>
      </c>
      <c r="E744" s="146">
        <v>95857.98817</v>
      </c>
      <c r="F744" s="148">
        <v>85207.10059</v>
      </c>
      <c r="G744" s="146">
        <v>99408.28402</v>
      </c>
      <c r="H744" s="145">
        <v>134911.2426</v>
      </c>
      <c r="I744" s="146">
        <v>104733.7278</v>
      </c>
      <c r="J744" s="148">
        <v>111834.3195</v>
      </c>
      <c r="K744" s="145">
        <v>110059.1716</v>
      </c>
      <c r="L744" s="145">
        <v>118934.9112</v>
      </c>
      <c r="M744" s="145">
        <v>102958.5799</v>
      </c>
      <c r="N744" s="145">
        <v>85207.10059</v>
      </c>
      <c r="O744" s="151">
        <v>76331.36095</v>
      </c>
      <c r="P744" s="146">
        <v>60355.02959</v>
      </c>
      <c r="Q744" s="146">
        <v>65680.47337</v>
      </c>
      <c r="R744" s="146">
        <v>71005.91716</v>
      </c>
      <c r="S744" s="146">
        <v>88757.39645</v>
      </c>
    </row>
    <row r="745">
      <c r="A745" s="145">
        <v>45.875</v>
      </c>
      <c r="B745" s="145">
        <f t="shared" si="1"/>
        <v>14817.625</v>
      </c>
      <c r="C745" s="145">
        <v>88757.39645</v>
      </c>
      <c r="D745" s="145">
        <v>97633.1361</v>
      </c>
      <c r="E745" s="146">
        <v>95857.98817</v>
      </c>
      <c r="F745" s="148">
        <v>85207.10059</v>
      </c>
      <c r="G745" s="146">
        <v>99408.28402</v>
      </c>
      <c r="H745" s="145">
        <v>134911.2426</v>
      </c>
      <c r="I745" s="146">
        <v>104733.7278</v>
      </c>
      <c r="J745" s="148">
        <v>111834.3195</v>
      </c>
      <c r="K745" s="145">
        <v>110059.1716</v>
      </c>
      <c r="L745" s="145">
        <v>118934.9112</v>
      </c>
      <c r="M745" s="145">
        <v>106508.8757</v>
      </c>
      <c r="N745" s="145">
        <v>85207.10059</v>
      </c>
      <c r="O745" s="151">
        <v>76331.36095</v>
      </c>
      <c r="P745" s="146">
        <v>60355.02959</v>
      </c>
      <c r="Q745" s="146">
        <v>65680.47337</v>
      </c>
      <c r="R745" s="146">
        <v>71005.91716</v>
      </c>
      <c r="S745" s="146">
        <v>88757.39645</v>
      </c>
    </row>
    <row r="746">
      <c r="A746" s="145">
        <v>45.938</v>
      </c>
      <c r="B746" s="145">
        <f t="shared" si="1"/>
        <v>14837.974</v>
      </c>
      <c r="C746" s="145">
        <v>88757.39645</v>
      </c>
      <c r="D746" s="145">
        <v>97633.1361</v>
      </c>
      <c r="E746" s="146">
        <v>95857.98817</v>
      </c>
      <c r="F746" s="148">
        <v>85207.10059</v>
      </c>
      <c r="G746" s="146">
        <v>99408.28402</v>
      </c>
      <c r="H746" s="145">
        <v>136686.3905</v>
      </c>
      <c r="I746" s="146">
        <v>104733.7278</v>
      </c>
      <c r="J746" s="148">
        <v>111834.3195</v>
      </c>
      <c r="K746" s="145">
        <v>110059.1716</v>
      </c>
      <c r="L746" s="145">
        <v>118934.9112</v>
      </c>
      <c r="M746" s="145">
        <v>106508.8757</v>
      </c>
      <c r="N746" s="145">
        <v>85207.10059</v>
      </c>
      <c r="O746" s="151">
        <v>76331.36095</v>
      </c>
      <c r="P746" s="146">
        <v>60355.02959</v>
      </c>
      <c r="Q746" s="146">
        <v>65680.47337</v>
      </c>
      <c r="R746" s="146">
        <v>71005.91716</v>
      </c>
      <c r="S746" s="146">
        <v>88757.39645</v>
      </c>
    </row>
    <row r="747">
      <c r="A747" s="145">
        <v>46.0</v>
      </c>
      <c r="B747" s="145">
        <f t="shared" si="1"/>
        <v>14858</v>
      </c>
      <c r="C747" s="145">
        <v>90532.54438</v>
      </c>
      <c r="D747" s="145">
        <v>97633.1361</v>
      </c>
      <c r="E747" s="146">
        <v>95857.98817</v>
      </c>
      <c r="F747" s="148">
        <v>85207.10059</v>
      </c>
      <c r="G747" s="146">
        <v>99408.28402</v>
      </c>
      <c r="H747" s="145">
        <v>136686.3905</v>
      </c>
      <c r="I747" s="146">
        <v>104733.7278</v>
      </c>
      <c r="J747" s="148">
        <v>111834.3195</v>
      </c>
      <c r="K747" s="145">
        <v>111834.3195</v>
      </c>
      <c r="L747" s="145">
        <v>120710.0592</v>
      </c>
      <c r="M747" s="145">
        <v>106508.8757</v>
      </c>
      <c r="N747" s="151">
        <v>85207.10059</v>
      </c>
      <c r="O747" s="151">
        <v>76331.36095</v>
      </c>
      <c r="P747" s="146">
        <v>60355.02959</v>
      </c>
      <c r="Q747" s="146">
        <v>65680.47337</v>
      </c>
      <c r="R747" s="146">
        <v>71005.91716</v>
      </c>
      <c r="S747" s="146">
        <v>88757.39645</v>
      </c>
    </row>
    <row r="748">
      <c r="A748" s="145">
        <v>46.063</v>
      </c>
      <c r="B748" s="145">
        <f t="shared" si="1"/>
        <v>14878.349</v>
      </c>
      <c r="C748" s="145">
        <v>90532.54438</v>
      </c>
      <c r="D748" s="145">
        <v>97633.1361</v>
      </c>
      <c r="E748" s="146">
        <v>95857.98817</v>
      </c>
      <c r="F748" s="148">
        <v>85207.10059</v>
      </c>
      <c r="G748" s="146">
        <v>99408.28402</v>
      </c>
      <c r="H748" s="145">
        <v>136686.3905</v>
      </c>
      <c r="I748" s="146">
        <v>104733.7278</v>
      </c>
      <c r="J748" s="148">
        <v>113609.4675</v>
      </c>
      <c r="K748" s="145">
        <v>111834.3195</v>
      </c>
      <c r="L748" s="145">
        <v>120710.0592</v>
      </c>
      <c r="M748" s="145">
        <v>106508.8757</v>
      </c>
      <c r="N748" s="151">
        <v>85207.10059</v>
      </c>
      <c r="O748" s="151">
        <v>76331.36095</v>
      </c>
      <c r="P748" s="146">
        <v>62130.17752</v>
      </c>
      <c r="Q748" s="146">
        <v>65680.47337</v>
      </c>
      <c r="R748" s="146">
        <v>71005.91716</v>
      </c>
      <c r="S748" s="146">
        <v>88757.39645</v>
      </c>
    </row>
    <row r="749">
      <c r="A749" s="145">
        <v>46.125</v>
      </c>
      <c r="B749" s="145">
        <f t="shared" si="1"/>
        <v>14898.375</v>
      </c>
      <c r="C749" s="145">
        <v>90532.54438</v>
      </c>
      <c r="D749" s="145">
        <v>99408.28402</v>
      </c>
      <c r="E749" s="146">
        <v>95857.98817</v>
      </c>
      <c r="F749" s="148">
        <v>85207.10059</v>
      </c>
      <c r="G749" s="146">
        <v>99408.28402</v>
      </c>
      <c r="H749" s="145">
        <v>136686.3905</v>
      </c>
      <c r="I749" s="146">
        <v>104733.7278</v>
      </c>
      <c r="J749" s="148">
        <v>113609.4675</v>
      </c>
      <c r="K749" s="145">
        <v>111834.3195</v>
      </c>
      <c r="L749" s="145">
        <v>120710.0592</v>
      </c>
      <c r="M749" s="145">
        <v>106508.8757</v>
      </c>
      <c r="N749" s="151">
        <v>86982.24852</v>
      </c>
      <c r="O749" s="151">
        <v>76331.36095</v>
      </c>
      <c r="P749" s="146">
        <v>62130.17752</v>
      </c>
      <c r="Q749" s="146">
        <v>65680.47337</v>
      </c>
      <c r="R749" s="146">
        <v>71005.91716</v>
      </c>
      <c r="S749" s="146">
        <v>88757.39645</v>
      </c>
    </row>
    <row r="750">
      <c r="A750" s="145">
        <v>46.188</v>
      </c>
      <c r="B750" s="145">
        <f t="shared" si="1"/>
        <v>14918.724</v>
      </c>
      <c r="C750" s="145">
        <v>90532.54438</v>
      </c>
      <c r="D750" s="145">
        <v>99408.28402</v>
      </c>
      <c r="E750" s="146">
        <v>95857.98817</v>
      </c>
      <c r="F750" s="148">
        <v>85207.10059</v>
      </c>
      <c r="G750" s="145">
        <v>99408.28402</v>
      </c>
      <c r="H750" s="145">
        <v>136686.3905</v>
      </c>
      <c r="I750" s="146">
        <v>104733.7278</v>
      </c>
      <c r="J750" s="148">
        <v>113609.4675</v>
      </c>
      <c r="K750" s="145">
        <v>111834.3195</v>
      </c>
      <c r="L750" s="145">
        <v>124260.355</v>
      </c>
      <c r="M750" s="145">
        <v>106508.8757</v>
      </c>
      <c r="N750" s="151">
        <v>86982.24852</v>
      </c>
      <c r="O750" s="151">
        <v>76331.36095</v>
      </c>
      <c r="P750" s="146">
        <v>62130.17752</v>
      </c>
      <c r="Q750" s="146">
        <v>65680.47337</v>
      </c>
      <c r="R750" s="146">
        <v>71005.91716</v>
      </c>
      <c r="S750" s="146">
        <v>88757.39645</v>
      </c>
    </row>
    <row r="751">
      <c r="A751" s="145">
        <v>46.25</v>
      </c>
      <c r="B751" s="145">
        <f t="shared" si="1"/>
        <v>14938.75</v>
      </c>
      <c r="C751" s="145">
        <v>90532.54438</v>
      </c>
      <c r="D751" s="145">
        <v>99408.28402</v>
      </c>
      <c r="E751" s="146">
        <v>95857.98817</v>
      </c>
      <c r="F751" s="148">
        <v>85207.10059</v>
      </c>
      <c r="G751" s="145">
        <v>99408.28402</v>
      </c>
      <c r="H751" s="145">
        <v>138461.5385</v>
      </c>
      <c r="I751" s="146">
        <v>104733.7278</v>
      </c>
      <c r="J751" s="148">
        <v>113609.4675</v>
      </c>
      <c r="K751" s="145">
        <v>111834.3195</v>
      </c>
      <c r="L751" s="145">
        <v>124260.355</v>
      </c>
      <c r="M751" s="145">
        <v>106508.8757</v>
      </c>
      <c r="N751" s="151">
        <v>86982.24852</v>
      </c>
      <c r="O751" s="151">
        <v>76331.36095</v>
      </c>
      <c r="P751" s="146">
        <v>62130.17752</v>
      </c>
      <c r="Q751" s="146">
        <v>67455.6213</v>
      </c>
      <c r="R751" s="146">
        <v>71005.91716</v>
      </c>
      <c r="S751" s="146">
        <v>88757.39645</v>
      </c>
    </row>
    <row r="752">
      <c r="A752" s="145">
        <v>46.313</v>
      </c>
      <c r="B752" s="145">
        <f t="shared" si="1"/>
        <v>14959.099</v>
      </c>
      <c r="C752" s="145">
        <v>90532.54438</v>
      </c>
      <c r="D752" s="145">
        <v>99408.28402</v>
      </c>
      <c r="E752" s="146">
        <v>95857.98817</v>
      </c>
      <c r="F752" s="148">
        <v>85207.10059</v>
      </c>
      <c r="G752" s="145">
        <v>99408.28402</v>
      </c>
      <c r="H752" s="145">
        <v>138461.5385</v>
      </c>
      <c r="I752" s="146">
        <v>108284.0237</v>
      </c>
      <c r="J752" s="148">
        <v>113609.4675</v>
      </c>
      <c r="K752" s="145">
        <v>111834.3195</v>
      </c>
      <c r="L752" s="145">
        <v>124260.355</v>
      </c>
      <c r="M752" s="145">
        <v>106508.8757</v>
      </c>
      <c r="N752" s="151">
        <v>86982.24852</v>
      </c>
      <c r="O752" s="151">
        <v>76331.36095</v>
      </c>
      <c r="P752" s="146">
        <v>62130.17752</v>
      </c>
      <c r="Q752" s="146">
        <v>67455.6213</v>
      </c>
      <c r="R752" s="146">
        <v>71005.91716</v>
      </c>
      <c r="S752" s="146">
        <v>88757.39645</v>
      </c>
    </row>
    <row r="753">
      <c r="A753" s="145">
        <v>46.375</v>
      </c>
      <c r="B753" s="145">
        <f t="shared" si="1"/>
        <v>14979.125</v>
      </c>
      <c r="C753" s="145">
        <v>90532.54438</v>
      </c>
      <c r="D753" s="145">
        <v>99408.28402</v>
      </c>
      <c r="E753" s="146">
        <v>95857.98817</v>
      </c>
      <c r="F753" s="148">
        <v>85207.10059</v>
      </c>
      <c r="G753" s="145">
        <v>99408.28402</v>
      </c>
      <c r="H753" s="145">
        <v>138461.5385</v>
      </c>
      <c r="I753" s="146">
        <v>108284.0237</v>
      </c>
      <c r="J753" s="148">
        <v>113609.4675</v>
      </c>
      <c r="K753" s="145">
        <v>111834.3195</v>
      </c>
      <c r="L753" s="145">
        <v>124260.355</v>
      </c>
      <c r="M753" s="145">
        <v>106508.8757</v>
      </c>
      <c r="N753" s="151">
        <v>86982.24852</v>
      </c>
      <c r="O753" s="151">
        <v>76331.36095</v>
      </c>
      <c r="P753" s="146">
        <v>62130.17752</v>
      </c>
      <c r="Q753" s="146">
        <v>67455.6213</v>
      </c>
      <c r="R753" s="146">
        <v>71005.91716</v>
      </c>
      <c r="S753" s="146">
        <v>88757.39645</v>
      </c>
    </row>
    <row r="754">
      <c r="A754" s="145">
        <v>46.438</v>
      </c>
      <c r="B754" s="145">
        <f t="shared" si="1"/>
        <v>14999.474</v>
      </c>
      <c r="C754" s="145">
        <v>90532.54438</v>
      </c>
      <c r="D754" s="145">
        <v>99408.28402</v>
      </c>
      <c r="E754" s="146">
        <v>95857.98817</v>
      </c>
      <c r="F754" s="148">
        <v>85207.10059</v>
      </c>
      <c r="G754" s="145">
        <v>99408.28402</v>
      </c>
      <c r="H754" s="145">
        <v>138461.5385</v>
      </c>
      <c r="I754" s="146">
        <v>108284.0237</v>
      </c>
      <c r="J754" s="148">
        <v>117159.7633</v>
      </c>
      <c r="K754" s="145">
        <v>111834.3195</v>
      </c>
      <c r="L754" s="145">
        <v>124260.355</v>
      </c>
      <c r="M754" s="145">
        <v>106508.8757</v>
      </c>
      <c r="N754" s="151">
        <v>86982.24852</v>
      </c>
      <c r="O754" s="151">
        <v>76331.36095</v>
      </c>
      <c r="P754" s="146">
        <v>62130.17752</v>
      </c>
      <c r="Q754" s="146">
        <v>67455.6213</v>
      </c>
      <c r="R754" s="146">
        <v>71005.91716</v>
      </c>
      <c r="S754" s="146">
        <v>88757.39645</v>
      </c>
    </row>
    <row r="755">
      <c r="A755" s="145">
        <v>46.5</v>
      </c>
      <c r="B755" s="145">
        <f t="shared" si="1"/>
        <v>15019.5</v>
      </c>
      <c r="C755" s="145">
        <v>90532.54438</v>
      </c>
      <c r="D755" s="145">
        <v>99408.28402</v>
      </c>
      <c r="E755" s="146">
        <v>97633.1361</v>
      </c>
      <c r="F755" s="148">
        <v>85207.10059</v>
      </c>
      <c r="G755" s="145">
        <v>99408.28402</v>
      </c>
      <c r="H755" s="145">
        <v>138461.5385</v>
      </c>
      <c r="I755" s="146">
        <v>108284.0237</v>
      </c>
      <c r="J755" s="148">
        <v>117159.7633</v>
      </c>
      <c r="K755" s="145">
        <v>111834.3195</v>
      </c>
      <c r="L755" s="145">
        <v>124260.355</v>
      </c>
      <c r="M755" s="145">
        <v>106508.8757</v>
      </c>
      <c r="N755" s="151">
        <v>86982.24852</v>
      </c>
      <c r="O755" s="151">
        <v>78106.50888</v>
      </c>
      <c r="P755" s="146">
        <v>62130.17752</v>
      </c>
      <c r="Q755" s="146">
        <v>67455.6213</v>
      </c>
      <c r="R755" s="146">
        <v>71005.91716</v>
      </c>
      <c r="S755" s="146">
        <v>88757.39645</v>
      </c>
    </row>
    <row r="756">
      <c r="A756" s="145">
        <v>46.579</v>
      </c>
      <c r="B756" s="145">
        <f t="shared" si="1"/>
        <v>15045.017</v>
      </c>
      <c r="C756" s="145">
        <v>90532.54438</v>
      </c>
      <c r="D756" s="145">
        <v>99408.28402</v>
      </c>
      <c r="E756" s="146">
        <v>97633.1361</v>
      </c>
      <c r="F756" s="148">
        <v>85207.10059</v>
      </c>
      <c r="G756" s="145">
        <v>99408.28402</v>
      </c>
      <c r="H756" s="145">
        <v>138461.5385</v>
      </c>
      <c r="I756" s="146">
        <v>108284.0237</v>
      </c>
      <c r="J756" s="148">
        <v>117159.7633</v>
      </c>
      <c r="K756" s="145">
        <v>111834.3195</v>
      </c>
      <c r="L756" s="145">
        <v>124260.355</v>
      </c>
      <c r="M756" s="145">
        <v>106508.8757</v>
      </c>
      <c r="N756" s="151">
        <v>86982.24852</v>
      </c>
      <c r="O756" s="151">
        <v>78106.50888</v>
      </c>
      <c r="P756" s="146">
        <v>62130.17752</v>
      </c>
      <c r="Q756" s="146">
        <v>67455.6213</v>
      </c>
      <c r="R756" s="146">
        <v>71005.91716</v>
      </c>
      <c r="S756" s="146">
        <v>90532.54438</v>
      </c>
    </row>
    <row r="757">
      <c r="A757" s="145">
        <v>46.625</v>
      </c>
      <c r="B757" s="145">
        <f t="shared" si="1"/>
        <v>15059.875</v>
      </c>
      <c r="C757" s="145">
        <v>92307.69231</v>
      </c>
      <c r="D757" s="145">
        <v>99408.28402</v>
      </c>
      <c r="E757" s="146">
        <v>97633.1361</v>
      </c>
      <c r="F757" s="148">
        <v>85207.10059</v>
      </c>
      <c r="G757" s="145">
        <v>99408.28402</v>
      </c>
      <c r="H757" s="145">
        <v>138461.5385</v>
      </c>
      <c r="I757" s="146">
        <v>108284.0237</v>
      </c>
      <c r="J757" s="148">
        <v>117159.7633</v>
      </c>
      <c r="K757" s="145">
        <v>111834.3195</v>
      </c>
      <c r="L757" s="145">
        <v>126035.503</v>
      </c>
      <c r="M757" s="145">
        <v>106508.8757</v>
      </c>
      <c r="N757" s="151">
        <v>86982.24852</v>
      </c>
      <c r="O757" s="151">
        <v>79881.65681</v>
      </c>
      <c r="P757" s="146">
        <v>62130.17752</v>
      </c>
      <c r="Q757" s="146">
        <v>67455.6213</v>
      </c>
      <c r="R757" s="146">
        <v>71005.91716</v>
      </c>
      <c r="S757" s="146">
        <v>90532.54438</v>
      </c>
    </row>
    <row r="758">
      <c r="A758" s="145">
        <v>46.688</v>
      </c>
      <c r="B758" s="145">
        <f t="shared" si="1"/>
        <v>15080.224</v>
      </c>
      <c r="C758" s="145">
        <v>92307.69231</v>
      </c>
      <c r="D758" s="145">
        <v>99408.28402</v>
      </c>
      <c r="E758" s="146">
        <v>97633.1361</v>
      </c>
      <c r="F758" s="148">
        <v>85207.10059</v>
      </c>
      <c r="G758" s="145">
        <v>99408.28402</v>
      </c>
      <c r="H758" s="145">
        <v>138461.5385</v>
      </c>
      <c r="I758" s="146">
        <v>108284.0237</v>
      </c>
      <c r="J758" s="148">
        <v>117159.7633</v>
      </c>
      <c r="K758" s="145">
        <v>111834.3195</v>
      </c>
      <c r="L758" s="145">
        <v>126035.503</v>
      </c>
      <c r="M758" s="145">
        <v>106508.8757</v>
      </c>
      <c r="N758" s="151">
        <v>86982.24852</v>
      </c>
      <c r="O758" s="148">
        <v>79881.65681</v>
      </c>
      <c r="P758" s="146">
        <v>62130.17752</v>
      </c>
      <c r="Q758" s="146">
        <v>67455.6213</v>
      </c>
      <c r="R758" s="146">
        <v>71005.91716</v>
      </c>
      <c r="S758" s="146">
        <v>90532.54438</v>
      </c>
    </row>
    <row r="759">
      <c r="A759" s="145">
        <v>46.766</v>
      </c>
      <c r="B759" s="145">
        <f t="shared" si="1"/>
        <v>15105.418</v>
      </c>
      <c r="C759" s="145">
        <v>92307.69231</v>
      </c>
      <c r="D759" s="145">
        <v>99408.28402</v>
      </c>
      <c r="E759" s="146">
        <v>97633.1361</v>
      </c>
      <c r="F759" s="148">
        <v>85207.10059</v>
      </c>
      <c r="G759" s="145">
        <v>99408.28402</v>
      </c>
      <c r="H759" s="145">
        <v>138461.5385</v>
      </c>
      <c r="I759" s="146">
        <v>108284.0237</v>
      </c>
      <c r="J759" s="148">
        <v>117159.7633</v>
      </c>
      <c r="K759" s="145">
        <v>111834.3195</v>
      </c>
      <c r="L759" s="145">
        <v>126035.503</v>
      </c>
      <c r="M759" s="145">
        <v>106508.8757</v>
      </c>
      <c r="N759" s="151">
        <v>86982.24852</v>
      </c>
      <c r="O759" s="148">
        <v>79881.65681</v>
      </c>
      <c r="P759" s="146">
        <v>62130.17752</v>
      </c>
      <c r="Q759" s="146">
        <v>67455.6213</v>
      </c>
      <c r="R759" s="146">
        <v>71005.91716</v>
      </c>
      <c r="S759" s="146">
        <v>90532.54438</v>
      </c>
    </row>
    <row r="760">
      <c r="A760" s="145">
        <v>46.813</v>
      </c>
      <c r="B760" s="145">
        <f t="shared" si="1"/>
        <v>15120.599</v>
      </c>
      <c r="C760" s="145">
        <v>92307.69231</v>
      </c>
      <c r="D760" s="145">
        <v>101183.432</v>
      </c>
      <c r="E760" s="146">
        <v>97633.1361</v>
      </c>
      <c r="F760" s="148">
        <v>85207.10059</v>
      </c>
      <c r="G760" s="145">
        <v>99408.28402</v>
      </c>
      <c r="H760" s="145">
        <v>138461.5385</v>
      </c>
      <c r="I760" s="146">
        <v>108284.0237</v>
      </c>
      <c r="J760" s="148">
        <v>117159.7633</v>
      </c>
      <c r="K760" s="145">
        <v>111834.3195</v>
      </c>
      <c r="L760" s="145">
        <v>126035.503</v>
      </c>
      <c r="M760" s="145">
        <v>106508.8757</v>
      </c>
      <c r="N760" s="151">
        <v>86982.24852</v>
      </c>
      <c r="O760" s="148">
        <v>79881.65681</v>
      </c>
      <c r="P760" s="146">
        <v>63905.32544</v>
      </c>
      <c r="Q760" s="146">
        <v>67455.6213</v>
      </c>
      <c r="R760" s="146">
        <v>71005.91716</v>
      </c>
      <c r="S760" s="146">
        <v>90532.54438</v>
      </c>
    </row>
    <row r="761">
      <c r="A761" s="145">
        <v>46.875</v>
      </c>
      <c r="B761" s="145">
        <f t="shared" si="1"/>
        <v>15140.625</v>
      </c>
      <c r="C761" s="145">
        <v>92307.69231</v>
      </c>
      <c r="D761" s="145">
        <v>101183.432</v>
      </c>
      <c r="E761" s="146">
        <v>97633.1361</v>
      </c>
      <c r="F761" s="148">
        <v>85207.10059</v>
      </c>
      <c r="G761" s="145">
        <v>101183.432</v>
      </c>
      <c r="H761" s="145">
        <v>138461.5385</v>
      </c>
      <c r="I761" s="146">
        <v>108284.0237</v>
      </c>
      <c r="J761" s="148">
        <v>117159.7633</v>
      </c>
      <c r="K761" s="145">
        <v>111834.3195</v>
      </c>
      <c r="L761" s="145">
        <v>126035.503</v>
      </c>
      <c r="M761" s="145">
        <v>106508.8757</v>
      </c>
      <c r="N761" s="151">
        <v>90532.54438</v>
      </c>
      <c r="O761" s="148">
        <v>79881.65681</v>
      </c>
      <c r="P761" s="146">
        <v>63905.32544</v>
      </c>
      <c r="Q761" s="146">
        <v>67455.6213</v>
      </c>
      <c r="R761" s="146">
        <v>72781.06509</v>
      </c>
      <c r="S761" s="146">
        <v>90532.54438</v>
      </c>
    </row>
    <row r="762">
      <c r="A762" s="145">
        <v>46.954</v>
      </c>
      <c r="B762" s="145">
        <f t="shared" si="1"/>
        <v>15166.142</v>
      </c>
      <c r="C762" s="145">
        <v>92307.69231</v>
      </c>
      <c r="D762" s="145">
        <v>101183.432</v>
      </c>
      <c r="E762" s="146">
        <v>97633.1361</v>
      </c>
      <c r="F762" s="148">
        <v>85207.10059</v>
      </c>
      <c r="G762" s="145">
        <v>101183.432</v>
      </c>
      <c r="H762" s="145">
        <v>138461.5385</v>
      </c>
      <c r="I762" s="146">
        <v>108284.0237</v>
      </c>
      <c r="J762" s="148">
        <v>117159.7633</v>
      </c>
      <c r="K762" s="145">
        <v>111834.3195</v>
      </c>
      <c r="L762" s="145">
        <v>126035.503</v>
      </c>
      <c r="M762" s="145">
        <v>106508.8757</v>
      </c>
      <c r="N762" s="151">
        <v>90532.54438</v>
      </c>
      <c r="O762" s="148">
        <v>79881.65681</v>
      </c>
      <c r="P762" s="146">
        <v>63905.32544</v>
      </c>
      <c r="Q762" s="146">
        <v>67455.6213</v>
      </c>
      <c r="R762" s="146">
        <v>72781.06509</v>
      </c>
      <c r="S762" s="146">
        <v>90532.54438</v>
      </c>
    </row>
    <row r="763">
      <c r="A763" s="145">
        <v>47.0</v>
      </c>
      <c r="B763" s="145">
        <f t="shared" si="1"/>
        <v>15181</v>
      </c>
      <c r="C763" s="145">
        <v>94082.84024</v>
      </c>
      <c r="D763" s="145">
        <v>101183.432</v>
      </c>
      <c r="E763" s="146">
        <v>97633.1361</v>
      </c>
      <c r="F763" s="148">
        <v>85207.10059</v>
      </c>
      <c r="G763" s="145">
        <v>101183.432</v>
      </c>
      <c r="H763" s="145">
        <v>142011.8343</v>
      </c>
      <c r="I763" s="146">
        <v>108284.0237</v>
      </c>
      <c r="J763" s="148">
        <v>117159.7633</v>
      </c>
      <c r="K763" s="145">
        <v>111834.3195</v>
      </c>
      <c r="L763" s="145">
        <v>126035.503</v>
      </c>
      <c r="M763" s="145">
        <v>106508.8757</v>
      </c>
      <c r="N763" s="151">
        <v>90532.54438</v>
      </c>
      <c r="O763" s="148">
        <v>79881.65681</v>
      </c>
      <c r="P763" s="146">
        <v>63905.32544</v>
      </c>
      <c r="Q763" s="146">
        <v>67455.6213</v>
      </c>
      <c r="R763" s="146">
        <v>72781.06509</v>
      </c>
      <c r="S763" s="146">
        <v>90532.54438</v>
      </c>
    </row>
    <row r="764">
      <c r="A764" s="145">
        <v>47.063</v>
      </c>
      <c r="B764" s="145">
        <f t="shared" si="1"/>
        <v>15201.349</v>
      </c>
      <c r="C764" s="145">
        <v>94082.84024</v>
      </c>
      <c r="D764" s="145">
        <v>101183.432</v>
      </c>
      <c r="E764" s="146">
        <v>97633.1361</v>
      </c>
      <c r="F764" s="148">
        <v>85207.10059</v>
      </c>
      <c r="G764" s="145">
        <v>101183.432</v>
      </c>
      <c r="H764" s="145">
        <v>142011.8343</v>
      </c>
      <c r="I764" s="146">
        <v>108284.0237</v>
      </c>
      <c r="J764" s="148">
        <v>117159.7633</v>
      </c>
      <c r="K764" s="145">
        <v>111834.3195</v>
      </c>
      <c r="L764" s="145">
        <v>126035.503</v>
      </c>
      <c r="M764" s="145">
        <v>110059.1716</v>
      </c>
      <c r="N764" s="151">
        <v>90532.54438</v>
      </c>
      <c r="O764" s="148">
        <v>79881.65681</v>
      </c>
      <c r="P764" s="146">
        <v>63905.32544</v>
      </c>
      <c r="Q764" s="146">
        <v>67455.6213</v>
      </c>
      <c r="R764" s="146">
        <v>72781.06509</v>
      </c>
      <c r="S764" s="146">
        <v>90532.54438</v>
      </c>
    </row>
    <row r="765">
      <c r="A765" s="145">
        <v>47.125</v>
      </c>
      <c r="B765" s="145">
        <f t="shared" si="1"/>
        <v>15221.375</v>
      </c>
      <c r="C765" s="145">
        <v>94082.84024</v>
      </c>
      <c r="D765" s="145">
        <v>101183.432</v>
      </c>
      <c r="E765" s="146">
        <v>97633.1361</v>
      </c>
      <c r="F765" s="148">
        <v>85207.10059</v>
      </c>
      <c r="G765" s="145">
        <v>101183.432</v>
      </c>
      <c r="H765" s="145">
        <v>142011.8343</v>
      </c>
      <c r="I765" s="146">
        <v>108284.0237</v>
      </c>
      <c r="J765" s="148">
        <v>117159.7633</v>
      </c>
      <c r="K765" s="145">
        <v>111834.3195</v>
      </c>
      <c r="L765" s="145">
        <v>126035.503</v>
      </c>
      <c r="M765" s="145">
        <v>110059.1716</v>
      </c>
      <c r="N765" s="151">
        <v>90532.54438</v>
      </c>
      <c r="O765" s="148">
        <v>79881.65681</v>
      </c>
      <c r="P765" s="146">
        <v>63905.32544</v>
      </c>
      <c r="Q765" s="146">
        <v>67455.6213</v>
      </c>
      <c r="R765" s="146">
        <v>74556.21302</v>
      </c>
      <c r="S765" s="146">
        <v>90532.54438</v>
      </c>
    </row>
    <row r="766">
      <c r="A766" s="145">
        <v>47.188</v>
      </c>
      <c r="B766" s="145">
        <f t="shared" si="1"/>
        <v>15241.724</v>
      </c>
      <c r="C766" s="145">
        <v>94082.84024</v>
      </c>
      <c r="D766" s="145">
        <v>101183.432</v>
      </c>
      <c r="E766" s="146">
        <v>97633.1361</v>
      </c>
      <c r="F766" s="148">
        <v>85207.10059</v>
      </c>
      <c r="G766" s="145">
        <v>101183.432</v>
      </c>
      <c r="H766" s="145">
        <v>142011.8343</v>
      </c>
      <c r="I766" s="146">
        <v>108284.0237</v>
      </c>
      <c r="J766" s="148">
        <v>117159.7633</v>
      </c>
      <c r="K766" s="145">
        <v>111834.3195</v>
      </c>
      <c r="L766" s="145">
        <v>126035.503</v>
      </c>
      <c r="M766" s="145">
        <v>110059.1716</v>
      </c>
      <c r="N766" s="151">
        <v>90532.54438</v>
      </c>
      <c r="O766" s="148">
        <v>79881.65681</v>
      </c>
      <c r="P766" s="146">
        <v>63905.32544</v>
      </c>
      <c r="Q766" s="146">
        <v>67455.6213</v>
      </c>
      <c r="R766" s="146">
        <v>74556.21302</v>
      </c>
      <c r="S766" s="146">
        <v>90532.54438</v>
      </c>
    </row>
    <row r="767">
      <c r="A767" s="145">
        <v>47.25</v>
      </c>
      <c r="B767" s="145">
        <f t="shared" si="1"/>
        <v>15261.75</v>
      </c>
      <c r="C767" s="145">
        <v>94082.84024</v>
      </c>
      <c r="D767" s="145">
        <v>101183.432</v>
      </c>
      <c r="E767" s="146">
        <v>97633.1361</v>
      </c>
      <c r="F767" s="148">
        <v>85207.10059</v>
      </c>
      <c r="G767" s="145">
        <v>101183.432</v>
      </c>
      <c r="H767" s="145">
        <v>142011.8343</v>
      </c>
      <c r="I767" s="146">
        <v>108284.0237</v>
      </c>
      <c r="J767" s="148">
        <v>117159.7633</v>
      </c>
      <c r="K767" s="145">
        <v>111834.3195</v>
      </c>
      <c r="L767" s="145">
        <v>127810.6509</v>
      </c>
      <c r="M767" s="145">
        <v>110059.1716</v>
      </c>
      <c r="N767" s="151">
        <v>90532.54438</v>
      </c>
      <c r="O767" s="148">
        <v>79881.65681</v>
      </c>
      <c r="P767" s="146">
        <v>63905.32544</v>
      </c>
      <c r="Q767" s="146">
        <v>67455.6213</v>
      </c>
      <c r="R767" s="146">
        <v>74556.21302</v>
      </c>
      <c r="S767" s="146">
        <v>90532.54438</v>
      </c>
    </row>
    <row r="768">
      <c r="A768" s="145">
        <v>47.313</v>
      </c>
      <c r="B768" s="145">
        <f t="shared" si="1"/>
        <v>15282.099</v>
      </c>
      <c r="C768" s="145">
        <v>94082.84024</v>
      </c>
      <c r="D768" s="145">
        <v>101183.432</v>
      </c>
      <c r="E768" s="146">
        <v>97633.1361</v>
      </c>
      <c r="F768" s="148">
        <v>85207.10059</v>
      </c>
      <c r="G768" s="145">
        <v>101183.432</v>
      </c>
      <c r="H768" s="145">
        <v>142011.8343</v>
      </c>
      <c r="I768" s="146">
        <v>108284.0237</v>
      </c>
      <c r="J768" s="148">
        <v>117159.7633</v>
      </c>
      <c r="K768" s="145">
        <v>111834.3195</v>
      </c>
      <c r="L768" s="145">
        <v>127810.6509</v>
      </c>
      <c r="M768" s="145">
        <v>110059.1716</v>
      </c>
      <c r="N768" s="151">
        <v>90532.54438</v>
      </c>
      <c r="O768" s="148">
        <v>79881.65681</v>
      </c>
      <c r="P768" s="146">
        <v>63905.32544</v>
      </c>
      <c r="Q768" s="146">
        <v>67455.6213</v>
      </c>
      <c r="R768" s="146">
        <v>74556.21302</v>
      </c>
      <c r="S768" s="146">
        <v>90532.54438</v>
      </c>
    </row>
    <row r="769">
      <c r="A769" s="145">
        <v>47.375</v>
      </c>
      <c r="B769" s="145">
        <f t="shared" si="1"/>
        <v>15302.125</v>
      </c>
      <c r="C769" s="145">
        <v>94082.84024</v>
      </c>
      <c r="D769" s="145">
        <v>101183.432</v>
      </c>
      <c r="E769" s="146">
        <v>97633.1361</v>
      </c>
      <c r="F769" s="148">
        <v>85207.10059</v>
      </c>
      <c r="G769" s="145">
        <v>101183.432</v>
      </c>
      <c r="H769" s="145">
        <v>142011.8343</v>
      </c>
      <c r="I769" s="146">
        <v>108284.0237</v>
      </c>
      <c r="J769" s="148">
        <v>117159.7633</v>
      </c>
      <c r="K769" s="145">
        <v>122485.2071</v>
      </c>
      <c r="L769" s="145">
        <v>127810.6509</v>
      </c>
      <c r="M769" s="145">
        <v>110059.1716</v>
      </c>
      <c r="N769" s="151">
        <v>90532.54438</v>
      </c>
      <c r="O769" s="148">
        <v>79881.65681</v>
      </c>
      <c r="P769" s="146">
        <v>63905.32544</v>
      </c>
      <c r="Q769" s="146">
        <v>67455.6213</v>
      </c>
      <c r="R769" s="146">
        <v>74556.21302</v>
      </c>
      <c r="S769" s="146">
        <v>90532.54438</v>
      </c>
    </row>
    <row r="770">
      <c r="A770" s="145">
        <v>47.438</v>
      </c>
      <c r="B770" s="145">
        <f t="shared" si="1"/>
        <v>15322.474</v>
      </c>
      <c r="C770" s="145">
        <v>94082.84024</v>
      </c>
      <c r="D770" s="145">
        <v>101183.432</v>
      </c>
      <c r="E770" s="146">
        <v>99408.28402</v>
      </c>
      <c r="F770" s="148">
        <v>85207.10059</v>
      </c>
      <c r="G770" s="145">
        <v>101183.432</v>
      </c>
      <c r="H770" s="145">
        <v>142011.8343</v>
      </c>
      <c r="I770" s="146">
        <v>108284.0237</v>
      </c>
      <c r="J770" s="148">
        <v>117159.7633</v>
      </c>
      <c r="K770" s="145">
        <v>122485.2071</v>
      </c>
      <c r="L770" s="145">
        <v>127810.6509</v>
      </c>
      <c r="M770" s="145">
        <v>110059.1716</v>
      </c>
      <c r="N770" s="151">
        <v>90532.54438</v>
      </c>
      <c r="O770" s="148">
        <v>79881.65681</v>
      </c>
      <c r="P770" s="146">
        <v>63905.32544</v>
      </c>
      <c r="Q770" s="146">
        <v>67455.6213</v>
      </c>
      <c r="R770" s="146">
        <v>74556.21302</v>
      </c>
      <c r="S770" s="146">
        <v>90532.54438</v>
      </c>
    </row>
    <row r="771">
      <c r="A771" s="145">
        <v>47.5</v>
      </c>
      <c r="B771" s="145">
        <f t="shared" si="1"/>
        <v>15342.5</v>
      </c>
      <c r="C771" s="145">
        <v>94082.84024</v>
      </c>
      <c r="D771" s="145">
        <v>101183.432</v>
      </c>
      <c r="E771" s="146">
        <v>99408.28402</v>
      </c>
      <c r="F771" s="148">
        <v>85207.10059</v>
      </c>
      <c r="G771" s="145">
        <v>101183.432</v>
      </c>
      <c r="H771" s="145">
        <v>142011.8343</v>
      </c>
      <c r="I771" s="146">
        <v>108284.0237</v>
      </c>
      <c r="J771" s="148">
        <v>117159.7633</v>
      </c>
      <c r="K771" s="145">
        <v>122485.2071</v>
      </c>
      <c r="L771" s="145">
        <v>127810.6509</v>
      </c>
      <c r="M771" s="145">
        <v>110059.1716</v>
      </c>
      <c r="N771" s="151">
        <v>90532.54438</v>
      </c>
      <c r="O771" s="148">
        <v>79881.65681</v>
      </c>
      <c r="P771" s="146">
        <v>63905.32544</v>
      </c>
      <c r="Q771" s="146">
        <v>67455.6213</v>
      </c>
      <c r="R771" s="146">
        <v>74556.21302</v>
      </c>
      <c r="S771" s="146">
        <v>90532.54438</v>
      </c>
    </row>
    <row r="772">
      <c r="A772" s="145">
        <v>47.563</v>
      </c>
      <c r="B772" s="145">
        <f t="shared" si="1"/>
        <v>15362.849</v>
      </c>
      <c r="C772" s="145">
        <v>94082.84024</v>
      </c>
      <c r="D772" s="145">
        <v>101183.432</v>
      </c>
      <c r="E772" s="146">
        <v>99408.28402</v>
      </c>
      <c r="F772" s="148">
        <v>85207.10059</v>
      </c>
      <c r="G772" s="145">
        <v>101183.432</v>
      </c>
      <c r="H772" s="145">
        <v>142011.8343</v>
      </c>
      <c r="I772" s="146">
        <v>108284.0237</v>
      </c>
      <c r="J772" s="148">
        <v>117159.7633</v>
      </c>
      <c r="K772" s="145">
        <v>122485.2071</v>
      </c>
      <c r="L772" s="145">
        <v>127810.6509</v>
      </c>
      <c r="M772" s="145">
        <v>110059.1716</v>
      </c>
      <c r="N772" s="151">
        <v>90532.54438</v>
      </c>
      <c r="O772" s="148">
        <v>79881.65681</v>
      </c>
      <c r="P772" s="146">
        <v>63905.32544</v>
      </c>
      <c r="Q772" s="146">
        <v>67455.6213</v>
      </c>
      <c r="R772" s="146">
        <v>74556.21302</v>
      </c>
      <c r="S772" s="146">
        <v>90532.54438</v>
      </c>
    </row>
    <row r="773">
      <c r="A773" s="145">
        <v>47.625</v>
      </c>
      <c r="B773" s="145">
        <f t="shared" si="1"/>
        <v>15382.875</v>
      </c>
      <c r="C773" s="145">
        <v>94082.84024</v>
      </c>
      <c r="D773" s="145">
        <v>101183.432</v>
      </c>
      <c r="E773" s="146">
        <v>99408.28402</v>
      </c>
      <c r="F773" s="148">
        <v>85207.10059</v>
      </c>
      <c r="G773" s="145">
        <v>101183.432</v>
      </c>
      <c r="H773" s="145">
        <v>142011.8343</v>
      </c>
      <c r="I773" s="146">
        <v>108284.0237</v>
      </c>
      <c r="J773" s="148">
        <v>117159.7633</v>
      </c>
      <c r="K773" s="145">
        <v>122485.2071</v>
      </c>
      <c r="L773" s="145">
        <v>127810.6509</v>
      </c>
      <c r="M773" s="145">
        <v>110059.1716</v>
      </c>
      <c r="N773" s="151">
        <v>90532.54438</v>
      </c>
      <c r="O773" s="148">
        <v>79881.65681</v>
      </c>
      <c r="P773" s="146">
        <v>63905.32544</v>
      </c>
      <c r="Q773" s="146">
        <v>67455.6213</v>
      </c>
      <c r="R773" s="146">
        <v>74556.21302</v>
      </c>
      <c r="S773" s="146">
        <v>90532.54438</v>
      </c>
    </row>
    <row r="774">
      <c r="A774" s="145">
        <v>47.688</v>
      </c>
      <c r="B774" s="145">
        <f t="shared" si="1"/>
        <v>15403.224</v>
      </c>
      <c r="C774" s="145">
        <v>94082.84024</v>
      </c>
      <c r="D774" s="145">
        <v>101183.432</v>
      </c>
      <c r="E774" s="146">
        <v>99408.28402</v>
      </c>
      <c r="F774" s="148">
        <v>85207.10059</v>
      </c>
      <c r="G774" s="145">
        <v>101183.432</v>
      </c>
      <c r="H774" s="145">
        <v>142011.8343</v>
      </c>
      <c r="I774" s="146">
        <v>110059.1716</v>
      </c>
      <c r="J774" s="148">
        <v>118934.9112</v>
      </c>
      <c r="K774" s="145">
        <v>122485.2071</v>
      </c>
      <c r="L774" s="145">
        <v>127810.6509</v>
      </c>
      <c r="M774" s="145">
        <v>110059.1716</v>
      </c>
      <c r="N774" s="151">
        <v>90532.54438</v>
      </c>
      <c r="O774" s="148">
        <v>81656.80473</v>
      </c>
      <c r="P774" s="146">
        <v>63905.32544</v>
      </c>
      <c r="Q774" s="146">
        <v>67455.6213</v>
      </c>
      <c r="R774" s="146">
        <v>74556.21302</v>
      </c>
      <c r="S774" s="146">
        <v>90532.54438</v>
      </c>
    </row>
    <row r="775">
      <c r="A775" s="145">
        <v>47.766</v>
      </c>
      <c r="B775" s="145">
        <f t="shared" si="1"/>
        <v>15428.418</v>
      </c>
      <c r="C775" s="145">
        <v>94082.84024</v>
      </c>
      <c r="D775" s="145">
        <v>101183.432</v>
      </c>
      <c r="E775" s="146">
        <v>99408.28402</v>
      </c>
      <c r="F775" s="148">
        <v>86982.24852</v>
      </c>
      <c r="G775" s="145">
        <v>101183.432</v>
      </c>
      <c r="H775" s="145">
        <v>142011.8343</v>
      </c>
      <c r="I775" s="146">
        <v>110059.1716</v>
      </c>
      <c r="J775" s="148">
        <v>118934.9112</v>
      </c>
      <c r="K775" s="145">
        <v>122485.2071</v>
      </c>
      <c r="L775" s="145">
        <v>127810.6509</v>
      </c>
      <c r="M775" s="145">
        <v>110059.1716</v>
      </c>
      <c r="N775" s="151">
        <v>90532.54438</v>
      </c>
      <c r="O775" s="148">
        <v>81656.80473</v>
      </c>
      <c r="P775" s="146">
        <v>63905.32544</v>
      </c>
      <c r="Q775" s="146">
        <v>67455.6213</v>
      </c>
      <c r="R775" s="146">
        <v>74556.21302</v>
      </c>
      <c r="S775" s="146">
        <v>90532.54438</v>
      </c>
    </row>
    <row r="776">
      <c r="A776" s="145">
        <v>47.813</v>
      </c>
      <c r="B776" s="145">
        <f t="shared" si="1"/>
        <v>15443.599</v>
      </c>
      <c r="C776" s="145">
        <v>94082.84024</v>
      </c>
      <c r="D776" s="145">
        <v>101183.432</v>
      </c>
      <c r="E776" s="146">
        <v>101183.432</v>
      </c>
      <c r="F776" s="148">
        <v>86982.24852</v>
      </c>
      <c r="G776" s="145">
        <v>101183.432</v>
      </c>
      <c r="H776" s="145">
        <v>142011.8343</v>
      </c>
      <c r="I776" s="146">
        <v>110059.1716</v>
      </c>
      <c r="J776" s="148">
        <v>118934.9112</v>
      </c>
      <c r="K776" s="145">
        <v>122485.2071</v>
      </c>
      <c r="L776" s="145">
        <v>127810.6509</v>
      </c>
      <c r="M776" s="145">
        <v>110059.1716</v>
      </c>
      <c r="N776" s="151">
        <v>90532.54438</v>
      </c>
      <c r="O776" s="148">
        <v>81656.80473</v>
      </c>
      <c r="P776" s="146">
        <v>63905.32544</v>
      </c>
      <c r="Q776" s="146">
        <v>67455.6213</v>
      </c>
      <c r="R776" s="146">
        <v>74556.21302</v>
      </c>
      <c r="S776" s="146">
        <v>90532.54438</v>
      </c>
    </row>
    <row r="777">
      <c r="A777" s="145">
        <v>47.875</v>
      </c>
      <c r="B777" s="145">
        <f t="shared" si="1"/>
        <v>15463.625</v>
      </c>
      <c r="C777" s="145">
        <v>94082.84024</v>
      </c>
      <c r="D777" s="145">
        <v>102958.5799</v>
      </c>
      <c r="E777" s="146">
        <v>101183.432</v>
      </c>
      <c r="F777" s="148">
        <v>86982.24852</v>
      </c>
      <c r="G777" s="145">
        <v>101183.432</v>
      </c>
      <c r="H777" s="145">
        <v>143786.9822</v>
      </c>
      <c r="I777" s="146">
        <v>110059.1716</v>
      </c>
      <c r="J777" s="148">
        <v>118934.9112</v>
      </c>
      <c r="K777" s="145">
        <v>122485.2071</v>
      </c>
      <c r="L777" s="145">
        <v>127810.6509</v>
      </c>
      <c r="M777" s="145">
        <v>110059.1716</v>
      </c>
      <c r="N777" s="151">
        <v>90532.54438</v>
      </c>
      <c r="O777" s="148">
        <v>81656.80473</v>
      </c>
      <c r="P777" s="146">
        <v>63905.32544</v>
      </c>
      <c r="Q777" s="146">
        <v>69230.76923</v>
      </c>
      <c r="R777" s="146">
        <v>74556.21302</v>
      </c>
      <c r="S777" s="146">
        <v>90532.54438</v>
      </c>
    </row>
    <row r="778">
      <c r="A778" s="145">
        <v>47.938</v>
      </c>
      <c r="B778" s="145">
        <f t="shared" si="1"/>
        <v>15483.974</v>
      </c>
      <c r="C778" s="145">
        <v>94082.84024</v>
      </c>
      <c r="D778" s="145">
        <v>102958.5799</v>
      </c>
      <c r="E778" s="146">
        <v>101183.432</v>
      </c>
      <c r="F778" s="148">
        <v>86982.24852</v>
      </c>
      <c r="G778" s="145">
        <v>101183.432</v>
      </c>
      <c r="H778" s="145">
        <v>143786.9822</v>
      </c>
      <c r="I778" s="146">
        <v>110059.1716</v>
      </c>
      <c r="J778" s="148">
        <v>118934.9112</v>
      </c>
      <c r="K778" s="145">
        <v>122485.2071</v>
      </c>
      <c r="L778" s="145">
        <v>127810.6509</v>
      </c>
      <c r="M778" s="145">
        <v>110059.1716</v>
      </c>
      <c r="N778" s="151">
        <v>90532.54438</v>
      </c>
      <c r="O778" s="148">
        <v>81656.80473</v>
      </c>
      <c r="P778" s="146">
        <v>63905.32544</v>
      </c>
      <c r="Q778" s="146">
        <v>69230.76923</v>
      </c>
      <c r="R778" s="146">
        <v>74556.21302</v>
      </c>
      <c r="S778" s="146">
        <v>90532.54438</v>
      </c>
    </row>
    <row r="779">
      <c r="A779" s="145">
        <v>48.0</v>
      </c>
      <c r="B779" s="145">
        <f t="shared" si="1"/>
        <v>15504</v>
      </c>
      <c r="C779" s="145">
        <v>94082.84024</v>
      </c>
      <c r="D779" s="145">
        <v>102958.5799</v>
      </c>
      <c r="E779" s="146">
        <v>101183.432</v>
      </c>
      <c r="F779" s="148">
        <v>86982.24852</v>
      </c>
      <c r="G779" s="145">
        <v>101183.432</v>
      </c>
      <c r="H779" s="145">
        <v>143786.9822</v>
      </c>
      <c r="I779" s="146">
        <v>110059.1716</v>
      </c>
      <c r="J779" s="148">
        <v>118934.9112</v>
      </c>
      <c r="K779" s="145">
        <v>122485.2071</v>
      </c>
      <c r="L779" s="145">
        <v>127810.6509</v>
      </c>
      <c r="M779" s="145">
        <v>110059.1716</v>
      </c>
      <c r="N779" s="151">
        <v>90532.54438</v>
      </c>
      <c r="O779" s="148">
        <v>81656.80473</v>
      </c>
      <c r="P779" s="146">
        <v>63905.32544</v>
      </c>
      <c r="Q779" s="146">
        <v>69230.76923</v>
      </c>
      <c r="R779" s="146">
        <v>74556.21302</v>
      </c>
      <c r="S779" s="146">
        <v>90532.54438</v>
      </c>
    </row>
    <row r="780">
      <c r="A780" s="145">
        <v>48.063</v>
      </c>
      <c r="B780" s="145">
        <f t="shared" si="1"/>
        <v>15524.349</v>
      </c>
      <c r="C780" s="145">
        <v>94082.84024</v>
      </c>
      <c r="D780" s="145">
        <v>102958.5799</v>
      </c>
      <c r="E780" s="146">
        <v>101183.432</v>
      </c>
      <c r="F780" s="148">
        <v>86982.24852</v>
      </c>
      <c r="G780" s="145">
        <v>101183.432</v>
      </c>
      <c r="H780" s="145">
        <v>143786.9822</v>
      </c>
      <c r="I780" s="146">
        <v>110059.1716</v>
      </c>
      <c r="J780" s="148">
        <v>118934.9112</v>
      </c>
      <c r="K780" s="145">
        <v>122485.2071</v>
      </c>
      <c r="L780" s="145">
        <v>127810.6509</v>
      </c>
      <c r="M780" s="145">
        <v>110059.1716</v>
      </c>
      <c r="N780" s="151">
        <v>90532.54438</v>
      </c>
      <c r="O780" s="148">
        <v>81656.80473</v>
      </c>
      <c r="P780" s="146">
        <v>63905.32544</v>
      </c>
      <c r="Q780" s="146">
        <v>69230.76923</v>
      </c>
      <c r="R780" s="146">
        <v>74556.21302</v>
      </c>
      <c r="S780" s="146">
        <v>90532.54438</v>
      </c>
    </row>
    <row r="781">
      <c r="A781" s="145">
        <v>48.141</v>
      </c>
      <c r="B781" s="145">
        <f t="shared" si="1"/>
        <v>15549.543</v>
      </c>
      <c r="C781" s="145">
        <v>94082.84024</v>
      </c>
      <c r="D781" s="145">
        <v>102958.5799</v>
      </c>
      <c r="E781" s="146">
        <v>101183.432</v>
      </c>
      <c r="F781" s="148">
        <v>86982.24852</v>
      </c>
      <c r="G781" s="145">
        <v>101183.432</v>
      </c>
      <c r="H781" s="145">
        <v>143786.9822</v>
      </c>
      <c r="I781" s="146">
        <v>110059.1716</v>
      </c>
      <c r="J781" s="148">
        <v>120710.0592</v>
      </c>
      <c r="K781" s="145">
        <v>122485.2071</v>
      </c>
      <c r="L781" s="145">
        <v>127810.6509</v>
      </c>
      <c r="M781" s="145">
        <v>110059.1716</v>
      </c>
      <c r="N781" s="151">
        <v>92307.69231</v>
      </c>
      <c r="O781" s="148">
        <v>81656.80473</v>
      </c>
      <c r="P781" s="146">
        <v>63905.32544</v>
      </c>
      <c r="Q781" s="146">
        <v>69230.76923</v>
      </c>
      <c r="R781" s="146">
        <v>74556.21302</v>
      </c>
      <c r="S781" s="146">
        <v>90532.54438</v>
      </c>
    </row>
    <row r="782">
      <c r="A782" s="145">
        <v>48.188</v>
      </c>
      <c r="B782" s="145">
        <f t="shared" si="1"/>
        <v>15564.724</v>
      </c>
      <c r="C782" s="145">
        <v>94082.84024</v>
      </c>
      <c r="D782" s="145">
        <v>102958.5799</v>
      </c>
      <c r="E782" s="146">
        <v>101183.432</v>
      </c>
      <c r="F782" s="148">
        <v>86982.24852</v>
      </c>
      <c r="G782" s="145">
        <v>101183.432</v>
      </c>
      <c r="H782" s="145">
        <v>143786.9822</v>
      </c>
      <c r="I782" s="146">
        <v>110059.1716</v>
      </c>
      <c r="J782" s="148">
        <v>120710.0592</v>
      </c>
      <c r="K782" s="145">
        <v>122485.2071</v>
      </c>
      <c r="L782" s="145">
        <v>127810.6509</v>
      </c>
      <c r="M782" s="145">
        <v>110059.1716</v>
      </c>
      <c r="N782" s="151">
        <v>92307.69231</v>
      </c>
      <c r="O782" s="148">
        <v>81656.80473</v>
      </c>
      <c r="P782" s="146">
        <v>63905.32544</v>
      </c>
      <c r="Q782" s="146">
        <v>69230.76923</v>
      </c>
      <c r="R782" s="146">
        <v>74556.21302</v>
      </c>
      <c r="S782" s="146">
        <v>90532.54438</v>
      </c>
    </row>
    <row r="783">
      <c r="A783" s="145">
        <v>48.25</v>
      </c>
      <c r="B783" s="145">
        <f t="shared" si="1"/>
        <v>15584.75</v>
      </c>
      <c r="C783" s="145">
        <v>95857.98817</v>
      </c>
      <c r="D783" s="145">
        <v>102958.5799</v>
      </c>
      <c r="E783" s="146">
        <v>101183.432</v>
      </c>
      <c r="F783" s="148">
        <v>86982.24852</v>
      </c>
      <c r="G783" s="145">
        <v>101183.432</v>
      </c>
      <c r="H783" s="145">
        <v>143786.9822</v>
      </c>
      <c r="I783" s="146">
        <v>110059.1716</v>
      </c>
      <c r="J783" s="148">
        <v>120710.0592</v>
      </c>
      <c r="K783" s="145">
        <v>122485.2071</v>
      </c>
      <c r="L783" s="145">
        <v>127810.6509</v>
      </c>
      <c r="M783" s="145">
        <v>110059.1716</v>
      </c>
      <c r="N783" s="151">
        <v>92307.69231</v>
      </c>
      <c r="O783" s="148">
        <v>81656.80473</v>
      </c>
      <c r="P783" s="146">
        <v>65680.47337</v>
      </c>
      <c r="Q783" s="146">
        <v>69230.76923</v>
      </c>
      <c r="R783" s="146">
        <v>74556.21302</v>
      </c>
      <c r="S783" s="146">
        <v>90532.54438</v>
      </c>
    </row>
    <row r="784">
      <c r="A784" s="145">
        <v>48.313</v>
      </c>
      <c r="B784" s="145">
        <f t="shared" si="1"/>
        <v>15605.099</v>
      </c>
      <c r="C784" s="145">
        <v>95857.98817</v>
      </c>
      <c r="D784" s="145">
        <v>102958.5799</v>
      </c>
      <c r="E784" s="146">
        <v>101183.432</v>
      </c>
      <c r="F784" s="148">
        <v>86982.24852</v>
      </c>
      <c r="G784" s="145">
        <v>101183.432</v>
      </c>
      <c r="H784" s="145">
        <v>143786.9822</v>
      </c>
      <c r="I784" s="146">
        <v>110059.1716</v>
      </c>
      <c r="J784" s="148">
        <v>120710.0592</v>
      </c>
      <c r="K784" s="145">
        <v>122485.2071</v>
      </c>
      <c r="L784" s="145">
        <v>127810.6509</v>
      </c>
      <c r="M784" s="145">
        <v>110059.1716</v>
      </c>
      <c r="N784" s="151">
        <v>92307.69231</v>
      </c>
      <c r="O784" s="148">
        <v>81656.80473</v>
      </c>
      <c r="P784" s="146">
        <v>65680.47337</v>
      </c>
      <c r="Q784" s="146">
        <v>69230.76923</v>
      </c>
      <c r="R784" s="146">
        <v>74556.21302</v>
      </c>
      <c r="S784" s="146">
        <v>90532.54438</v>
      </c>
    </row>
    <row r="785">
      <c r="A785" s="145">
        <v>48.375</v>
      </c>
      <c r="B785" s="145">
        <f t="shared" si="1"/>
        <v>15625.125</v>
      </c>
      <c r="C785" s="145">
        <v>95857.98817</v>
      </c>
      <c r="D785" s="145">
        <v>104733.7278</v>
      </c>
      <c r="E785" s="146">
        <v>101183.432</v>
      </c>
      <c r="F785" s="148">
        <v>86982.24852</v>
      </c>
      <c r="G785" s="145">
        <v>101183.432</v>
      </c>
      <c r="H785" s="145">
        <v>143786.9822</v>
      </c>
      <c r="I785" s="146">
        <v>110059.1716</v>
      </c>
      <c r="J785" s="148">
        <v>120710.0592</v>
      </c>
      <c r="K785" s="145">
        <v>122485.2071</v>
      </c>
      <c r="L785" s="145">
        <v>127810.6509</v>
      </c>
      <c r="M785" s="145">
        <v>110059.1716</v>
      </c>
      <c r="N785" s="151">
        <v>92307.69231</v>
      </c>
      <c r="O785" s="148">
        <v>81656.80473</v>
      </c>
      <c r="P785" s="146">
        <v>65680.47337</v>
      </c>
      <c r="Q785" s="146">
        <v>69230.76923</v>
      </c>
      <c r="R785" s="146">
        <v>74556.21302</v>
      </c>
      <c r="S785" s="146">
        <v>90532.54438</v>
      </c>
    </row>
    <row r="786">
      <c r="A786" s="145">
        <v>48.438</v>
      </c>
      <c r="B786" s="145">
        <f t="shared" si="1"/>
        <v>15645.474</v>
      </c>
      <c r="C786" s="145">
        <v>95857.98817</v>
      </c>
      <c r="D786" s="145">
        <v>104733.7278</v>
      </c>
      <c r="E786" s="146">
        <v>101183.432</v>
      </c>
      <c r="F786" s="148">
        <v>86982.24852</v>
      </c>
      <c r="G786" s="145">
        <v>101183.432</v>
      </c>
      <c r="H786" s="145">
        <v>143786.9822</v>
      </c>
      <c r="I786" s="146">
        <v>110059.1716</v>
      </c>
      <c r="J786" s="148">
        <v>120710.0592</v>
      </c>
      <c r="K786" s="145">
        <v>122485.2071</v>
      </c>
      <c r="L786" s="145">
        <v>127810.6509</v>
      </c>
      <c r="M786" s="145">
        <v>110059.1716</v>
      </c>
      <c r="N786" s="151">
        <v>92307.69231</v>
      </c>
      <c r="O786" s="148">
        <v>81656.80473</v>
      </c>
      <c r="P786" s="146">
        <v>65680.47337</v>
      </c>
      <c r="Q786" s="146">
        <v>69230.76923</v>
      </c>
      <c r="R786" s="146">
        <v>74556.21302</v>
      </c>
      <c r="S786" s="146">
        <v>90532.54438</v>
      </c>
    </row>
    <row r="787">
      <c r="A787" s="145">
        <v>48.5</v>
      </c>
      <c r="B787" s="145">
        <f t="shared" si="1"/>
        <v>15665.5</v>
      </c>
      <c r="C787" s="145">
        <v>95857.98817</v>
      </c>
      <c r="D787" s="145">
        <v>104733.7278</v>
      </c>
      <c r="E787" s="146">
        <v>101183.432</v>
      </c>
      <c r="F787" s="148">
        <v>86982.24852</v>
      </c>
      <c r="G787" s="145">
        <v>101183.432</v>
      </c>
      <c r="H787" s="145">
        <v>143786.9822</v>
      </c>
      <c r="I787" s="146">
        <v>110059.1716</v>
      </c>
      <c r="J787" s="148">
        <v>120710.0592</v>
      </c>
      <c r="K787" s="145">
        <v>124260.355</v>
      </c>
      <c r="L787" s="145">
        <v>127810.6509</v>
      </c>
      <c r="M787" s="145">
        <v>110059.1716</v>
      </c>
      <c r="N787" s="151">
        <v>92307.69231</v>
      </c>
      <c r="O787" s="148">
        <v>81656.80473</v>
      </c>
      <c r="P787" s="146">
        <v>65680.47337</v>
      </c>
      <c r="Q787" s="146">
        <v>69230.76923</v>
      </c>
      <c r="R787" s="146">
        <v>76331.36095</v>
      </c>
      <c r="S787" s="146">
        <v>90532.54438</v>
      </c>
    </row>
    <row r="788">
      <c r="A788" s="145">
        <v>48.579</v>
      </c>
      <c r="B788" s="145">
        <f t="shared" si="1"/>
        <v>15691.017</v>
      </c>
      <c r="C788" s="145">
        <v>95857.98817</v>
      </c>
      <c r="D788" s="145">
        <v>104733.7278</v>
      </c>
      <c r="E788" s="146">
        <v>101183.432</v>
      </c>
      <c r="F788" s="148">
        <v>86982.24852</v>
      </c>
      <c r="G788" s="145">
        <v>101183.432</v>
      </c>
      <c r="H788" s="145">
        <v>143786.9822</v>
      </c>
      <c r="I788" s="146">
        <v>110059.1716</v>
      </c>
      <c r="J788" s="148">
        <v>120710.0592</v>
      </c>
      <c r="K788" s="145">
        <v>124260.355</v>
      </c>
      <c r="L788" s="145">
        <v>127810.6509</v>
      </c>
      <c r="M788" s="145">
        <v>110059.1716</v>
      </c>
      <c r="N788" s="151">
        <v>92307.69231</v>
      </c>
      <c r="O788" s="148">
        <v>83431.95266</v>
      </c>
      <c r="P788" s="146">
        <v>65680.47337</v>
      </c>
      <c r="Q788" s="146">
        <v>69230.76923</v>
      </c>
      <c r="R788" s="146">
        <v>76331.36095</v>
      </c>
      <c r="S788" s="146">
        <v>90532.54438</v>
      </c>
    </row>
    <row r="789">
      <c r="A789" s="145">
        <v>48.625</v>
      </c>
      <c r="B789" s="145">
        <f t="shared" si="1"/>
        <v>15705.875</v>
      </c>
      <c r="C789" s="145">
        <v>95857.98817</v>
      </c>
      <c r="D789" s="145">
        <v>104733.7278</v>
      </c>
      <c r="E789" s="146">
        <v>101183.432</v>
      </c>
      <c r="F789" s="148">
        <v>86982.24852</v>
      </c>
      <c r="G789" s="145">
        <v>101183.432</v>
      </c>
      <c r="H789" s="145">
        <v>143786.9822</v>
      </c>
      <c r="I789" s="146">
        <v>111834.3195</v>
      </c>
      <c r="J789" s="148">
        <v>120710.0592</v>
      </c>
      <c r="K789" s="145">
        <v>124260.355</v>
      </c>
      <c r="L789" s="145">
        <v>127810.6509</v>
      </c>
      <c r="M789" s="145">
        <v>110059.1716</v>
      </c>
      <c r="N789" s="151">
        <v>94082.84024</v>
      </c>
      <c r="O789" s="148">
        <v>83431.95266</v>
      </c>
      <c r="P789" s="146">
        <v>65680.47337</v>
      </c>
      <c r="Q789" s="146">
        <v>69230.76923</v>
      </c>
      <c r="R789" s="146">
        <v>76331.36095</v>
      </c>
      <c r="S789" s="146">
        <v>90532.54438</v>
      </c>
    </row>
    <row r="790">
      <c r="A790" s="145">
        <v>48.688</v>
      </c>
      <c r="B790" s="145">
        <f t="shared" si="1"/>
        <v>15726.224</v>
      </c>
      <c r="C790" s="145">
        <v>95857.98817</v>
      </c>
      <c r="D790" s="145">
        <v>104733.7278</v>
      </c>
      <c r="E790" s="146">
        <v>101183.432</v>
      </c>
      <c r="F790" s="148">
        <v>86982.24852</v>
      </c>
      <c r="G790" s="145">
        <v>101183.432</v>
      </c>
      <c r="H790" s="145">
        <v>143786.9822</v>
      </c>
      <c r="I790" s="146">
        <v>111834.3195</v>
      </c>
      <c r="J790" s="148">
        <v>120710.0592</v>
      </c>
      <c r="K790" s="145">
        <v>124260.355</v>
      </c>
      <c r="L790" s="145">
        <v>127810.6509</v>
      </c>
      <c r="M790" s="145">
        <v>110059.1716</v>
      </c>
      <c r="N790" s="151">
        <v>94082.84024</v>
      </c>
      <c r="O790" s="148">
        <v>83431.95266</v>
      </c>
      <c r="P790" s="146">
        <v>65680.47337</v>
      </c>
      <c r="Q790" s="146">
        <v>69230.76923</v>
      </c>
      <c r="R790" s="146">
        <v>76331.36095</v>
      </c>
      <c r="S790" s="146">
        <v>90532.54438</v>
      </c>
    </row>
    <row r="791">
      <c r="A791" s="145">
        <v>48.75</v>
      </c>
      <c r="B791" s="145">
        <f t="shared" si="1"/>
        <v>15746.25</v>
      </c>
      <c r="C791" s="145">
        <v>95857.98817</v>
      </c>
      <c r="D791" s="145">
        <v>104733.7278</v>
      </c>
      <c r="E791" s="146">
        <v>101183.432</v>
      </c>
      <c r="F791" s="148">
        <v>86982.24852</v>
      </c>
      <c r="G791" s="145">
        <v>101183.432</v>
      </c>
      <c r="H791" s="145">
        <v>143786.9822</v>
      </c>
      <c r="I791" s="146">
        <v>111834.3195</v>
      </c>
      <c r="J791" s="148">
        <v>120710.0592</v>
      </c>
      <c r="K791" s="145">
        <v>124260.355</v>
      </c>
      <c r="L791" s="145">
        <v>131360.9467</v>
      </c>
      <c r="M791" s="145">
        <v>110059.1716</v>
      </c>
      <c r="N791" s="145">
        <v>94082.84024</v>
      </c>
      <c r="O791" s="148">
        <v>83431.95266</v>
      </c>
      <c r="P791" s="146">
        <v>65680.47337</v>
      </c>
      <c r="Q791" s="146">
        <v>69230.76923</v>
      </c>
      <c r="R791" s="146">
        <v>76331.36095</v>
      </c>
      <c r="S791" s="146">
        <v>90532.54438</v>
      </c>
    </row>
    <row r="792">
      <c r="A792" s="145">
        <v>48.829</v>
      </c>
      <c r="B792" s="145">
        <f t="shared" si="1"/>
        <v>15771.767</v>
      </c>
      <c r="C792" s="145">
        <v>95857.98817</v>
      </c>
      <c r="D792" s="145">
        <v>104733.7278</v>
      </c>
      <c r="E792" s="146">
        <v>101183.432</v>
      </c>
      <c r="F792" s="148">
        <v>86982.24852</v>
      </c>
      <c r="G792" s="145">
        <v>101183.432</v>
      </c>
      <c r="H792" s="145">
        <v>143786.9822</v>
      </c>
      <c r="I792" s="146">
        <v>111834.3195</v>
      </c>
      <c r="J792" s="148">
        <v>120710.0592</v>
      </c>
      <c r="K792" s="145">
        <v>124260.355</v>
      </c>
      <c r="L792" s="145">
        <v>131360.9467</v>
      </c>
      <c r="M792" s="145">
        <v>110059.1716</v>
      </c>
      <c r="N792" s="145">
        <v>94082.84024</v>
      </c>
      <c r="O792" s="148">
        <v>83431.95266</v>
      </c>
      <c r="P792" s="146">
        <v>65680.47337</v>
      </c>
      <c r="Q792" s="146">
        <v>69230.76923</v>
      </c>
      <c r="R792" s="146">
        <v>76331.36095</v>
      </c>
      <c r="S792" s="146">
        <v>90532.54438</v>
      </c>
    </row>
    <row r="793">
      <c r="A793" s="145">
        <v>48.875</v>
      </c>
      <c r="B793" s="145">
        <f t="shared" si="1"/>
        <v>15786.625</v>
      </c>
      <c r="C793" s="145">
        <v>95857.98817</v>
      </c>
      <c r="D793" s="145">
        <v>104733.7278</v>
      </c>
      <c r="E793" s="146">
        <v>101183.432</v>
      </c>
      <c r="F793" s="148">
        <v>88757.39645</v>
      </c>
      <c r="G793" s="145">
        <v>101183.432</v>
      </c>
      <c r="H793" s="145">
        <v>143786.9822</v>
      </c>
      <c r="I793" s="146">
        <v>111834.3195</v>
      </c>
      <c r="J793" s="148">
        <v>120710.0592</v>
      </c>
      <c r="K793" s="145">
        <v>124260.355</v>
      </c>
      <c r="L793" s="145">
        <v>131360.9467</v>
      </c>
      <c r="M793" s="145">
        <v>110059.1716</v>
      </c>
      <c r="N793" s="145">
        <v>94082.84024</v>
      </c>
      <c r="O793" s="148">
        <v>83431.95266</v>
      </c>
      <c r="P793" s="146">
        <v>65680.47337</v>
      </c>
      <c r="Q793" s="146">
        <v>71005.91716</v>
      </c>
      <c r="R793" s="146">
        <v>76331.36095</v>
      </c>
      <c r="S793" s="146">
        <v>90532.54438</v>
      </c>
    </row>
    <row r="794">
      <c r="A794" s="145">
        <v>48.938</v>
      </c>
      <c r="B794" s="145">
        <f t="shared" si="1"/>
        <v>15806.974</v>
      </c>
      <c r="C794" s="145">
        <v>95857.98817</v>
      </c>
      <c r="D794" s="145">
        <v>104733.7278</v>
      </c>
      <c r="E794" s="146">
        <v>101183.432</v>
      </c>
      <c r="F794" s="148">
        <v>88757.39645</v>
      </c>
      <c r="G794" s="145">
        <v>101183.432</v>
      </c>
      <c r="H794" s="145">
        <v>143786.9822</v>
      </c>
      <c r="I794" s="146">
        <v>111834.3195</v>
      </c>
      <c r="J794" s="148">
        <v>120710.0592</v>
      </c>
      <c r="K794" s="145">
        <v>124260.355</v>
      </c>
      <c r="L794" s="145">
        <v>131360.9467</v>
      </c>
      <c r="M794" s="145">
        <v>110059.1716</v>
      </c>
      <c r="N794" s="145">
        <v>94082.84024</v>
      </c>
      <c r="O794" s="148">
        <v>83431.95266</v>
      </c>
      <c r="P794" s="146">
        <v>65680.47337</v>
      </c>
      <c r="Q794" s="146">
        <v>71005.91716</v>
      </c>
      <c r="R794" s="146">
        <v>76331.36095</v>
      </c>
      <c r="S794" s="146">
        <v>90532.54438</v>
      </c>
    </row>
    <row r="795">
      <c r="A795" s="145">
        <v>49.0</v>
      </c>
      <c r="B795" s="145">
        <f t="shared" si="1"/>
        <v>15827</v>
      </c>
      <c r="C795" s="145">
        <v>95857.98817</v>
      </c>
      <c r="D795" s="145">
        <v>104733.7278</v>
      </c>
      <c r="E795" s="146">
        <v>101183.432</v>
      </c>
      <c r="F795" s="148">
        <v>88757.39645</v>
      </c>
      <c r="G795" s="145">
        <v>101183.432</v>
      </c>
      <c r="H795" s="145">
        <v>143786.9822</v>
      </c>
      <c r="I795" s="146">
        <v>111834.3195</v>
      </c>
      <c r="J795" s="148">
        <v>120710.0592</v>
      </c>
      <c r="K795" s="145">
        <v>124260.355</v>
      </c>
      <c r="L795" s="145">
        <v>131360.9467</v>
      </c>
      <c r="M795" s="145">
        <v>110059.1716</v>
      </c>
      <c r="N795" s="145">
        <v>94082.84024</v>
      </c>
      <c r="O795" s="148">
        <v>83431.95266</v>
      </c>
      <c r="P795" s="146">
        <v>65680.47337</v>
      </c>
      <c r="Q795" s="146">
        <v>71005.91716</v>
      </c>
      <c r="R795" s="146">
        <v>76331.36095</v>
      </c>
      <c r="S795" s="146">
        <v>90532.54438</v>
      </c>
    </row>
    <row r="796">
      <c r="A796" s="145">
        <v>49.063</v>
      </c>
      <c r="B796" s="145">
        <f t="shared" si="1"/>
        <v>15847.349</v>
      </c>
      <c r="C796" s="145">
        <v>95857.98817</v>
      </c>
      <c r="D796" s="145">
        <v>104733.7278</v>
      </c>
      <c r="E796" s="146">
        <v>101183.432</v>
      </c>
      <c r="F796" s="148">
        <v>88757.39645</v>
      </c>
      <c r="G796" s="145">
        <v>101183.432</v>
      </c>
      <c r="H796" s="145">
        <v>143786.9822</v>
      </c>
      <c r="I796" s="146">
        <v>111834.3195</v>
      </c>
      <c r="J796" s="148">
        <v>120710.0592</v>
      </c>
      <c r="K796" s="145">
        <v>124260.355</v>
      </c>
      <c r="L796" s="145">
        <v>131360.9467</v>
      </c>
      <c r="M796" s="145">
        <v>110059.1716</v>
      </c>
      <c r="N796" s="145">
        <v>94082.84024</v>
      </c>
      <c r="O796" s="148">
        <v>83431.95266</v>
      </c>
      <c r="P796" s="146">
        <v>65680.47337</v>
      </c>
      <c r="Q796" s="146">
        <v>71005.91716</v>
      </c>
      <c r="R796" s="146">
        <v>76331.36095</v>
      </c>
      <c r="S796" s="146">
        <v>90532.54438</v>
      </c>
    </row>
    <row r="797">
      <c r="A797" s="145">
        <v>49.125</v>
      </c>
      <c r="B797" s="145">
        <f t="shared" si="1"/>
        <v>15867.375</v>
      </c>
      <c r="C797" s="145">
        <v>95857.98817</v>
      </c>
      <c r="D797" s="145">
        <v>106508.8757</v>
      </c>
      <c r="E797" s="146">
        <v>101183.432</v>
      </c>
      <c r="F797" s="148">
        <v>88757.39645</v>
      </c>
      <c r="G797" s="145">
        <v>101183.432</v>
      </c>
      <c r="H797" s="145">
        <v>143786.9822</v>
      </c>
      <c r="I797" s="146">
        <v>111834.3195</v>
      </c>
      <c r="J797" s="148">
        <v>120710.0592</v>
      </c>
      <c r="K797" s="145">
        <v>124260.355</v>
      </c>
      <c r="L797" s="145">
        <v>131360.9467</v>
      </c>
      <c r="M797" s="145">
        <v>110059.1716</v>
      </c>
      <c r="N797" s="145">
        <v>94082.84024</v>
      </c>
      <c r="O797" s="148">
        <v>85207.10059</v>
      </c>
      <c r="P797" s="146">
        <v>65680.47337</v>
      </c>
      <c r="Q797" s="146">
        <v>71005.91716</v>
      </c>
      <c r="R797" s="146">
        <v>76331.36095</v>
      </c>
      <c r="S797" s="146">
        <v>90532.54438</v>
      </c>
    </row>
    <row r="798">
      <c r="A798" s="145">
        <v>49.188</v>
      </c>
      <c r="B798" s="145">
        <f t="shared" si="1"/>
        <v>15887.724</v>
      </c>
      <c r="C798" s="145">
        <v>95857.98817</v>
      </c>
      <c r="D798" s="145">
        <v>106508.8757</v>
      </c>
      <c r="E798" s="146">
        <v>101183.432</v>
      </c>
      <c r="F798" s="148">
        <v>88757.39645</v>
      </c>
      <c r="G798" s="145">
        <v>101183.432</v>
      </c>
      <c r="H798" s="145">
        <v>143786.9822</v>
      </c>
      <c r="I798" s="146">
        <v>111834.3195</v>
      </c>
      <c r="J798" s="148">
        <v>120710.0592</v>
      </c>
      <c r="K798" s="145">
        <v>124260.355</v>
      </c>
      <c r="L798" s="145">
        <v>131360.9467</v>
      </c>
      <c r="M798" s="145">
        <v>110059.1716</v>
      </c>
      <c r="N798" s="145">
        <v>94082.84024</v>
      </c>
      <c r="O798" s="148">
        <v>85207.10059</v>
      </c>
      <c r="P798" s="146">
        <v>65680.47337</v>
      </c>
      <c r="Q798" s="146">
        <v>71005.91716</v>
      </c>
      <c r="R798" s="146">
        <v>76331.36095</v>
      </c>
      <c r="S798" s="146">
        <v>90532.54438</v>
      </c>
    </row>
    <row r="799">
      <c r="A799" s="145">
        <v>49.25</v>
      </c>
      <c r="B799" s="145">
        <f t="shared" si="1"/>
        <v>15907.75</v>
      </c>
      <c r="C799" s="145">
        <v>97633.1361</v>
      </c>
      <c r="D799" s="145">
        <v>106508.8757</v>
      </c>
      <c r="E799" s="146">
        <v>102958.5799</v>
      </c>
      <c r="F799" s="148">
        <v>88757.39645</v>
      </c>
      <c r="G799" s="145">
        <v>101183.432</v>
      </c>
      <c r="H799" s="145">
        <v>143786.9822</v>
      </c>
      <c r="I799" s="146">
        <v>111834.3195</v>
      </c>
      <c r="J799" s="148">
        <v>120710.0592</v>
      </c>
      <c r="K799" s="145">
        <v>124260.355</v>
      </c>
      <c r="L799" s="145">
        <v>131360.9467</v>
      </c>
      <c r="M799" s="145">
        <v>110059.1716</v>
      </c>
      <c r="N799" s="145">
        <v>94082.84024</v>
      </c>
      <c r="O799" s="148">
        <v>85207.10059</v>
      </c>
      <c r="P799" s="146">
        <v>67455.6213</v>
      </c>
      <c r="Q799" s="146">
        <v>71005.91716</v>
      </c>
      <c r="R799" s="146">
        <v>76331.36095</v>
      </c>
      <c r="S799" s="146">
        <v>90532.54438</v>
      </c>
    </row>
    <row r="800">
      <c r="A800" s="145">
        <v>49.313</v>
      </c>
      <c r="B800" s="145">
        <f t="shared" si="1"/>
        <v>15928.099</v>
      </c>
      <c r="C800" s="145">
        <v>97633.1361</v>
      </c>
      <c r="D800" s="145">
        <v>106508.8757</v>
      </c>
      <c r="E800" s="146">
        <v>102958.5799</v>
      </c>
      <c r="F800" s="148">
        <v>88757.39645</v>
      </c>
      <c r="G800" s="145">
        <v>101183.432</v>
      </c>
      <c r="H800" s="145">
        <v>143786.9822</v>
      </c>
      <c r="I800" s="146">
        <v>111834.3195</v>
      </c>
      <c r="J800" s="148">
        <v>120710.0592</v>
      </c>
      <c r="K800" s="145">
        <v>124260.355</v>
      </c>
      <c r="L800" s="145">
        <v>131360.9467</v>
      </c>
      <c r="M800" s="145">
        <v>110059.1716</v>
      </c>
      <c r="N800" s="145">
        <v>94082.84024</v>
      </c>
      <c r="O800" s="148">
        <v>85207.10059</v>
      </c>
      <c r="P800" s="146">
        <v>67455.6213</v>
      </c>
      <c r="Q800" s="146">
        <v>71005.91716</v>
      </c>
      <c r="R800" s="146">
        <v>76331.36095</v>
      </c>
      <c r="S800" s="146">
        <v>90532.54438</v>
      </c>
    </row>
    <row r="801">
      <c r="A801" s="145">
        <v>49.391</v>
      </c>
      <c r="B801" s="145">
        <f t="shared" si="1"/>
        <v>15953.293</v>
      </c>
      <c r="C801" s="145">
        <v>97633.1361</v>
      </c>
      <c r="D801" s="145">
        <v>106508.8757</v>
      </c>
      <c r="E801" s="146">
        <v>102958.5799</v>
      </c>
      <c r="F801" s="148">
        <v>88757.39645</v>
      </c>
      <c r="G801" s="145">
        <v>101183.432</v>
      </c>
      <c r="H801" s="145">
        <v>143786.9822</v>
      </c>
      <c r="I801" s="146">
        <v>111834.3195</v>
      </c>
      <c r="J801" s="148">
        <v>120710.0592</v>
      </c>
      <c r="K801" s="145">
        <v>124260.355</v>
      </c>
      <c r="L801" s="145">
        <v>131360.9467</v>
      </c>
      <c r="M801" s="145">
        <v>110059.1716</v>
      </c>
      <c r="N801" s="145">
        <v>94082.84024</v>
      </c>
      <c r="O801" s="148">
        <v>85207.10059</v>
      </c>
      <c r="P801" s="146">
        <v>67455.6213</v>
      </c>
      <c r="Q801" s="146">
        <v>71005.91716</v>
      </c>
      <c r="R801" s="146">
        <v>76331.36095</v>
      </c>
      <c r="S801" s="146">
        <v>90532.54438</v>
      </c>
    </row>
    <row r="802">
      <c r="A802" s="145">
        <v>49.438</v>
      </c>
      <c r="B802" s="145">
        <f t="shared" si="1"/>
        <v>15968.474</v>
      </c>
      <c r="C802" s="145">
        <v>97633.1361</v>
      </c>
      <c r="D802" s="145">
        <v>106508.8757</v>
      </c>
      <c r="E802" s="146">
        <v>102958.5799</v>
      </c>
      <c r="F802" s="148">
        <v>88757.39645</v>
      </c>
      <c r="G802" s="145">
        <v>101183.432</v>
      </c>
      <c r="H802" s="145">
        <v>143786.9822</v>
      </c>
      <c r="I802" s="146">
        <v>111834.3195</v>
      </c>
      <c r="J802" s="148">
        <v>120710.0592</v>
      </c>
      <c r="K802" s="145">
        <v>124260.355</v>
      </c>
      <c r="L802" s="145">
        <v>131360.9467</v>
      </c>
      <c r="M802" s="145">
        <v>110059.1716</v>
      </c>
      <c r="N802" s="145">
        <v>94082.84024</v>
      </c>
      <c r="O802" s="148">
        <v>85207.10059</v>
      </c>
      <c r="P802" s="146">
        <v>67455.6213</v>
      </c>
      <c r="Q802" s="146">
        <v>71005.91716</v>
      </c>
      <c r="R802" s="146">
        <v>76331.36095</v>
      </c>
      <c r="S802" s="146">
        <v>90532.54438</v>
      </c>
    </row>
    <row r="803">
      <c r="A803" s="145">
        <v>49.5</v>
      </c>
      <c r="B803" s="145">
        <f t="shared" si="1"/>
        <v>15988.5</v>
      </c>
      <c r="C803" s="145">
        <v>97633.1361</v>
      </c>
      <c r="D803" s="145">
        <v>106508.8757</v>
      </c>
      <c r="E803" s="146">
        <v>102958.5799</v>
      </c>
      <c r="F803" s="148">
        <v>88757.39645</v>
      </c>
      <c r="G803" s="145">
        <v>101183.432</v>
      </c>
      <c r="H803" s="145">
        <v>143786.9822</v>
      </c>
      <c r="I803" s="146">
        <v>111834.3195</v>
      </c>
      <c r="J803" s="148">
        <v>120710.0592</v>
      </c>
      <c r="K803" s="145">
        <v>124260.355</v>
      </c>
      <c r="L803" s="145">
        <v>131360.9467</v>
      </c>
      <c r="M803" s="145">
        <v>110059.1716</v>
      </c>
      <c r="N803" s="145">
        <v>94082.84024</v>
      </c>
      <c r="O803" s="148">
        <v>85207.10059</v>
      </c>
      <c r="P803" s="146">
        <v>67455.6213</v>
      </c>
      <c r="Q803" s="146">
        <v>71005.91716</v>
      </c>
      <c r="R803" s="146">
        <v>76331.36095</v>
      </c>
      <c r="S803" s="146">
        <v>90532.54438</v>
      </c>
    </row>
    <row r="804">
      <c r="A804" s="145">
        <v>49.563</v>
      </c>
      <c r="B804" s="145">
        <f t="shared" si="1"/>
        <v>16008.849</v>
      </c>
      <c r="C804" s="145">
        <v>97633.1361</v>
      </c>
      <c r="D804" s="145">
        <v>106508.8757</v>
      </c>
      <c r="E804" s="146">
        <v>102958.5799</v>
      </c>
      <c r="F804" s="148">
        <v>88757.39645</v>
      </c>
      <c r="G804" s="145">
        <v>101183.432</v>
      </c>
      <c r="H804" s="145">
        <v>143786.9822</v>
      </c>
      <c r="I804" s="146">
        <v>111834.3195</v>
      </c>
      <c r="J804" s="148">
        <v>120710.0592</v>
      </c>
      <c r="K804" s="145">
        <v>124260.355</v>
      </c>
      <c r="L804" s="145">
        <v>131360.9467</v>
      </c>
      <c r="M804" s="145">
        <v>110059.1716</v>
      </c>
      <c r="N804" s="145">
        <v>94082.84024</v>
      </c>
      <c r="O804" s="148">
        <v>85207.10059</v>
      </c>
      <c r="P804" s="146">
        <v>67455.6213</v>
      </c>
      <c r="Q804" s="146">
        <v>71005.91716</v>
      </c>
      <c r="R804" s="146">
        <v>76331.36095</v>
      </c>
      <c r="S804" s="146">
        <v>90532.54438</v>
      </c>
    </row>
    <row r="805">
      <c r="A805" s="145">
        <v>49.625</v>
      </c>
      <c r="B805" s="145">
        <f t="shared" si="1"/>
        <v>16028.875</v>
      </c>
      <c r="C805" s="145">
        <v>97633.1361</v>
      </c>
      <c r="D805" s="145">
        <v>106508.8757</v>
      </c>
      <c r="E805" s="146">
        <v>102958.5799</v>
      </c>
      <c r="F805" s="148">
        <v>88757.39645</v>
      </c>
      <c r="G805" s="145">
        <v>102958.5799</v>
      </c>
      <c r="H805" s="145">
        <v>147337.2781</v>
      </c>
      <c r="I805" s="146">
        <v>111834.3195</v>
      </c>
      <c r="J805" s="148">
        <v>120710.0592</v>
      </c>
      <c r="K805" s="145">
        <v>124260.355</v>
      </c>
      <c r="L805" s="145">
        <v>131360.9467</v>
      </c>
      <c r="M805" s="145">
        <v>110059.1716</v>
      </c>
      <c r="N805" s="145">
        <v>94082.84024</v>
      </c>
      <c r="O805" s="148">
        <v>85207.10059</v>
      </c>
      <c r="P805" s="146">
        <v>67455.6213</v>
      </c>
      <c r="Q805" s="146">
        <v>71005.91716</v>
      </c>
      <c r="R805" s="146">
        <v>76331.36095</v>
      </c>
      <c r="S805" s="146">
        <v>90532.54438</v>
      </c>
    </row>
    <row r="806">
      <c r="A806" s="145">
        <v>49.688</v>
      </c>
      <c r="B806" s="145">
        <f t="shared" si="1"/>
        <v>16049.224</v>
      </c>
      <c r="C806" s="145">
        <v>97633.1361</v>
      </c>
      <c r="D806" s="145">
        <v>106508.8757</v>
      </c>
      <c r="E806" s="146">
        <v>102958.5799</v>
      </c>
      <c r="F806" s="148">
        <v>88757.39645</v>
      </c>
      <c r="G806" s="145">
        <v>104733.7278</v>
      </c>
      <c r="H806" s="145">
        <v>147337.2781</v>
      </c>
      <c r="I806" s="146">
        <v>111834.3195</v>
      </c>
      <c r="J806" s="148">
        <v>120710.0592</v>
      </c>
      <c r="K806" s="145">
        <v>124260.355</v>
      </c>
      <c r="L806" s="145">
        <v>131360.9467</v>
      </c>
      <c r="M806" s="145">
        <v>110059.1716</v>
      </c>
      <c r="N806" s="145">
        <v>94082.84024</v>
      </c>
      <c r="O806" s="148">
        <v>85207.10059</v>
      </c>
      <c r="P806" s="146">
        <v>67455.6213</v>
      </c>
      <c r="Q806" s="146">
        <v>71005.91716</v>
      </c>
      <c r="R806" s="146">
        <v>76331.36095</v>
      </c>
      <c r="S806" s="146">
        <v>90532.54438</v>
      </c>
    </row>
    <row r="807">
      <c r="A807" s="145">
        <v>49.75</v>
      </c>
      <c r="B807" s="145">
        <f t="shared" si="1"/>
        <v>16069.25</v>
      </c>
      <c r="C807" s="145">
        <v>97633.1361</v>
      </c>
      <c r="D807" s="145">
        <v>106508.8757</v>
      </c>
      <c r="E807" s="146">
        <v>102958.5799</v>
      </c>
      <c r="F807" s="148">
        <v>88757.39645</v>
      </c>
      <c r="G807" s="145">
        <v>104733.7278</v>
      </c>
      <c r="H807" s="145">
        <v>147337.2781</v>
      </c>
      <c r="I807" s="146">
        <v>111834.3195</v>
      </c>
      <c r="J807" s="148">
        <v>120710.0592</v>
      </c>
      <c r="K807" s="145">
        <v>124260.355</v>
      </c>
      <c r="L807" s="145">
        <v>131360.9467</v>
      </c>
      <c r="M807" s="145">
        <v>110059.1716</v>
      </c>
      <c r="N807" s="145">
        <v>94082.84024</v>
      </c>
      <c r="O807" s="148">
        <v>85207.10059</v>
      </c>
      <c r="P807" s="146">
        <v>67455.6213</v>
      </c>
      <c r="Q807" s="146">
        <v>72781.06509</v>
      </c>
      <c r="R807" s="146">
        <v>76331.36095</v>
      </c>
      <c r="S807" s="146">
        <v>92307.69231</v>
      </c>
    </row>
    <row r="808">
      <c r="A808" s="145">
        <v>49.829</v>
      </c>
      <c r="B808" s="145">
        <f t="shared" si="1"/>
        <v>16094.767</v>
      </c>
      <c r="C808" s="145">
        <v>97633.1361</v>
      </c>
      <c r="D808" s="145">
        <v>106508.8757</v>
      </c>
      <c r="E808" s="146">
        <v>102958.5799</v>
      </c>
      <c r="F808" s="148">
        <v>88757.39645</v>
      </c>
      <c r="G808" s="145">
        <v>104733.7278</v>
      </c>
      <c r="H808" s="145">
        <v>147337.2781</v>
      </c>
      <c r="I808" s="146">
        <v>113609.4675</v>
      </c>
      <c r="J808" s="148">
        <v>120710.0592</v>
      </c>
      <c r="K808" s="145">
        <v>124260.355</v>
      </c>
      <c r="L808" s="145">
        <v>131360.9467</v>
      </c>
      <c r="M808" s="145">
        <v>110059.1716</v>
      </c>
      <c r="N808" s="145">
        <v>94082.84024</v>
      </c>
      <c r="O808" s="148">
        <v>85207.10059</v>
      </c>
      <c r="P808" s="146">
        <v>67455.6213</v>
      </c>
      <c r="Q808" s="146">
        <v>72781.06509</v>
      </c>
      <c r="R808" s="146">
        <v>76331.36095</v>
      </c>
      <c r="S808" s="146">
        <v>92307.69231</v>
      </c>
    </row>
    <row r="809">
      <c r="A809" s="145">
        <v>49.875</v>
      </c>
      <c r="B809" s="145">
        <f t="shared" si="1"/>
        <v>16109.625</v>
      </c>
      <c r="C809" s="145">
        <v>97633.1361</v>
      </c>
      <c r="D809" s="145">
        <v>106508.8757</v>
      </c>
      <c r="E809" s="146">
        <v>104733.7278</v>
      </c>
      <c r="F809" s="148">
        <v>88757.39645</v>
      </c>
      <c r="G809" s="145">
        <v>104733.7278</v>
      </c>
      <c r="H809" s="145">
        <v>147337.2781</v>
      </c>
      <c r="I809" s="146">
        <v>113609.4675</v>
      </c>
      <c r="J809" s="148">
        <v>120710.0592</v>
      </c>
      <c r="K809" s="145">
        <v>124260.355</v>
      </c>
      <c r="L809" s="145">
        <v>131360.9467</v>
      </c>
      <c r="M809" s="145">
        <v>110059.1716</v>
      </c>
      <c r="N809" s="145">
        <v>95857.98817</v>
      </c>
      <c r="O809" s="148">
        <v>85207.10059</v>
      </c>
      <c r="P809" s="146">
        <v>67455.6213</v>
      </c>
      <c r="Q809" s="146">
        <v>72781.06509</v>
      </c>
      <c r="R809" s="146">
        <v>76331.36095</v>
      </c>
      <c r="S809" s="146">
        <v>92307.69231</v>
      </c>
    </row>
    <row r="810">
      <c r="A810" s="145">
        <v>49.938</v>
      </c>
      <c r="B810" s="145">
        <f t="shared" si="1"/>
        <v>16129.974</v>
      </c>
      <c r="C810" s="145">
        <v>97633.1361</v>
      </c>
      <c r="D810" s="145">
        <v>106508.8757</v>
      </c>
      <c r="E810" s="146">
        <v>104733.7278</v>
      </c>
      <c r="F810" s="148">
        <v>88757.39645</v>
      </c>
      <c r="G810" s="145">
        <v>104733.7278</v>
      </c>
      <c r="H810" s="145">
        <v>147337.2781</v>
      </c>
      <c r="I810" s="146">
        <v>113609.4675</v>
      </c>
      <c r="J810" s="148">
        <v>126035.503</v>
      </c>
      <c r="K810" s="145">
        <v>127810.6509</v>
      </c>
      <c r="L810" s="145">
        <v>131360.9467</v>
      </c>
      <c r="M810" s="145">
        <v>110059.1716</v>
      </c>
      <c r="N810" s="145">
        <v>95857.98817</v>
      </c>
      <c r="O810" s="148">
        <v>85207.10059</v>
      </c>
      <c r="P810" s="146">
        <v>67455.6213</v>
      </c>
      <c r="Q810" s="146">
        <v>72781.06509</v>
      </c>
      <c r="R810" s="146">
        <v>76331.36095</v>
      </c>
      <c r="S810" s="146">
        <v>92307.69231</v>
      </c>
    </row>
    <row r="811">
      <c r="A811" s="145">
        <v>50.0</v>
      </c>
      <c r="B811" s="145">
        <f t="shared" si="1"/>
        <v>16150</v>
      </c>
      <c r="C811" s="145">
        <v>97633.1361</v>
      </c>
      <c r="D811" s="145">
        <v>106508.8757</v>
      </c>
      <c r="E811" s="146">
        <v>104733.7278</v>
      </c>
      <c r="F811" s="148">
        <v>90532.54438</v>
      </c>
      <c r="G811" s="145">
        <v>104733.7278</v>
      </c>
      <c r="H811" s="145">
        <v>147337.2781</v>
      </c>
      <c r="I811" s="146">
        <v>113609.4675</v>
      </c>
      <c r="J811" s="148">
        <v>126035.503</v>
      </c>
      <c r="K811" s="145">
        <v>127810.6509</v>
      </c>
      <c r="L811" s="145">
        <v>131360.9467</v>
      </c>
      <c r="M811" s="145">
        <v>110059.1716</v>
      </c>
      <c r="N811" s="145">
        <v>95857.98817</v>
      </c>
      <c r="O811" s="148">
        <v>85207.10059</v>
      </c>
      <c r="P811" s="146">
        <v>67455.6213</v>
      </c>
      <c r="Q811" s="146">
        <v>72781.06509</v>
      </c>
      <c r="R811" s="146">
        <v>76331.36095</v>
      </c>
      <c r="S811" s="146">
        <v>92307.69231</v>
      </c>
    </row>
    <row r="812">
      <c r="A812" s="145">
        <v>50.079</v>
      </c>
      <c r="B812" s="145">
        <f t="shared" si="1"/>
        <v>16175.517</v>
      </c>
      <c r="C812" s="145">
        <v>97633.1361</v>
      </c>
      <c r="D812" s="145">
        <v>106508.8757</v>
      </c>
      <c r="E812" s="146">
        <v>104733.7278</v>
      </c>
      <c r="F812" s="148">
        <v>90532.54438</v>
      </c>
      <c r="G812" s="145">
        <v>104733.7278</v>
      </c>
      <c r="H812" s="145">
        <v>147337.2781</v>
      </c>
      <c r="I812" s="146">
        <v>113609.4675</v>
      </c>
      <c r="J812" s="148">
        <v>126035.503</v>
      </c>
      <c r="K812" s="145">
        <v>127810.6509</v>
      </c>
      <c r="L812" s="145">
        <v>131360.9467</v>
      </c>
      <c r="M812" s="145">
        <v>110059.1716</v>
      </c>
      <c r="N812" s="145">
        <v>95857.98817</v>
      </c>
      <c r="O812" s="148">
        <v>85207.10059</v>
      </c>
      <c r="P812" s="146">
        <v>67455.6213</v>
      </c>
      <c r="Q812" s="146">
        <v>72781.06509</v>
      </c>
      <c r="R812" s="146">
        <v>76331.36095</v>
      </c>
      <c r="S812" s="146">
        <v>92307.69231</v>
      </c>
    </row>
    <row r="813">
      <c r="A813" s="145">
        <v>50.125</v>
      </c>
      <c r="B813" s="145">
        <f t="shared" si="1"/>
        <v>16190.375</v>
      </c>
      <c r="C813" s="145">
        <v>99408.28402</v>
      </c>
      <c r="D813" s="145">
        <v>106508.8757</v>
      </c>
      <c r="E813" s="146">
        <v>104733.7278</v>
      </c>
      <c r="F813" s="148">
        <v>90532.54438</v>
      </c>
      <c r="G813" s="145">
        <v>104733.7278</v>
      </c>
      <c r="H813" s="145">
        <v>147337.2781</v>
      </c>
      <c r="I813" s="146">
        <v>113609.4675</v>
      </c>
      <c r="J813" s="148">
        <v>126035.503</v>
      </c>
      <c r="K813" s="145">
        <v>127810.6509</v>
      </c>
      <c r="L813" s="145">
        <v>134911.2426</v>
      </c>
      <c r="M813" s="145">
        <v>110059.1716</v>
      </c>
      <c r="N813" s="145">
        <v>95857.98817</v>
      </c>
      <c r="O813" s="148">
        <v>85207.10059</v>
      </c>
      <c r="P813" s="148">
        <v>67455.6213</v>
      </c>
      <c r="Q813" s="146">
        <v>72781.06509</v>
      </c>
      <c r="R813" s="148">
        <v>76331.36095</v>
      </c>
      <c r="S813" s="148">
        <v>92307.69231</v>
      </c>
    </row>
    <row r="814">
      <c r="A814" s="145">
        <v>50.188</v>
      </c>
      <c r="B814" s="145">
        <f t="shared" si="1"/>
        <v>16210.724</v>
      </c>
      <c r="C814" s="145">
        <v>99408.28402</v>
      </c>
      <c r="D814" s="145">
        <v>106508.8757</v>
      </c>
      <c r="E814" s="146">
        <v>104733.7278</v>
      </c>
      <c r="F814" s="148">
        <v>90532.54438</v>
      </c>
      <c r="G814" s="145">
        <v>104733.7278</v>
      </c>
      <c r="H814" s="145">
        <v>147337.2781</v>
      </c>
      <c r="I814" s="146">
        <v>113609.4675</v>
      </c>
      <c r="J814" s="148">
        <v>126035.503</v>
      </c>
      <c r="K814" s="145">
        <v>127810.6509</v>
      </c>
      <c r="L814" s="145">
        <v>134911.2426</v>
      </c>
      <c r="M814" s="145">
        <v>110059.1716</v>
      </c>
      <c r="N814" s="145">
        <v>95857.98817</v>
      </c>
      <c r="O814" s="148">
        <v>85207.10059</v>
      </c>
      <c r="P814" s="148">
        <v>67455.6213</v>
      </c>
      <c r="Q814" s="146">
        <v>72781.06509</v>
      </c>
      <c r="R814" s="148">
        <v>76331.36095</v>
      </c>
      <c r="S814" s="148">
        <v>92307.69231</v>
      </c>
    </row>
    <row r="815">
      <c r="A815" s="145">
        <v>50.25</v>
      </c>
      <c r="B815" s="145">
        <f t="shared" si="1"/>
        <v>16230.75</v>
      </c>
      <c r="C815" s="145">
        <v>99408.28402</v>
      </c>
      <c r="D815" s="145">
        <v>106508.8757</v>
      </c>
      <c r="E815" s="146">
        <v>104733.7278</v>
      </c>
      <c r="F815" s="148">
        <v>90532.54438</v>
      </c>
      <c r="G815" s="145">
        <v>104733.7278</v>
      </c>
      <c r="H815" s="145">
        <v>147337.2781</v>
      </c>
      <c r="I815" s="146">
        <v>113609.4675</v>
      </c>
      <c r="J815" s="148">
        <v>126035.503</v>
      </c>
      <c r="K815" s="145">
        <v>127810.6509</v>
      </c>
      <c r="L815" s="145">
        <v>134911.2426</v>
      </c>
      <c r="M815" s="145">
        <v>110059.1716</v>
      </c>
      <c r="N815" s="145">
        <v>95857.98817</v>
      </c>
      <c r="O815" s="148">
        <v>85207.10059</v>
      </c>
      <c r="P815" s="148">
        <v>67455.6213</v>
      </c>
      <c r="Q815" s="146">
        <v>72781.06509</v>
      </c>
      <c r="R815" s="148">
        <v>76331.36095</v>
      </c>
      <c r="S815" s="148">
        <v>92307.69231</v>
      </c>
    </row>
    <row r="816">
      <c r="A816" s="145">
        <v>50.313</v>
      </c>
      <c r="B816" s="145">
        <f t="shared" si="1"/>
        <v>16251.099</v>
      </c>
      <c r="C816" s="145">
        <v>99408.28402</v>
      </c>
      <c r="D816" s="145">
        <v>106508.8757</v>
      </c>
      <c r="E816" s="146">
        <v>104733.7278</v>
      </c>
      <c r="F816" s="148">
        <v>90532.54438</v>
      </c>
      <c r="G816" s="145">
        <v>104733.7278</v>
      </c>
      <c r="H816" s="145">
        <v>147337.2781</v>
      </c>
      <c r="I816" s="146">
        <v>113609.4675</v>
      </c>
      <c r="J816" s="148">
        <v>126035.503</v>
      </c>
      <c r="K816" s="145">
        <v>127810.6509</v>
      </c>
      <c r="L816" s="145">
        <v>134911.2426</v>
      </c>
      <c r="M816" s="145">
        <v>110059.1716</v>
      </c>
      <c r="N816" s="145">
        <v>95857.98817</v>
      </c>
      <c r="O816" s="148">
        <v>85207.10059</v>
      </c>
      <c r="P816" s="148">
        <v>67455.6213</v>
      </c>
      <c r="Q816" s="146">
        <v>72781.06509</v>
      </c>
      <c r="R816" s="148">
        <v>76331.36095</v>
      </c>
      <c r="S816" s="148">
        <v>92307.69231</v>
      </c>
    </row>
    <row r="817">
      <c r="A817" s="145">
        <v>50.375</v>
      </c>
      <c r="B817" s="145">
        <f t="shared" si="1"/>
        <v>16271.125</v>
      </c>
      <c r="C817" s="145">
        <v>99408.28402</v>
      </c>
      <c r="D817" s="145">
        <v>106508.8757</v>
      </c>
      <c r="E817" s="146">
        <v>104733.7278</v>
      </c>
      <c r="F817" s="148">
        <v>90532.54438</v>
      </c>
      <c r="G817" s="145">
        <v>104733.7278</v>
      </c>
      <c r="H817" s="145">
        <v>147337.2781</v>
      </c>
      <c r="I817" s="146">
        <v>113609.4675</v>
      </c>
      <c r="J817" s="148">
        <v>126035.503</v>
      </c>
      <c r="K817" s="145">
        <v>127810.6509</v>
      </c>
      <c r="L817" s="145">
        <v>134911.2426</v>
      </c>
      <c r="M817" s="145">
        <v>110059.1716</v>
      </c>
      <c r="N817" s="145">
        <v>95857.98817</v>
      </c>
      <c r="O817" s="148">
        <v>85207.10059</v>
      </c>
      <c r="P817" s="148">
        <v>67455.6213</v>
      </c>
      <c r="Q817" s="146">
        <v>72781.06509</v>
      </c>
      <c r="R817" s="148">
        <v>76331.36095</v>
      </c>
      <c r="S817" s="148">
        <v>92307.69231</v>
      </c>
    </row>
    <row r="818">
      <c r="A818" s="145">
        <v>50.438</v>
      </c>
      <c r="B818" s="145">
        <f t="shared" si="1"/>
        <v>16291.474</v>
      </c>
      <c r="C818" s="145">
        <v>99408.28402</v>
      </c>
      <c r="D818" s="145">
        <v>108284.0237</v>
      </c>
      <c r="E818" s="146">
        <v>104733.7278</v>
      </c>
      <c r="F818" s="148">
        <v>90532.54438</v>
      </c>
      <c r="G818" s="145">
        <v>104733.7278</v>
      </c>
      <c r="H818" s="145">
        <v>147337.2781</v>
      </c>
      <c r="I818" s="146">
        <v>113609.4675</v>
      </c>
      <c r="J818" s="148">
        <v>126035.503</v>
      </c>
      <c r="K818" s="145">
        <v>127810.6509</v>
      </c>
      <c r="L818" s="145">
        <v>134911.2426</v>
      </c>
      <c r="M818" s="145">
        <v>110059.1716</v>
      </c>
      <c r="N818" s="145">
        <v>95857.98817</v>
      </c>
      <c r="O818" s="148">
        <v>85207.10059</v>
      </c>
      <c r="P818" s="148">
        <v>67455.6213</v>
      </c>
      <c r="Q818" s="146">
        <v>74556.21302</v>
      </c>
      <c r="R818" s="148">
        <v>76331.36095</v>
      </c>
      <c r="S818" s="148">
        <v>92307.69231</v>
      </c>
    </row>
    <row r="819">
      <c r="A819" s="145">
        <v>50.5</v>
      </c>
      <c r="B819" s="145">
        <f t="shared" si="1"/>
        <v>16311.5</v>
      </c>
      <c r="C819" s="145">
        <v>99408.28402</v>
      </c>
      <c r="D819" s="145">
        <v>108284.0237</v>
      </c>
      <c r="E819" s="146">
        <v>104733.7278</v>
      </c>
      <c r="F819" s="148">
        <v>90532.54438</v>
      </c>
      <c r="G819" s="145">
        <v>104733.7278</v>
      </c>
      <c r="H819" s="145">
        <v>147337.2781</v>
      </c>
      <c r="I819" s="146">
        <v>113609.4675</v>
      </c>
      <c r="J819" s="148">
        <v>126035.503</v>
      </c>
      <c r="K819" s="145">
        <v>127810.6509</v>
      </c>
      <c r="L819" s="145">
        <v>134911.2426</v>
      </c>
      <c r="M819" s="145">
        <v>110059.1716</v>
      </c>
      <c r="N819" s="145">
        <v>95857.98817</v>
      </c>
      <c r="O819" s="148">
        <v>85207.10059</v>
      </c>
      <c r="P819" s="148">
        <v>67455.6213</v>
      </c>
      <c r="Q819" s="146">
        <v>74556.21302</v>
      </c>
      <c r="R819" s="148">
        <v>76331.36095</v>
      </c>
      <c r="S819" s="148">
        <v>94082.84024</v>
      </c>
    </row>
    <row r="820">
      <c r="A820" s="145">
        <v>50.563</v>
      </c>
      <c r="B820" s="145">
        <f t="shared" si="1"/>
        <v>16331.849</v>
      </c>
      <c r="C820" s="145">
        <v>99408.28402</v>
      </c>
      <c r="D820" s="145">
        <v>108284.0237</v>
      </c>
      <c r="E820" s="146">
        <v>104733.7278</v>
      </c>
      <c r="F820" s="148">
        <v>90532.54438</v>
      </c>
      <c r="G820" s="145">
        <v>110059.1716</v>
      </c>
      <c r="H820" s="145">
        <v>147337.2781</v>
      </c>
      <c r="I820" s="146">
        <v>113609.4675</v>
      </c>
      <c r="J820" s="148">
        <v>126035.503</v>
      </c>
      <c r="K820" s="145">
        <v>127810.6509</v>
      </c>
      <c r="L820" s="145">
        <v>134911.2426</v>
      </c>
      <c r="M820" s="145">
        <v>110059.1716</v>
      </c>
      <c r="N820" s="145">
        <v>95857.98817</v>
      </c>
      <c r="O820" s="148">
        <v>85207.10059</v>
      </c>
      <c r="P820" s="148">
        <v>67455.6213</v>
      </c>
      <c r="Q820" s="146">
        <v>74556.21302</v>
      </c>
      <c r="R820" s="148">
        <v>76331.36095</v>
      </c>
      <c r="S820" s="148">
        <v>94082.84024</v>
      </c>
    </row>
    <row r="821">
      <c r="A821" s="145">
        <v>50.625</v>
      </c>
      <c r="B821" s="145">
        <f t="shared" si="1"/>
        <v>16351.875</v>
      </c>
      <c r="C821" s="145">
        <v>99408.28402</v>
      </c>
      <c r="D821" s="145">
        <v>108284.0237</v>
      </c>
      <c r="E821" s="146">
        <v>104733.7278</v>
      </c>
      <c r="F821" s="148">
        <v>90532.54438</v>
      </c>
      <c r="G821" s="145">
        <v>110059.1716</v>
      </c>
      <c r="H821" s="145">
        <v>150887.574</v>
      </c>
      <c r="I821" s="146">
        <v>113609.4675</v>
      </c>
      <c r="J821" s="148">
        <v>126035.503</v>
      </c>
      <c r="K821" s="145">
        <v>127810.6509</v>
      </c>
      <c r="L821" s="145">
        <v>134911.2426</v>
      </c>
      <c r="M821" s="145">
        <v>110059.1716</v>
      </c>
      <c r="N821" s="145">
        <v>95857.98817</v>
      </c>
      <c r="O821" s="148">
        <v>85207.10059</v>
      </c>
      <c r="P821" s="148">
        <v>67455.6213</v>
      </c>
      <c r="Q821" s="146">
        <v>74556.21302</v>
      </c>
      <c r="R821" s="148">
        <v>76331.36095</v>
      </c>
      <c r="S821" s="148">
        <v>94082.84024</v>
      </c>
    </row>
    <row r="822">
      <c r="A822" s="145">
        <v>50.688</v>
      </c>
      <c r="B822" s="145">
        <f t="shared" si="1"/>
        <v>16372.224</v>
      </c>
      <c r="C822" s="145">
        <v>99408.28402</v>
      </c>
      <c r="D822" s="145">
        <v>108284.0237</v>
      </c>
      <c r="E822" s="146">
        <v>104733.7278</v>
      </c>
      <c r="F822" s="148">
        <v>90532.54438</v>
      </c>
      <c r="G822" s="145">
        <v>110059.1716</v>
      </c>
      <c r="H822" s="145">
        <v>150887.574</v>
      </c>
      <c r="I822" s="146">
        <v>113609.4675</v>
      </c>
      <c r="J822" s="148">
        <v>126035.503</v>
      </c>
      <c r="K822" s="145">
        <v>127810.6509</v>
      </c>
      <c r="L822" s="145">
        <v>134911.2426</v>
      </c>
      <c r="M822" s="145">
        <v>110059.1716</v>
      </c>
      <c r="N822" s="145">
        <v>95857.98817</v>
      </c>
      <c r="O822" s="148">
        <v>85207.10059</v>
      </c>
      <c r="P822" s="148">
        <v>67455.6213</v>
      </c>
      <c r="Q822" s="146">
        <v>74556.21302</v>
      </c>
      <c r="R822" s="148">
        <v>78106.50888</v>
      </c>
      <c r="S822" s="148">
        <v>94082.84024</v>
      </c>
    </row>
    <row r="823">
      <c r="A823" s="145">
        <v>50.766</v>
      </c>
      <c r="B823" s="145">
        <f t="shared" si="1"/>
        <v>16397.418</v>
      </c>
      <c r="C823" s="145">
        <v>99408.28402</v>
      </c>
      <c r="D823" s="145">
        <v>108284.0237</v>
      </c>
      <c r="E823" s="146">
        <v>104733.7278</v>
      </c>
      <c r="F823" s="148">
        <v>90532.54438</v>
      </c>
      <c r="G823" s="145">
        <v>110059.1716</v>
      </c>
      <c r="H823" s="145">
        <v>150887.574</v>
      </c>
      <c r="I823" s="146">
        <v>113609.4675</v>
      </c>
      <c r="J823" s="148">
        <v>126035.503</v>
      </c>
      <c r="K823" s="145">
        <v>127810.6509</v>
      </c>
      <c r="L823" s="145">
        <v>134911.2426</v>
      </c>
      <c r="M823" s="145">
        <v>110059.1716</v>
      </c>
      <c r="N823" s="145">
        <v>95857.98817</v>
      </c>
      <c r="O823" s="148">
        <v>85207.10059</v>
      </c>
      <c r="P823" s="148">
        <v>67455.6213</v>
      </c>
      <c r="Q823" s="146">
        <v>74556.21302</v>
      </c>
      <c r="R823" s="148">
        <v>78106.50888</v>
      </c>
      <c r="S823" s="148">
        <v>94082.84024</v>
      </c>
    </row>
    <row r="824">
      <c r="A824" s="145">
        <v>50.813</v>
      </c>
      <c r="B824" s="145">
        <f t="shared" si="1"/>
        <v>16412.599</v>
      </c>
      <c r="C824" s="148">
        <v>99408.28402</v>
      </c>
      <c r="D824" s="145">
        <v>108284.0237</v>
      </c>
      <c r="E824" s="146">
        <v>104733.7278</v>
      </c>
      <c r="F824" s="148">
        <v>90532.54438</v>
      </c>
      <c r="G824" s="145">
        <v>110059.1716</v>
      </c>
      <c r="H824" s="145">
        <v>150887.574</v>
      </c>
      <c r="I824" s="146">
        <v>113609.4675</v>
      </c>
      <c r="J824" s="148">
        <v>126035.503</v>
      </c>
      <c r="K824" s="145">
        <v>127810.6509</v>
      </c>
      <c r="L824" s="145">
        <v>134911.2426</v>
      </c>
      <c r="M824" s="145">
        <v>110059.1716</v>
      </c>
      <c r="N824" s="145">
        <v>95857.98817</v>
      </c>
      <c r="O824" s="148">
        <v>85207.10059</v>
      </c>
      <c r="P824" s="148">
        <v>67455.6213</v>
      </c>
      <c r="Q824" s="146">
        <v>74556.21302</v>
      </c>
      <c r="R824" s="148">
        <v>78106.50888</v>
      </c>
      <c r="S824" s="148">
        <v>94082.84024</v>
      </c>
    </row>
    <row r="825">
      <c r="A825" s="145">
        <v>50.875</v>
      </c>
      <c r="B825" s="145">
        <f t="shared" si="1"/>
        <v>16432.625</v>
      </c>
      <c r="C825" s="148">
        <v>99408.28402</v>
      </c>
      <c r="D825" s="145">
        <v>108284.0237</v>
      </c>
      <c r="E825" s="146">
        <v>104733.7278</v>
      </c>
      <c r="F825" s="148">
        <v>90532.54438</v>
      </c>
      <c r="G825" s="145">
        <v>110059.1716</v>
      </c>
      <c r="H825" s="145">
        <v>150887.574</v>
      </c>
      <c r="I825" s="146">
        <v>113609.4675</v>
      </c>
      <c r="J825" s="148">
        <v>126035.503</v>
      </c>
      <c r="K825" s="145">
        <v>127810.6509</v>
      </c>
      <c r="L825" s="145">
        <v>134911.2426</v>
      </c>
      <c r="M825" s="145">
        <v>110059.1716</v>
      </c>
      <c r="N825" s="145">
        <v>97633.1361</v>
      </c>
      <c r="O825" s="148">
        <v>85207.10059</v>
      </c>
      <c r="P825" s="148">
        <v>69230.76923</v>
      </c>
      <c r="Q825" s="146">
        <v>74556.21302</v>
      </c>
      <c r="R825" s="148">
        <v>78106.50888</v>
      </c>
      <c r="S825" s="148">
        <v>94082.84024</v>
      </c>
    </row>
    <row r="826">
      <c r="A826" s="145">
        <v>50.938</v>
      </c>
      <c r="B826" s="145">
        <f t="shared" si="1"/>
        <v>16452.974</v>
      </c>
      <c r="C826" s="148">
        <v>99408.28402</v>
      </c>
      <c r="D826" s="145">
        <v>108284.0237</v>
      </c>
      <c r="E826" s="146">
        <v>104733.7278</v>
      </c>
      <c r="F826" s="148">
        <v>90532.54438</v>
      </c>
      <c r="G826" s="145">
        <v>110059.1716</v>
      </c>
      <c r="H826" s="145">
        <v>150887.574</v>
      </c>
      <c r="I826" s="146">
        <v>113609.4675</v>
      </c>
      <c r="J826" s="148">
        <v>126035.503</v>
      </c>
      <c r="K826" s="145">
        <v>127810.6509</v>
      </c>
      <c r="L826" s="145">
        <v>134911.2426</v>
      </c>
      <c r="M826" s="145">
        <v>110059.1716</v>
      </c>
      <c r="N826" s="145">
        <v>97633.1361</v>
      </c>
      <c r="O826" s="148">
        <v>85207.10059</v>
      </c>
      <c r="P826" s="148">
        <v>69230.76923</v>
      </c>
      <c r="Q826" s="146">
        <v>74556.21302</v>
      </c>
      <c r="R826" s="148">
        <v>78106.50888</v>
      </c>
      <c r="S826" s="148">
        <v>94082.84024</v>
      </c>
    </row>
    <row r="827">
      <c r="A827" s="145">
        <v>51.016</v>
      </c>
      <c r="B827" s="145">
        <f t="shared" si="1"/>
        <v>16478.168</v>
      </c>
      <c r="C827" s="148">
        <v>99408.28402</v>
      </c>
      <c r="D827" s="145">
        <v>108284.0237</v>
      </c>
      <c r="E827" s="146">
        <v>104733.7278</v>
      </c>
      <c r="F827" s="148">
        <v>90532.54438</v>
      </c>
      <c r="G827" s="145">
        <v>110059.1716</v>
      </c>
      <c r="H827" s="145">
        <v>150887.574</v>
      </c>
      <c r="I827" s="146">
        <v>113609.4675</v>
      </c>
      <c r="J827" s="148">
        <v>126035.503</v>
      </c>
      <c r="K827" s="145">
        <v>127810.6509</v>
      </c>
      <c r="L827" s="145">
        <v>134911.2426</v>
      </c>
      <c r="M827" s="145">
        <v>110059.1716</v>
      </c>
      <c r="N827" s="145">
        <v>97633.1361</v>
      </c>
      <c r="O827" s="148">
        <v>85207.10059</v>
      </c>
      <c r="P827" s="148">
        <v>69230.76923</v>
      </c>
      <c r="Q827" s="146">
        <v>74556.21302</v>
      </c>
      <c r="R827" s="148">
        <v>78106.50888</v>
      </c>
      <c r="S827" s="148">
        <v>94082.84024</v>
      </c>
    </row>
    <row r="828">
      <c r="A828" s="145">
        <v>51.063</v>
      </c>
      <c r="B828" s="145">
        <f t="shared" si="1"/>
        <v>16493.349</v>
      </c>
      <c r="C828" s="148">
        <v>99408.28402</v>
      </c>
      <c r="D828" s="145">
        <v>108284.0237</v>
      </c>
      <c r="E828" s="146">
        <v>104733.7278</v>
      </c>
      <c r="F828" s="148">
        <v>92307.69231</v>
      </c>
      <c r="G828" s="145">
        <v>110059.1716</v>
      </c>
      <c r="H828" s="145">
        <v>150887.574</v>
      </c>
      <c r="I828" s="146">
        <v>113609.4675</v>
      </c>
      <c r="J828" s="148">
        <v>126035.503</v>
      </c>
      <c r="K828" s="145">
        <v>127810.6509</v>
      </c>
      <c r="L828" s="145">
        <v>134911.2426</v>
      </c>
      <c r="M828" s="145">
        <v>110059.1716</v>
      </c>
      <c r="N828" s="145">
        <v>97633.1361</v>
      </c>
      <c r="O828" s="148">
        <v>85207.10059</v>
      </c>
      <c r="P828" s="148">
        <v>69230.76923</v>
      </c>
      <c r="Q828" s="146">
        <v>74556.21302</v>
      </c>
      <c r="R828" s="148">
        <v>78106.50888</v>
      </c>
      <c r="S828" s="148">
        <v>94082.84024</v>
      </c>
    </row>
    <row r="829">
      <c r="A829" s="145">
        <v>51.125</v>
      </c>
      <c r="B829" s="145">
        <f t="shared" si="1"/>
        <v>16513.375</v>
      </c>
      <c r="C829" s="148">
        <v>99408.28402</v>
      </c>
      <c r="D829" s="145">
        <v>108284.0237</v>
      </c>
      <c r="E829" s="146">
        <v>104733.7278</v>
      </c>
      <c r="F829" s="148">
        <v>92307.69231</v>
      </c>
      <c r="G829" s="145">
        <v>110059.1716</v>
      </c>
      <c r="H829" s="145">
        <v>150887.574</v>
      </c>
      <c r="I829" s="146">
        <v>113609.4675</v>
      </c>
      <c r="J829" s="148">
        <v>126035.503</v>
      </c>
      <c r="K829" s="145">
        <v>127810.6509</v>
      </c>
      <c r="L829" s="145">
        <v>134911.2426</v>
      </c>
      <c r="M829" s="145">
        <v>110059.1716</v>
      </c>
      <c r="N829" s="145">
        <v>97633.1361</v>
      </c>
      <c r="O829" s="148">
        <v>85207.10059</v>
      </c>
      <c r="P829" s="148">
        <v>69230.76923</v>
      </c>
      <c r="Q829" s="146">
        <v>74556.21302</v>
      </c>
      <c r="R829" s="148">
        <v>79881.65681</v>
      </c>
      <c r="S829" s="148">
        <v>94082.84024</v>
      </c>
    </row>
    <row r="830">
      <c r="A830" s="145">
        <v>51.188</v>
      </c>
      <c r="B830" s="145">
        <f t="shared" si="1"/>
        <v>16533.724</v>
      </c>
      <c r="C830" s="148">
        <v>99408.28402</v>
      </c>
      <c r="D830" s="145">
        <v>108284.0237</v>
      </c>
      <c r="E830" s="146">
        <v>106508.8757</v>
      </c>
      <c r="F830" s="148">
        <v>92307.69231</v>
      </c>
      <c r="G830" s="145">
        <v>110059.1716</v>
      </c>
      <c r="H830" s="145">
        <v>150887.574</v>
      </c>
      <c r="I830" s="146">
        <v>113609.4675</v>
      </c>
      <c r="J830" s="148">
        <v>126035.503</v>
      </c>
      <c r="K830" s="145">
        <v>127810.6509</v>
      </c>
      <c r="L830" s="145">
        <v>134911.2426</v>
      </c>
      <c r="M830" s="145">
        <v>110059.1716</v>
      </c>
      <c r="N830" s="145">
        <v>97633.1361</v>
      </c>
      <c r="O830" s="148">
        <v>85207.10059</v>
      </c>
      <c r="P830" s="148">
        <v>69230.76923</v>
      </c>
      <c r="Q830" s="146">
        <v>74556.21302</v>
      </c>
      <c r="R830" s="148">
        <v>79881.65681</v>
      </c>
      <c r="S830" s="148">
        <v>94082.84024</v>
      </c>
    </row>
    <row r="831">
      <c r="A831" s="145">
        <v>51.25</v>
      </c>
      <c r="B831" s="145">
        <f t="shared" si="1"/>
        <v>16553.75</v>
      </c>
      <c r="C831" s="148">
        <v>99408.28402</v>
      </c>
      <c r="D831" s="145">
        <v>108284.0237</v>
      </c>
      <c r="E831" s="146">
        <v>106508.8757</v>
      </c>
      <c r="F831" s="148">
        <v>92307.69231</v>
      </c>
      <c r="G831" s="145">
        <v>110059.1716</v>
      </c>
      <c r="H831" s="145">
        <v>150887.574</v>
      </c>
      <c r="I831" s="146">
        <v>113609.4675</v>
      </c>
      <c r="J831" s="148">
        <v>126035.503</v>
      </c>
      <c r="K831" s="145">
        <v>127810.6509</v>
      </c>
      <c r="L831" s="145">
        <v>134911.2426</v>
      </c>
      <c r="M831" s="145">
        <v>110059.1716</v>
      </c>
      <c r="N831" s="145">
        <v>97633.1361</v>
      </c>
      <c r="O831" s="148">
        <v>86982.24852</v>
      </c>
      <c r="P831" s="148">
        <v>69230.76923</v>
      </c>
      <c r="Q831" s="146">
        <v>74556.21302</v>
      </c>
      <c r="R831" s="148">
        <v>79881.65681</v>
      </c>
      <c r="S831" s="148">
        <v>94082.84024</v>
      </c>
    </row>
    <row r="832">
      <c r="A832" s="145">
        <v>51.313</v>
      </c>
      <c r="B832" s="145">
        <f t="shared" si="1"/>
        <v>16574.099</v>
      </c>
      <c r="C832" s="148">
        <v>101183.432</v>
      </c>
      <c r="D832" s="145">
        <v>110059.1716</v>
      </c>
      <c r="E832" s="146">
        <v>106508.8757</v>
      </c>
      <c r="F832" s="148">
        <v>92307.69231</v>
      </c>
      <c r="G832" s="145">
        <v>110059.1716</v>
      </c>
      <c r="H832" s="145">
        <v>150887.574</v>
      </c>
      <c r="I832" s="146">
        <v>113609.4675</v>
      </c>
      <c r="J832" s="148">
        <v>126035.503</v>
      </c>
      <c r="K832" s="145">
        <v>127810.6509</v>
      </c>
      <c r="L832" s="145">
        <v>134911.2426</v>
      </c>
      <c r="M832" s="145">
        <v>110059.1716</v>
      </c>
      <c r="N832" s="145">
        <v>97633.1361</v>
      </c>
      <c r="O832" s="148">
        <v>86982.24852</v>
      </c>
      <c r="P832" s="148">
        <v>69230.76923</v>
      </c>
      <c r="Q832" s="146">
        <v>74556.21302</v>
      </c>
      <c r="R832" s="148">
        <v>79881.65681</v>
      </c>
      <c r="S832" s="148">
        <v>94082.84024</v>
      </c>
    </row>
    <row r="833">
      <c r="A833" s="145">
        <v>51.375</v>
      </c>
      <c r="B833" s="145">
        <f t="shared" si="1"/>
        <v>16594.125</v>
      </c>
      <c r="C833" s="148">
        <v>101183.432</v>
      </c>
      <c r="D833" s="145">
        <v>110059.1716</v>
      </c>
      <c r="E833" s="146">
        <v>106508.8757</v>
      </c>
      <c r="F833" s="148">
        <v>92307.69231</v>
      </c>
      <c r="G833" s="145">
        <v>110059.1716</v>
      </c>
      <c r="H833" s="145">
        <v>150887.574</v>
      </c>
      <c r="I833" s="146">
        <v>113609.4675</v>
      </c>
      <c r="J833" s="148">
        <v>126035.503</v>
      </c>
      <c r="K833" s="145">
        <v>127810.6509</v>
      </c>
      <c r="L833" s="145">
        <v>136686.3905</v>
      </c>
      <c r="M833" s="145">
        <v>110059.1716</v>
      </c>
      <c r="N833" s="145">
        <v>97633.1361</v>
      </c>
      <c r="O833" s="148">
        <v>86982.24852</v>
      </c>
      <c r="P833" s="148">
        <v>69230.76923</v>
      </c>
      <c r="Q833" s="146">
        <v>74556.21302</v>
      </c>
      <c r="R833" s="148">
        <v>79881.65681</v>
      </c>
      <c r="S833" s="148">
        <v>94082.84024</v>
      </c>
    </row>
    <row r="834">
      <c r="A834" s="145">
        <v>51.438</v>
      </c>
      <c r="B834" s="145">
        <f t="shared" si="1"/>
        <v>16614.474</v>
      </c>
      <c r="C834" s="148">
        <v>101183.432</v>
      </c>
      <c r="D834" s="145">
        <v>110059.1716</v>
      </c>
      <c r="E834" s="146">
        <v>106508.8757</v>
      </c>
      <c r="F834" s="148">
        <v>92307.69231</v>
      </c>
      <c r="G834" s="145">
        <v>110059.1716</v>
      </c>
      <c r="H834" s="145">
        <v>150887.574</v>
      </c>
      <c r="I834" s="146">
        <v>113609.4675</v>
      </c>
      <c r="J834" s="148">
        <v>126035.503</v>
      </c>
      <c r="K834" s="145">
        <v>127810.6509</v>
      </c>
      <c r="L834" s="145">
        <v>136686.3905</v>
      </c>
      <c r="M834" s="145">
        <v>110059.1716</v>
      </c>
      <c r="N834" s="145">
        <v>97633.1361</v>
      </c>
      <c r="O834" s="148">
        <v>86982.24852</v>
      </c>
      <c r="P834" s="148">
        <v>69230.76923</v>
      </c>
      <c r="Q834" s="146">
        <v>74556.21302</v>
      </c>
      <c r="R834" s="148">
        <v>79881.65681</v>
      </c>
      <c r="S834" s="148">
        <v>94082.84024</v>
      </c>
    </row>
    <row r="835">
      <c r="A835" s="145">
        <v>51.5</v>
      </c>
      <c r="B835" s="145">
        <f t="shared" si="1"/>
        <v>16634.5</v>
      </c>
      <c r="C835" s="148">
        <v>101183.432</v>
      </c>
      <c r="D835" s="145">
        <v>110059.1716</v>
      </c>
      <c r="E835" s="146">
        <v>106508.8757</v>
      </c>
      <c r="F835" s="148">
        <v>92307.69231</v>
      </c>
      <c r="G835" s="145">
        <v>110059.1716</v>
      </c>
      <c r="H835" s="145">
        <v>152662.7219</v>
      </c>
      <c r="I835" s="146">
        <v>113609.4675</v>
      </c>
      <c r="J835" s="148">
        <v>126035.503</v>
      </c>
      <c r="K835" s="145">
        <v>127810.6509</v>
      </c>
      <c r="L835" s="145">
        <v>136686.3905</v>
      </c>
      <c r="M835" s="145">
        <v>110059.1716</v>
      </c>
      <c r="N835" s="145">
        <v>99408.28402</v>
      </c>
      <c r="O835" s="148">
        <v>86982.24852</v>
      </c>
      <c r="P835" s="148">
        <v>69230.76923</v>
      </c>
      <c r="Q835" s="146">
        <v>74556.21302</v>
      </c>
      <c r="R835" s="148">
        <v>79881.65681</v>
      </c>
      <c r="S835" s="148">
        <v>94082.84024</v>
      </c>
    </row>
    <row r="836">
      <c r="A836" s="145">
        <v>51.563</v>
      </c>
      <c r="B836" s="145">
        <f t="shared" si="1"/>
        <v>16654.849</v>
      </c>
      <c r="C836" s="148">
        <v>101183.432</v>
      </c>
      <c r="D836" s="145">
        <v>110059.1716</v>
      </c>
      <c r="E836" s="146">
        <v>106508.8757</v>
      </c>
      <c r="F836" s="148">
        <v>92307.69231</v>
      </c>
      <c r="G836" s="145">
        <v>110059.1716</v>
      </c>
      <c r="H836" s="145">
        <v>152662.7219</v>
      </c>
      <c r="I836" s="146">
        <v>113609.4675</v>
      </c>
      <c r="J836" s="148">
        <v>126035.503</v>
      </c>
      <c r="K836" s="145">
        <v>127810.6509</v>
      </c>
      <c r="L836" s="145">
        <v>136686.3905</v>
      </c>
      <c r="M836" s="145">
        <v>110059.1716</v>
      </c>
      <c r="N836" s="145">
        <v>99408.28402</v>
      </c>
      <c r="O836" s="148">
        <v>86982.24852</v>
      </c>
      <c r="P836" s="148">
        <v>69230.76923</v>
      </c>
      <c r="Q836" s="146">
        <v>74556.21302</v>
      </c>
      <c r="R836" s="148">
        <v>79881.65681</v>
      </c>
      <c r="S836" s="148">
        <v>94082.84024</v>
      </c>
    </row>
    <row r="837">
      <c r="A837" s="145">
        <v>51.641</v>
      </c>
      <c r="B837" s="145">
        <f t="shared" si="1"/>
        <v>16680.043</v>
      </c>
      <c r="C837" s="148">
        <v>101183.432</v>
      </c>
      <c r="D837" s="145">
        <v>110059.1716</v>
      </c>
      <c r="E837" s="146">
        <v>106508.8757</v>
      </c>
      <c r="F837" s="148">
        <v>92307.69231</v>
      </c>
      <c r="G837" s="145">
        <v>110059.1716</v>
      </c>
      <c r="H837" s="145">
        <v>152662.7219</v>
      </c>
      <c r="I837" s="146">
        <v>113609.4675</v>
      </c>
      <c r="J837" s="148">
        <v>126035.503</v>
      </c>
      <c r="K837" s="145">
        <v>127810.6509</v>
      </c>
      <c r="L837" s="145">
        <v>136686.3905</v>
      </c>
      <c r="M837" s="145">
        <v>118934.9112</v>
      </c>
      <c r="N837" s="145">
        <v>99408.28402</v>
      </c>
      <c r="O837" s="148">
        <v>86982.24852</v>
      </c>
      <c r="P837" s="148">
        <v>69230.76923</v>
      </c>
      <c r="Q837" s="146">
        <v>74556.21302</v>
      </c>
      <c r="R837" s="148">
        <v>79881.65681</v>
      </c>
      <c r="S837" s="148">
        <v>94082.84024</v>
      </c>
    </row>
    <row r="838">
      <c r="A838" s="145">
        <v>51.688</v>
      </c>
      <c r="B838" s="145">
        <f t="shared" si="1"/>
        <v>16695.224</v>
      </c>
      <c r="C838" s="148">
        <v>101183.432</v>
      </c>
      <c r="D838" s="145">
        <v>110059.1716</v>
      </c>
      <c r="E838" s="146">
        <v>106508.8757</v>
      </c>
      <c r="F838" s="148">
        <v>92307.69231</v>
      </c>
      <c r="G838" s="145">
        <v>110059.1716</v>
      </c>
      <c r="H838" s="145">
        <v>152662.7219</v>
      </c>
      <c r="I838" s="146">
        <v>113609.4675</v>
      </c>
      <c r="J838" s="148">
        <v>126035.503</v>
      </c>
      <c r="K838" s="145">
        <v>127810.6509</v>
      </c>
      <c r="L838" s="145">
        <v>136686.3905</v>
      </c>
      <c r="M838" s="145">
        <v>118934.9112</v>
      </c>
      <c r="N838" s="145">
        <v>99408.28402</v>
      </c>
      <c r="O838" s="148">
        <v>86982.24852</v>
      </c>
      <c r="P838" s="148">
        <v>69230.76923</v>
      </c>
      <c r="Q838" s="146">
        <v>74556.21302</v>
      </c>
      <c r="R838" s="148">
        <v>79881.65681</v>
      </c>
      <c r="S838" s="148">
        <v>94082.84024</v>
      </c>
    </row>
    <row r="839">
      <c r="A839" s="145">
        <v>51.75</v>
      </c>
      <c r="B839" s="145">
        <f t="shared" si="1"/>
        <v>16715.25</v>
      </c>
      <c r="C839" s="148">
        <v>101183.432</v>
      </c>
      <c r="D839" s="145">
        <v>110059.1716</v>
      </c>
      <c r="E839" s="146">
        <v>106508.8757</v>
      </c>
      <c r="F839" s="148">
        <v>92307.69231</v>
      </c>
      <c r="G839" s="145">
        <v>110059.1716</v>
      </c>
      <c r="H839" s="145">
        <v>152662.7219</v>
      </c>
      <c r="I839" s="146">
        <v>113609.4675</v>
      </c>
      <c r="J839" s="148">
        <v>126035.503</v>
      </c>
      <c r="K839" s="145">
        <v>127810.6509</v>
      </c>
      <c r="L839" s="145">
        <v>136686.3905</v>
      </c>
      <c r="M839" s="145">
        <v>118934.9112</v>
      </c>
      <c r="N839" s="145">
        <v>99408.28402</v>
      </c>
      <c r="O839" s="148">
        <v>86982.24852</v>
      </c>
      <c r="P839" s="148">
        <v>69230.76923</v>
      </c>
      <c r="Q839" s="146">
        <v>74556.21302</v>
      </c>
      <c r="R839" s="148">
        <v>79881.65681</v>
      </c>
      <c r="S839" s="148">
        <v>94082.84024</v>
      </c>
    </row>
    <row r="840">
      <c r="A840" s="145">
        <v>51.813</v>
      </c>
      <c r="B840" s="145">
        <f t="shared" si="1"/>
        <v>16735.599</v>
      </c>
      <c r="C840" s="148">
        <v>101183.432</v>
      </c>
      <c r="D840" s="145">
        <v>110059.1716</v>
      </c>
      <c r="E840" s="146">
        <v>106508.8757</v>
      </c>
      <c r="F840" s="148">
        <v>92307.69231</v>
      </c>
      <c r="G840" s="145">
        <v>110059.1716</v>
      </c>
      <c r="H840" s="145">
        <v>152662.7219</v>
      </c>
      <c r="I840" s="146">
        <v>113609.4675</v>
      </c>
      <c r="J840" s="148">
        <v>126035.503</v>
      </c>
      <c r="K840" s="145">
        <v>127810.6509</v>
      </c>
      <c r="L840" s="145">
        <v>136686.3905</v>
      </c>
      <c r="M840" s="145">
        <v>118934.9112</v>
      </c>
      <c r="N840" s="145">
        <v>99408.28402</v>
      </c>
      <c r="O840" s="148">
        <v>86982.24852</v>
      </c>
      <c r="P840" s="148">
        <v>69230.76923</v>
      </c>
      <c r="Q840" s="146">
        <v>74556.21302</v>
      </c>
      <c r="R840" s="148">
        <v>79881.65681</v>
      </c>
      <c r="S840" s="148">
        <v>94082.84024</v>
      </c>
    </row>
    <row r="841">
      <c r="A841" s="145">
        <v>51.875</v>
      </c>
      <c r="B841" s="145">
        <f t="shared" si="1"/>
        <v>16755.625</v>
      </c>
      <c r="C841" s="148">
        <v>101183.432</v>
      </c>
      <c r="D841" s="145">
        <v>110059.1716</v>
      </c>
      <c r="E841" s="146">
        <v>108284.0237</v>
      </c>
      <c r="F841" s="148">
        <v>92307.69231</v>
      </c>
      <c r="G841" s="145">
        <v>110059.1716</v>
      </c>
      <c r="H841" s="145">
        <v>152662.7219</v>
      </c>
      <c r="I841" s="146">
        <v>117159.7633</v>
      </c>
      <c r="J841" s="148">
        <v>126035.503</v>
      </c>
      <c r="K841" s="145">
        <v>127810.6509</v>
      </c>
      <c r="L841" s="145">
        <v>136686.3905</v>
      </c>
      <c r="M841" s="145">
        <v>118934.9112</v>
      </c>
      <c r="N841" s="145">
        <v>99408.28402</v>
      </c>
      <c r="O841" s="148">
        <v>86982.24852</v>
      </c>
      <c r="P841" s="148">
        <v>69230.76923</v>
      </c>
      <c r="Q841" s="146">
        <v>74556.21302</v>
      </c>
      <c r="R841" s="148">
        <v>79881.65681</v>
      </c>
      <c r="S841" s="148">
        <v>94082.84024</v>
      </c>
    </row>
    <row r="842">
      <c r="A842" s="145">
        <v>51.954</v>
      </c>
      <c r="B842" s="145">
        <f t="shared" si="1"/>
        <v>16781.142</v>
      </c>
      <c r="C842" s="148">
        <v>101183.432</v>
      </c>
      <c r="D842" s="145">
        <v>110059.1716</v>
      </c>
      <c r="E842" s="146">
        <v>108284.0237</v>
      </c>
      <c r="F842" s="148">
        <v>92307.69231</v>
      </c>
      <c r="G842" s="145">
        <v>110059.1716</v>
      </c>
      <c r="H842" s="145">
        <v>152662.7219</v>
      </c>
      <c r="I842" s="146">
        <v>117159.7633</v>
      </c>
      <c r="J842" s="148">
        <v>126035.503</v>
      </c>
      <c r="K842" s="145">
        <v>127810.6509</v>
      </c>
      <c r="L842" s="145">
        <v>136686.3905</v>
      </c>
      <c r="M842" s="145">
        <v>118934.9112</v>
      </c>
      <c r="N842" s="145">
        <v>99408.28402</v>
      </c>
      <c r="O842" s="148">
        <v>86982.24852</v>
      </c>
      <c r="P842" s="148">
        <v>69230.76923</v>
      </c>
      <c r="Q842" s="146">
        <v>74556.21302</v>
      </c>
      <c r="R842" s="148">
        <v>79881.65681</v>
      </c>
      <c r="S842" s="148">
        <v>94082.84024</v>
      </c>
    </row>
    <row r="843">
      <c r="A843" s="145">
        <v>52.0</v>
      </c>
      <c r="B843" s="145">
        <f t="shared" si="1"/>
        <v>16796</v>
      </c>
      <c r="C843" s="148">
        <v>101183.432</v>
      </c>
      <c r="D843" s="145">
        <v>110059.1716</v>
      </c>
      <c r="E843" s="146">
        <v>108284.0237</v>
      </c>
      <c r="F843" s="148">
        <v>92307.69231</v>
      </c>
      <c r="G843" s="145">
        <v>110059.1716</v>
      </c>
      <c r="H843" s="145">
        <v>152662.7219</v>
      </c>
      <c r="I843" s="146">
        <v>117159.7633</v>
      </c>
      <c r="J843" s="148">
        <v>126035.503</v>
      </c>
      <c r="K843" s="145">
        <v>127810.6509</v>
      </c>
      <c r="L843" s="145">
        <v>136686.3905</v>
      </c>
      <c r="M843" s="145">
        <v>118934.9112</v>
      </c>
      <c r="N843" s="145">
        <v>99408.28402</v>
      </c>
      <c r="O843" s="148">
        <v>86982.24852</v>
      </c>
      <c r="P843" s="148">
        <v>69230.76923</v>
      </c>
      <c r="Q843" s="146">
        <v>74556.21302</v>
      </c>
      <c r="R843" s="148">
        <v>79881.65681</v>
      </c>
      <c r="S843" s="148">
        <v>95857.98817</v>
      </c>
    </row>
    <row r="844">
      <c r="A844" s="145">
        <v>52.063</v>
      </c>
      <c r="B844" s="145">
        <f t="shared" si="1"/>
        <v>16816.349</v>
      </c>
      <c r="C844" s="148">
        <v>101183.432</v>
      </c>
      <c r="D844" s="145">
        <v>110059.1716</v>
      </c>
      <c r="E844" s="146">
        <v>108284.0237</v>
      </c>
      <c r="F844" s="148">
        <v>92307.69231</v>
      </c>
      <c r="G844" s="145">
        <v>110059.1716</v>
      </c>
      <c r="H844" s="145">
        <v>152662.7219</v>
      </c>
      <c r="I844" s="146">
        <v>117159.7633</v>
      </c>
      <c r="J844" s="148">
        <v>126035.503</v>
      </c>
      <c r="K844" s="145">
        <v>127810.6509</v>
      </c>
      <c r="L844" s="145">
        <v>136686.3905</v>
      </c>
      <c r="M844" s="145">
        <v>118934.9112</v>
      </c>
      <c r="N844" s="145">
        <v>99408.28402</v>
      </c>
      <c r="O844" s="148">
        <v>86982.24852</v>
      </c>
      <c r="P844" s="148">
        <v>69230.76923</v>
      </c>
      <c r="Q844" s="146">
        <v>74556.21302</v>
      </c>
      <c r="R844" s="148">
        <v>79881.65681</v>
      </c>
      <c r="S844" s="148">
        <v>95857.98817</v>
      </c>
    </row>
    <row r="845">
      <c r="A845" s="145">
        <v>52.125</v>
      </c>
      <c r="B845" s="145">
        <f t="shared" si="1"/>
        <v>16836.375</v>
      </c>
      <c r="C845" s="148">
        <v>101183.432</v>
      </c>
      <c r="D845" s="145">
        <v>110059.1716</v>
      </c>
      <c r="E845" s="146">
        <v>108284.0237</v>
      </c>
      <c r="F845" s="148">
        <v>92307.69231</v>
      </c>
      <c r="G845" s="145">
        <v>111834.3195</v>
      </c>
      <c r="H845" s="145">
        <v>152662.7219</v>
      </c>
      <c r="I845" s="146">
        <v>117159.7633</v>
      </c>
      <c r="J845" s="148">
        <v>126035.503</v>
      </c>
      <c r="K845" s="145">
        <v>127810.6509</v>
      </c>
      <c r="L845" s="145">
        <v>136686.3905</v>
      </c>
      <c r="M845" s="145">
        <v>118934.9112</v>
      </c>
      <c r="N845" s="145">
        <v>99408.28402</v>
      </c>
      <c r="O845" s="148">
        <v>86982.24852</v>
      </c>
      <c r="P845" s="148">
        <v>69230.76923</v>
      </c>
      <c r="Q845" s="146">
        <v>74556.21302</v>
      </c>
      <c r="R845" s="148">
        <v>79881.65681</v>
      </c>
      <c r="S845" s="148">
        <v>95857.98817</v>
      </c>
    </row>
    <row r="846">
      <c r="A846" s="145">
        <v>52.188</v>
      </c>
      <c r="B846" s="145">
        <f t="shared" si="1"/>
        <v>16856.724</v>
      </c>
      <c r="C846" s="148">
        <v>101183.432</v>
      </c>
      <c r="D846" s="145">
        <v>110059.1716</v>
      </c>
      <c r="E846" s="146">
        <v>108284.0237</v>
      </c>
      <c r="F846" s="148">
        <v>94082.84024</v>
      </c>
      <c r="G846" s="145">
        <v>111834.3195</v>
      </c>
      <c r="H846" s="145">
        <v>152662.7219</v>
      </c>
      <c r="I846" s="146">
        <v>117159.7633</v>
      </c>
      <c r="J846" s="148">
        <v>126035.503</v>
      </c>
      <c r="K846" s="145">
        <v>127810.6509</v>
      </c>
      <c r="L846" s="145">
        <v>136686.3905</v>
      </c>
      <c r="M846" s="145">
        <v>118934.9112</v>
      </c>
      <c r="N846" s="145">
        <v>99408.28402</v>
      </c>
      <c r="O846" s="148">
        <v>86982.24852</v>
      </c>
      <c r="P846" s="148">
        <v>69230.76923</v>
      </c>
      <c r="Q846" s="146">
        <v>74556.21302</v>
      </c>
      <c r="R846" s="148">
        <v>79881.65681</v>
      </c>
      <c r="S846" s="148">
        <v>95857.98817</v>
      </c>
    </row>
    <row r="847">
      <c r="A847" s="145">
        <v>52.25</v>
      </c>
      <c r="B847" s="145">
        <f t="shared" si="1"/>
        <v>16876.75</v>
      </c>
      <c r="C847" s="148">
        <v>101183.432</v>
      </c>
      <c r="D847" s="145">
        <v>110059.1716</v>
      </c>
      <c r="E847" s="146">
        <v>108284.0237</v>
      </c>
      <c r="F847" s="148">
        <v>94082.84024</v>
      </c>
      <c r="G847" s="145">
        <v>111834.3195</v>
      </c>
      <c r="H847" s="145">
        <v>152662.7219</v>
      </c>
      <c r="I847" s="146">
        <v>117159.7633</v>
      </c>
      <c r="J847" s="148">
        <v>127810.6509</v>
      </c>
      <c r="K847" s="145">
        <v>127810.6509</v>
      </c>
      <c r="L847" s="145">
        <v>136686.3905</v>
      </c>
      <c r="M847" s="145">
        <v>118934.9112</v>
      </c>
      <c r="N847" s="145">
        <v>99408.28402</v>
      </c>
      <c r="O847" s="148">
        <v>86982.24852</v>
      </c>
      <c r="P847" s="148">
        <v>69230.76923</v>
      </c>
      <c r="Q847" s="146">
        <v>74556.21302</v>
      </c>
      <c r="R847" s="148">
        <v>79881.65681</v>
      </c>
      <c r="S847" s="148">
        <v>95857.98817</v>
      </c>
    </row>
    <row r="848">
      <c r="A848" s="145">
        <v>52.313</v>
      </c>
      <c r="B848" s="145">
        <f t="shared" si="1"/>
        <v>16897.099</v>
      </c>
      <c r="C848" s="148">
        <v>101183.432</v>
      </c>
      <c r="D848" s="145">
        <v>110059.1716</v>
      </c>
      <c r="E848" s="146">
        <v>110059.1716</v>
      </c>
      <c r="F848" s="148">
        <v>94082.84024</v>
      </c>
      <c r="G848" s="145">
        <v>111834.3195</v>
      </c>
      <c r="H848" s="145">
        <v>152662.7219</v>
      </c>
      <c r="I848" s="146">
        <v>117159.7633</v>
      </c>
      <c r="J848" s="148">
        <v>127810.6509</v>
      </c>
      <c r="K848" s="145">
        <v>127810.6509</v>
      </c>
      <c r="L848" s="145">
        <v>136686.3905</v>
      </c>
      <c r="M848" s="145">
        <v>118934.9112</v>
      </c>
      <c r="N848" s="145">
        <v>101183.432</v>
      </c>
      <c r="O848" s="148">
        <v>86982.24852</v>
      </c>
      <c r="P848" s="148">
        <v>69230.76923</v>
      </c>
      <c r="Q848" s="146">
        <v>74556.21302</v>
      </c>
      <c r="R848" s="148">
        <v>79881.65681</v>
      </c>
      <c r="S848" s="148">
        <v>95857.98817</v>
      </c>
    </row>
    <row r="849">
      <c r="A849" s="145">
        <v>52.375</v>
      </c>
      <c r="B849" s="145">
        <f t="shared" si="1"/>
        <v>16917.125</v>
      </c>
      <c r="C849" s="148">
        <v>101183.432</v>
      </c>
      <c r="D849" s="145">
        <v>110059.1716</v>
      </c>
      <c r="E849" s="146">
        <v>110059.1716</v>
      </c>
      <c r="F849" s="148">
        <v>94082.84024</v>
      </c>
      <c r="G849" s="145">
        <v>111834.3195</v>
      </c>
      <c r="H849" s="145">
        <v>152662.7219</v>
      </c>
      <c r="I849" s="146">
        <v>117159.7633</v>
      </c>
      <c r="J849" s="148">
        <v>127810.6509</v>
      </c>
      <c r="K849" s="145">
        <v>127810.6509</v>
      </c>
      <c r="L849" s="145">
        <v>136686.3905</v>
      </c>
      <c r="M849" s="145">
        <v>118934.9112</v>
      </c>
      <c r="N849" s="145">
        <v>101183.432</v>
      </c>
      <c r="O849" s="148">
        <v>88757.39645</v>
      </c>
      <c r="P849" s="148">
        <v>71005.91716</v>
      </c>
      <c r="Q849" s="146">
        <v>74556.21302</v>
      </c>
      <c r="R849" s="148">
        <v>79881.65681</v>
      </c>
      <c r="S849" s="148">
        <v>95857.98817</v>
      </c>
    </row>
    <row r="850">
      <c r="A850" s="145">
        <v>52.438</v>
      </c>
      <c r="B850" s="145">
        <f t="shared" si="1"/>
        <v>16937.474</v>
      </c>
      <c r="C850" s="148">
        <v>101183.432</v>
      </c>
      <c r="D850" s="145">
        <v>110059.1716</v>
      </c>
      <c r="E850" s="146">
        <v>110059.1716</v>
      </c>
      <c r="F850" s="148">
        <v>94082.84024</v>
      </c>
      <c r="G850" s="145">
        <v>111834.3195</v>
      </c>
      <c r="H850" s="145">
        <v>152662.7219</v>
      </c>
      <c r="I850" s="146">
        <v>117159.7633</v>
      </c>
      <c r="J850" s="148">
        <v>127810.6509</v>
      </c>
      <c r="K850" s="145">
        <v>131360.9467</v>
      </c>
      <c r="L850" s="145">
        <v>136686.3905</v>
      </c>
      <c r="M850" s="145">
        <v>118934.9112</v>
      </c>
      <c r="N850" s="145">
        <v>101183.432</v>
      </c>
      <c r="O850" s="148">
        <v>88757.39645</v>
      </c>
      <c r="P850" s="148">
        <v>71005.91716</v>
      </c>
      <c r="Q850" s="146">
        <v>74556.21302</v>
      </c>
      <c r="R850" s="148">
        <v>79881.65681</v>
      </c>
      <c r="S850" s="148">
        <v>95857.98817</v>
      </c>
    </row>
    <row r="851">
      <c r="A851" s="145">
        <v>52.5</v>
      </c>
      <c r="B851" s="145">
        <f t="shared" si="1"/>
        <v>16957.5</v>
      </c>
      <c r="C851" s="148">
        <v>101183.432</v>
      </c>
      <c r="D851" s="145">
        <v>110059.1716</v>
      </c>
      <c r="E851" s="146">
        <v>110059.1716</v>
      </c>
      <c r="F851" s="148">
        <v>94082.84024</v>
      </c>
      <c r="G851" s="145">
        <v>111834.3195</v>
      </c>
      <c r="H851" s="145">
        <v>152662.7219</v>
      </c>
      <c r="I851" s="146">
        <v>117159.7633</v>
      </c>
      <c r="J851" s="148">
        <v>127810.6509</v>
      </c>
      <c r="K851" s="145">
        <v>131360.9467</v>
      </c>
      <c r="L851" s="145">
        <v>136686.3905</v>
      </c>
      <c r="M851" s="145">
        <v>118934.9112</v>
      </c>
      <c r="N851" s="145">
        <v>101183.432</v>
      </c>
      <c r="O851" s="148">
        <v>88757.39645</v>
      </c>
      <c r="P851" s="148">
        <v>71005.91716</v>
      </c>
      <c r="Q851" s="146">
        <v>76331.36095</v>
      </c>
      <c r="R851" s="148">
        <v>79881.65681</v>
      </c>
      <c r="S851" s="148">
        <v>95857.98817</v>
      </c>
    </row>
    <row r="852">
      <c r="A852" s="145">
        <v>52.563</v>
      </c>
      <c r="B852" s="145">
        <f t="shared" si="1"/>
        <v>16977.849</v>
      </c>
      <c r="C852" s="148">
        <v>101183.432</v>
      </c>
      <c r="D852" s="145">
        <v>110059.1716</v>
      </c>
      <c r="E852" s="146">
        <v>110059.1716</v>
      </c>
      <c r="F852" s="148">
        <v>94082.84024</v>
      </c>
      <c r="G852" s="145">
        <v>111834.3195</v>
      </c>
      <c r="H852" s="145">
        <v>152662.7219</v>
      </c>
      <c r="I852" s="146">
        <v>117159.7633</v>
      </c>
      <c r="J852" s="148">
        <v>127810.6509</v>
      </c>
      <c r="K852" s="145">
        <v>131360.9467</v>
      </c>
      <c r="L852" s="145">
        <v>136686.3905</v>
      </c>
      <c r="M852" s="145">
        <v>118934.9112</v>
      </c>
      <c r="N852" s="145">
        <v>101183.432</v>
      </c>
      <c r="O852" s="148">
        <v>88757.39645</v>
      </c>
      <c r="P852" s="148">
        <v>71005.91716</v>
      </c>
      <c r="Q852" s="146">
        <v>76331.36095</v>
      </c>
      <c r="R852" s="148">
        <v>79881.65681</v>
      </c>
      <c r="S852" s="148">
        <v>95857.98817</v>
      </c>
    </row>
    <row r="853">
      <c r="A853" s="145">
        <v>52.625</v>
      </c>
      <c r="B853" s="145">
        <f t="shared" si="1"/>
        <v>16997.875</v>
      </c>
      <c r="C853" s="148">
        <v>101183.432</v>
      </c>
      <c r="D853" s="145">
        <v>111834.3195</v>
      </c>
      <c r="E853" s="146">
        <v>110059.1716</v>
      </c>
      <c r="F853" s="148">
        <v>94082.84024</v>
      </c>
      <c r="G853" s="145">
        <v>111834.3195</v>
      </c>
      <c r="H853" s="145">
        <v>156213.0178</v>
      </c>
      <c r="I853" s="146">
        <v>117159.7633</v>
      </c>
      <c r="J853" s="148">
        <v>129585.7988</v>
      </c>
      <c r="K853" s="145">
        <v>131360.9467</v>
      </c>
      <c r="L853" s="145">
        <v>136686.3905</v>
      </c>
      <c r="M853" s="145">
        <v>118934.9112</v>
      </c>
      <c r="N853" s="145">
        <v>101183.432</v>
      </c>
      <c r="O853" s="148">
        <v>88757.39645</v>
      </c>
      <c r="P853" s="148">
        <v>71005.91716</v>
      </c>
      <c r="Q853" s="146">
        <v>76331.36095</v>
      </c>
      <c r="R853" s="148">
        <v>79881.65681</v>
      </c>
      <c r="S853" s="148">
        <v>95857.98817</v>
      </c>
    </row>
    <row r="854">
      <c r="A854" s="145">
        <v>52.688</v>
      </c>
      <c r="B854" s="145">
        <f t="shared" si="1"/>
        <v>17018.224</v>
      </c>
      <c r="C854" s="148">
        <v>101183.432</v>
      </c>
      <c r="D854" s="145">
        <v>111834.3195</v>
      </c>
      <c r="E854" s="146">
        <v>110059.1716</v>
      </c>
      <c r="F854" s="148">
        <v>94082.84024</v>
      </c>
      <c r="G854" s="145">
        <v>111834.3195</v>
      </c>
      <c r="H854" s="145">
        <v>156213.0178</v>
      </c>
      <c r="I854" s="146">
        <v>118934.9112</v>
      </c>
      <c r="J854" s="148">
        <v>129585.7988</v>
      </c>
      <c r="K854" s="145">
        <v>131360.9467</v>
      </c>
      <c r="L854" s="145">
        <v>138461.5385</v>
      </c>
      <c r="M854" s="145">
        <v>118934.9112</v>
      </c>
      <c r="N854" s="145">
        <v>101183.432</v>
      </c>
      <c r="O854" s="148">
        <v>88757.39645</v>
      </c>
      <c r="P854" s="148">
        <v>71005.91716</v>
      </c>
      <c r="Q854" s="146">
        <v>76331.36095</v>
      </c>
      <c r="R854" s="148">
        <v>79881.65681</v>
      </c>
      <c r="S854" s="148">
        <v>95857.98817</v>
      </c>
    </row>
    <row r="855">
      <c r="A855" s="145">
        <v>52.75</v>
      </c>
      <c r="B855" s="145">
        <f t="shared" si="1"/>
        <v>17038.25</v>
      </c>
      <c r="C855" s="148">
        <v>101183.432</v>
      </c>
      <c r="D855" s="145">
        <v>111834.3195</v>
      </c>
      <c r="E855" s="146">
        <v>110059.1716</v>
      </c>
      <c r="F855" s="148">
        <v>94082.84024</v>
      </c>
      <c r="G855" s="145">
        <v>111834.3195</v>
      </c>
      <c r="H855" s="145">
        <v>156213.0178</v>
      </c>
      <c r="I855" s="146">
        <v>118934.9112</v>
      </c>
      <c r="J855" s="148">
        <v>129585.7988</v>
      </c>
      <c r="K855" s="145">
        <v>131360.9467</v>
      </c>
      <c r="L855" s="145">
        <v>138461.5385</v>
      </c>
      <c r="M855" s="145">
        <v>118934.9112</v>
      </c>
      <c r="N855" s="145">
        <v>101183.432</v>
      </c>
      <c r="O855" s="148">
        <v>88757.39645</v>
      </c>
      <c r="P855" s="148">
        <v>71005.91716</v>
      </c>
      <c r="Q855" s="146">
        <v>76331.36095</v>
      </c>
      <c r="R855" s="148">
        <v>79881.65681</v>
      </c>
      <c r="S855" s="148">
        <v>95857.98817</v>
      </c>
    </row>
    <row r="856">
      <c r="A856" s="145">
        <v>52.813</v>
      </c>
      <c r="B856" s="145">
        <f t="shared" si="1"/>
        <v>17058.599</v>
      </c>
      <c r="C856" s="148">
        <v>101183.432</v>
      </c>
      <c r="D856" s="145">
        <v>111834.3195</v>
      </c>
      <c r="E856" s="146">
        <v>110059.1716</v>
      </c>
      <c r="F856" s="148">
        <v>94082.84024</v>
      </c>
      <c r="G856" s="145">
        <v>111834.3195</v>
      </c>
      <c r="H856" s="145">
        <v>156213.0178</v>
      </c>
      <c r="I856" s="146">
        <v>118934.9112</v>
      </c>
      <c r="J856" s="148">
        <v>129585.7988</v>
      </c>
      <c r="K856" s="145">
        <v>131360.9467</v>
      </c>
      <c r="L856" s="145">
        <v>138461.5385</v>
      </c>
      <c r="M856" s="145">
        <v>118934.9112</v>
      </c>
      <c r="N856" s="145">
        <v>101183.432</v>
      </c>
      <c r="O856" s="148">
        <v>88757.39645</v>
      </c>
      <c r="P856" s="148">
        <v>71005.91716</v>
      </c>
      <c r="Q856" s="146">
        <v>76331.36095</v>
      </c>
      <c r="R856" s="148">
        <v>79881.65681</v>
      </c>
      <c r="S856" s="148">
        <v>95857.98817</v>
      </c>
    </row>
    <row r="857">
      <c r="A857" s="145">
        <v>52.875</v>
      </c>
      <c r="B857" s="145">
        <f t="shared" si="1"/>
        <v>17078.625</v>
      </c>
      <c r="C857" s="148">
        <v>101183.432</v>
      </c>
      <c r="D857" s="145">
        <v>111834.3195</v>
      </c>
      <c r="E857" s="146">
        <v>110059.1716</v>
      </c>
      <c r="F857" s="148">
        <v>94082.84024</v>
      </c>
      <c r="G857" s="145">
        <v>111834.3195</v>
      </c>
      <c r="H857" s="145">
        <v>156213.0178</v>
      </c>
      <c r="I857" s="146">
        <v>118934.9112</v>
      </c>
      <c r="J857" s="148">
        <v>129585.7988</v>
      </c>
      <c r="K857" s="145">
        <v>131360.9467</v>
      </c>
      <c r="L857" s="145">
        <v>138461.5385</v>
      </c>
      <c r="M857" s="145">
        <v>118934.9112</v>
      </c>
      <c r="N857" s="145">
        <v>101183.432</v>
      </c>
      <c r="O857" s="148">
        <v>88757.39645</v>
      </c>
      <c r="P857" s="148">
        <v>71005.91716</v>
      </c>
      <c r="Q857" s="146">
        <v>76331.36095</v>
      </c>
      <c r="R857" s="148">
        <v>79881.65681</v>
      </c>
      <c r="S857" s="148">
        <v>95857.98817</v>
      </c>
    </row>
    <row r="858">
      <c r="A858" s="145">
        <v>52.938</v>
      </c>
      <c r="B858" s="145">
        <f t="shared" si="1"/>
        <v>17098.974</v>
      </c>
      <c r="C858" s="148">
        <v>101183.432</v>
      </c>
      <c r="D858" s="145">
        <v>111834.3195</v>
      </c>
      <c r="E858" s="146">
        <v>110059.1716</v>
      </c>
      <c r="F858" s="148">
        <v>94082.84024</v>
      </c>
      <c r="G858" s="145">
        <v>111834.3195</v>
      </c>
      <c r="H858" s="145">
        <v>156213.0178</v>
      </c>
      <c r="I858" s="146">
        <v>118934.9112</v>
      </c>
      <c r="J858" s="148">
        <v>129585.7988</v>
      </c>
      <c r="K858" s="145">
        <v>131360.9467</v>
      </c>
      <c r="L858" s="145">
        <v>138461.5385</v>
      </c>
      <c r="M858" s="145">
        <v>118934.9112</v>
      </c>
      <c r="N858" s="145">
        <v>101183.432</v>
      </c>
      <c r="O858" s="148">
        <v>88757.39645</v>
      </c>
      <c r="P858" s="148">
        <v>71005.91716</v>
      </c>
      <c r="Q858" s="146">
        <v>76331.36095</v>
      </c>
      <c r="R858" s="148">
        <v>81656.80473</v>
      </c>
      <c r="S858" s="148">
        <v>95857.98817</v>
      </c>
    </row>
    <row r="859">
      <c r="A859" s="145">
        <v>53.016</v>
      </c>
      <c r="B859" s="145">
        <f t="shared" si="1"/>
        <v>17124.168</v>
      </c>
      <c r="C859" s="148">
        <v>101183.432</v>
      </c>
      <c r="D859" s="145">
        <v>111834.3195</v>
      </c>
      <c r="E859" s="146">
        <v>110059.1716</v>
      </c>
      <c r="F859" s="148">
        <v>94082.84024</v>
      </c>
      <c r="G859" s="145">
        <v>111834.3195</v>
      </c>
      <c r="H859" s="145">
        <v>156213.0178</v>
      </c>
      <c r="I859" s="146">
        <v>118934.9112</v>
      </c>
      <c r="J859" s="148">
        <v>129585.7988</v>
      </c>
      <c r="K859" s="145">
        <v>131360.9467</v>
      </c>
      <c r="L859" s="145">
        <v>138461.5385</v>
      </c>
      <c r="M859" s="145">
        <v>118934.9112</v>
      </c>
      <c r="N859" s="145">
        <v>101183.432</v>
      </c>
      <c r="O859" s="148">
        <v>88757.39645</v>
      </c>
      <c r="P859" s="148">
        <v>71005.91716</v>
      </c>
      <c r="Q859" s="146">
        <v>76331.36095</v>
      </c>
      <c r="R859" s="148">
        <v>81656.80473</v>
      </c>
      <c r="S859" s="148">
        <v>95857.98817</v>
      </c>
    </row>
    <row r="860">
      <c r="A860" s="145">
        <v>53.063</v>
      </c>
      <c r="B860" s="145">
        <f t="shared" si="1"/>
        <v>17139.349</v>
      </c>
      <c r="C860" s="148">
        <v>101183.432</v>
      </c>
      <c r="D860" s="145">
        <v>111834.3195</v>
      </c>
      <c r="E860" s="146">
        <v>110059.1716</v>
      </c>
      <c r="F860" s="148">
        <v>94082.84024</v>
      </c>
      <c r="G860" s="145">
        <v>111834.3195</v>
      </c>
      <c r="H860" s="145">
        <v>156213.0178</v>
      </c>
      <c r="I860" s="146">
        <v>118934.9112</v>
      </c>
      <c r="J860" s="148">
        <v>129585.7988</v>
      </c>
      <c r="K860" s="145">
        <v>131360.9467</v>
      </c>
      <c r="L860" s="145">
        <v>138461.5385</v>
      </c>
      <c r="M860" s="145">
        <v>118934.9112</v>
      </c>
      <c r="N860" s="145">
        <v>101183.432</v>
      </c>
      <c r="O860" s="148">
        <v>88757.39645</v>
      </c>
      <c r="P860" s="148">
        <v>71005.91716</v>
      </c>
      <c r="Q860" s="146">
        <v>76331.36095</v>
      </c>
      <c r="R860" s="148">
        <v>81656.80473</v>
      </c>
      <c r="S860" s="148">
        <v>95857.98817</v>
      </c>
    </row>
    <row r="861">
      <c r="A861" s="145">
        <v>53.125</v>
      </c>
      <c r="B861" s="145">
        <f t="shared" si="1"/>
        <v>17159.375</v>
      </c>
      <c r="C861" s="148">
        <v>101183.432</v>
      </c>
      <c r="D861" s="145">
        <v>111834.3195</v>
      </c>
      <c r="E861" s="146">
        <v>110059.1716</v>
      </c>
      <c r="F861" s="148">
        <v>94082.84024</v>
      </c>
      <c r="G861" s="145">
        <v>113609.4675</v>
      </c>
      <c r="H861" s="145">
        <v>156213.0178</v>
      </c>
      <c r="I861" s="146">
        <v>118934.9112</v>
      </c>
      <c r="J861" s="148">
        <v>129585.7988</v>
      </c>
      <c r="K861" s="145">
        <v>131360.9467</v>
      </c>
      <c r="L861" s="145">
        <v>138461.5385</v>
      </c>
      <c r="M861" s="145">
        <v>118934.9112</v>
      </c>
      <c r="N861" s="145">
        <v>102958.5799</v>
      </c>
      <c r="O861" s="148">
        <v>88757.39645</v>
      </c>
      <c r="P861" s="148">
        <v>71005.91716</v>
      </c>
      <c r="Q861" s="146">
        <v>76331.36095</v>
      </c>
      <c r="R861" s="148">
        <v>81656.80473</v>
      </c>
      <c r="S861" s="148">
        <v>95857.98817</v>
      </c>
    </row>
    <row r="862">
      <c r="A862" s="145">
        <v>53.188</v>
      </c>
      <c r="B862" s="145">
        <f t="shared" si="1"/>
        <v>17179.724</v>
      </c>
      <c r="C862" s="148">
        <v>101183.432</v>
      </c>
      <c r="D862" s="145">
        <v>111834.3195</v>
      </c>
      <c r="E862" s="146">
        <v>110059.1716</v>
      </c>
      <c r="F862" s="148">
        <v>94082.84024</v>
      </c>
      <c r="G862" s="145">
        <v>113609.4675</v>
      </c>
      <c r="H862" s="145">
        <v>156213.0178</v>
      </c>
      <c r="I862" s="146">
        <v>118934.9112</v>
      </c>
      <c r="J862" s="148">
        <v>129585.7988</v>
      </c>
      <c r="K862" s="145">
        <v>131360.9467</v>
      </c>
      <c r="L862" s="145">
        <v>140236.6864</v>
      </c>
      <c r="M862" s="145">
        <v>118934.9112</v>
      </c>
      <c r="N862" s="145">
        <v>102958.5799</v>
      </c>
      <c r="O862" s="148">
        <v>88757.39645</v>
      </c>
      <c r="P862" s="148">
        <v>71005.91716</v>
      </c>
      <c r="Q862" s="146">
        <v>76331.36095</v>
      </c>
      <c r="R862" s="148">
        <v>81656.80473</v>
      </c>
      <c r="S862" s="148">
        <v>97633.1361</v>
      </c>
    </row>
    <row r="863">
      <c r="A863" s="145">
        <v>53.25</v>
      </c>
      <c r="B863" s="145">
        <f t="shared" si="1"/>
        <v>17199.75</v>
      </c>
      <c r="C863" s="148">
        <v>101183.432</v>
      </c>
      <c r="D863" s="145">
        <v>111834.3195</v>
      </c>
      <c r="E863" s="146">
        <v>110059.1716</v>
      </c>
      <c r="F863" s="148">
        <v>94082.84024</v>
      </c>
      <c r="G863" s="145">
        <v>113609.4675</v>
      </c>
      <c r="H863" s="145">
        <v>156213.0178</v>
      </c>
      <c r="I863" s="146">
        <v>118934.9112</v>
      </c>
      <c r="J863" s="148">
        <v>129585.7988</v>
      </c>
      <c r="K863" s="145">
        <v>131360.9467</v>
      </c>
      <c r="L863" s="145">
        <v>140236.6864</v>
      </c>
      <c r="M863" s="145">
        <v>118934.9112</v>
      </c>
      <c r="N863" s="145">
        <v>102958.5799</v>
      </c>
      <c r="O863" s="148">
        <v>88757.39645</v>
      </c>
      <c r="P863" s="148">
        <v>71005.91716</v>
      </c>
      <c r="Q863" s="146">
        <v>76331.36095</v>
      </c>
      <c r="R863" s="148">
        <v>81656.80473</v>
      </c>
      <c r="S863" s="148">
        <v>97633.1361</v>
      </c>
    </row>
    <row r="864">
      <c r="A864" s="145">
        <v>53.313</v>
      </c>
      <c r="B864" s="145">
        <f t="shared" si="1"/>
        <v>17220.099</v>
      </c>
      <c r="C864" s="148">
        <v>101183.432</v>
      </c>
      <c r="D864" s="145">
        <v>113609.4675</v>
      </c>
      <c r="E864" s="146">
        <v>110059.1716</v>
      </c>
      <c r="F864" s="148">
        <v>94082.84024</v>
      </c>
      <c r="G864" s="145">
        <v>113609.4675</v>
      </c>
      <c r="H864" s="145">
        <v>156213.0178</v>
      </c>
      <c r="I864" s="146">
        <v>118934.9112</v>
      </c>
      <c r="J864" s="148">
        <v>129585.7988</v>
      </c>
      <c r="K864" s="145">
        <v>131360.9467</v>
      </c>
      <c r="L864" s="145">
        <v>140236.6864</v>
      </c>
      <c r="M864" s="145">
        <v>118934.9112</v>
      </c>
      <c r="N864" s="145">
        <v>102958.5799</v>
      </c>
      <c r="O864" s="148">
        <v>88757.39645</v>
      </c>
      <c r="P864" s="148">
        <v>71005.91716</v>
      </c>
      <c r="Q864" s="146">
        <v>76331.36095</v>
      </c>
      <c r="R864" s="148">
        <v>81656.80473</v>
      </c>
      <c r="S864" s="148">
        <v>97633.1361</v>
      </c>
    </row>
    <row r="865">
      <c r="A865" s="145">
        <v>53.375</v>
      </c>
      <c r="B865" s="145">
        <f t="shared" si="1"/>
        <v>17240.125</v>
      </c>
      <c r="C865" s="148">
        <v>102958.5799</v>
      </c>
      <c r="D865" s="145">
        <v>113609.4675</v>
      </c>
      <c r="E865" s="146">
        <v>110059.1716</v>
      </c>
      <c r="F865" s="148">
        <v>94082.84024</v>
      </c>
      <c r="G865" s="148">
        <v>113609.4675</v>
      </c>
      <c r="H865" s="145">
        <v>156213.0178</v>
      </c>
      <c r="I865" s="146">
        <v>118934.9112</v>
      </c>
      <c r="J865" s="148">
        <v>129585.7988</v>
      </c>
      <c r="K865" s="145">
        <v>131360.9467</v>
      </c>
      <c r="L865" s="145">
        <v>140236.6864</v>
      </c>
      <c r="M865" s="145">
        <v>118934.9112</v>
      </c>
      <c r="N865" s="145">
        <v>102958.5799</v>
      </c>
      <c r="O865" s="148">
        <v>90532.54438</v>
      </c>
      <c r="P865" s="148">
        <v>71005.91716</v>
      </c>
      <c r="Q865" s="146">
        <v>76331.36095</v>
      </c>
      <c r="R865" s="148">
        <v>81656.80473</v>
      </c>
      <c r="S865" s="148">
        <v>97633.1361</v>
      </c>
    </row>
    <row r="866">
      <c r="A866" s="145">
        <v>53.438</v>
      </c>
      <c r="B866" s="145">
        <f t="shared" si="1"/>
        <v>17260.474</v>
      </c>
      <c r="C866" s="148">
        <v>102958.5799</v>
      </c>
      <c r="D866" s="145">
        <v>113609.4675</v>
      </c>
      <c r="E866" s="146">
        <v>110059.1716</v>
      </c>
      <c r="F866" s="148">
        <v>94082.84024</v>
      </c>
      <c r="G866" s="148">
        <v>113609.4675</v>
      </c>
      <c r="H866" s="145">
        <v>156213.0178</v>
      </c>
      <c r="I866" s="146">
        <v>118934.9112</v>
      </c>
      <c r="J866" s="148">
        <v>129585.7988</v>
      </c>
      <c r="K866" s="145">
        <v>131360.9467</v>
      </c>
      <c r="L866" s="145">
        <v>140236.6864</v>
      </c>
      <c r="M866" s="145">
        <v>118934.9112</v>
      </c>
      <c r="N866" s="145">
        <v>102958.5799</v>
      </c>
      <c r="O866" s="148">
        <v>92307.69231</v>
      </c>
      <c r="P866" s="148">
        <v>71005.91716</v>
      </c>
      <c r="Q866" s="146">
        <v>76331.36095</v>
      </c>
      <c r="R866" s="148">
        <v>81656.80473</v>
      </c>
      <c r="S866" s="148">
        <v>97633.1361</v>
      </c>
    </row>
    <row r="867">
      <c r="A867" s="145">
        <v>53.5</v>
      </c>
      <c r="B867" s="145">
        <f t="shared" si="1"/>
        <v>17280.5</v>
      </c>
      <c r="C867" s="148">
        <v>102958.5799</v>
      </c>
      <c r="D867" s="145">
        <v>113609.4675</v>
      </c>
      <c r="E867" s="146">
        <v>110059.1716</v>
      </c>
      <c r="F867" s="148">
        <v>94082.84024</v>
      </c>
      <c r="G867" s="148">
        <v>113609.4675</v>
      </c>
      <c r="H867" s="145">
        <v>156213.0178</v>
      </c>
      <c r="I867" s="146">
        <v>118934.9112</v>
      </c>
      <c r="J867" s="148">
        <v>129585.7988</v>
      </c>
      <c r="K867" s="145">
        <v>131360.9467</v>
      </c>
      <c r="L867" s="145">
        <v>140236.6864</v>
      </c>
      <c r="M867" s="145">
        <v>118934.9112</v>
      </c>
      <c r="N867" s="145">
        <v>102958.5799</v>
      </c>
      <c r="O867" s="148">
        <v>92307.69231</v>
      </c>
      <c r="P867" s="148">
        <v>71005.91716</v>
      </c>
      <c r="Q867" s="146">
        <v>76331.36095</v>
      </c>
      <c r="R867" s="148">
        <v>81656.80473</v>
      </c>
      <c r="S867" s="148">
        <v>97633.1361</v>
      </c>
    </row>
    <row r="868">
      <c r="A868" s="145">
        <v>53.563</v>
      </c>
      <c r="B868" s="145">
        <f t="shared" si="1"/>
        <v>17300.849</v>
      </c>
      <c r="C868" s="148">
        <v>102958.5799</v>
      </c>
      <c r="D868" s="145">
        <v>113609.4675</v>
      </c>
      <c r="E868" s="146">
        <v>110059.1716</v>
      </c>
      <c r="F868" s="148">
        <v>94082.84024</v>
      </c>
      <c r="G868" s="148">
        <v>113609.4675</v>
      </c>
      <c r="H868" s="145">
        <v>156213.0178</v>
      </c>
      <c r="I868" s="146">
        <v>120710.0592</v>
      </c>
      <c r="J868" s="148">
        <v>129585.7988</v>
      </c>
      <c r="K868" s="145">
        <v>131360.9467</v>
      </c>
      <c r="L868" s="145">
        <v>140236.6864</v>
      </c>
      <c r="M868" s="145">
        <v>118934.9112</v>
      </c>
      <c r="N868" s="145">
        <v>102958.5799</v>
      </c>
      <c r="O868" s="148">
        <v>92307.69231</v>
      </c>
      <c r="P868" s="148">
        <v>71005.91716</v>
      </c>
      <c r="Q868" s="146">
        <v>76331.36095</v>
      </c>
      <c r="R868" s="148">
        <v>81656.80473</v>
      </c>
      <c r="S868" s="148">
        <v>97633.1361</v>
      </c>
    </row>
    <row r="869">
      <c r="A869" s="145">
        <v>53.641</v>
      </c>
      <c r="B869" s="145">
        <f t="shared" si="1"/>
        <v>17326.043</v>
      </c>
      <c r="C869" s="148">
        <v>102958.5799</v>
      </c>
      <c r="D869" s="145">
        <v>113609.4675</v>
      </c>
      <c r="E869" s="146">
        <v>110059.1716</v>
      </c>
      <c r="F869" s="148">
        <v>94082.84024</v>
      </c>
      <c r="G869" s="148">
        <v>113609.4675</v>
      </c>
      <c r="H869" s="145">
        <v>156213.0178</v>
      </c>
      <c r="I869" s="146">
        <v>120710.0592</v>
      </c>
      <c r="J869" s="148">
        <v>129585.7988</v>
      </c>
      <c r="K869" s="145">
        <v>131360.9467</v>
      </c>
      <c r="L869" s="145">
        <v>140236.6864</v>
      </c>
      <c r="M869" s="145">
        <v>118934.9112</v>
      </c>
      <c r="N869" s="145">
        <v>102958.5799</v>
      </c>
      <c r="O869" s="148">
        <v>92307.69231</v>
      </c>
      <c r="P869" s="148">
        <v>71005.91716</v>
      </c>
      <c r="Q869" s="146">
        <v>76331.36095</v>
      </c>
      <c r="R869" s="148">
        <v>81656.80473</v>
      </c>
      <c r="S869" s="148">
        <v>97633.1361</v>
      </c>
    </row>
    <row r="870">
      <c r="A870" s="145">
        <v>53.688</v>
      </c>
      <c r="B870" s="145">
        <f t="shared" si="1"/>
        <v>17341.224</v>
      </c>
      <c r="C870" s="148">
        <v>102958.5799</v>
      </c>
      <c r="D870" s="145">
        <v>113609.4675</v>
      </c>
      <c r="E870" s="146">
        <v>110059.1716</v>
      </c>
      <c r="F870" s="148">
        <v>94082.84024</v>
      </c>
      <c r="G870" s="148">
        <v>113609.4675</v>
      </c>
      <c r="H870" s="145">
        <v>159763.3136</v>
      </c>
      <c r="I870" s="146">
        <v>120710.0592</v>
      </c>
      <c r="J870" s="148">
        <v>129585.7988</v>
      </c>
      <c r="K870" s="145">
        <v>131360.9467</v>
      </c>
      <c r="L870" s="145">
        <v>140236.6864</v>
      </c>
      <c r="M870" s="145">
        <v>120710.0592</v>
      </c>
      <c r="N870" s="145">
        <v>102958.5799</v>
      </c>
      <c r="O870" s="148">
        <v>92307.69231</v>
      </c>
      <c r="P870" s="148">
        <v>71005.91716</v>
      </c>
      <c r="Q870" s="146">
        <v>76331.36095</v>
      </c>
      <c r="R870" s="148">
        <v>83431.95266</v>
      </c>
      <c r="S870" s="148">
        <v>97633.1361</v>
      </c>
    </row>
    <row r="871">
      <c r="A871" s="145">
        <v>53.75</v>
      </c>
      <c r="B871" s="145">
        <f t="shared" si="1"/>
        <v>17361.25</v>
      </c>
      <c r="C871" s="148">
        <v>102958.5799</v>
      </c>
      <c r="D871" s="145">
        <v>113609.4675</v>
      </c>
      <c r="E871" s="146">
        <v>110059.1716</v>
      </c>
      <c r="F871" s="148">
        <v>94082.84024</v>
      </c>
      <c r="G871" s="148">
        <v>113609.4675</v>
      </c>
      <c r="H871" s="145">
        <v>159763.3136</v>
      </c>
      <c r="I871" s="146">
        <v>120710.0592</v>
      </c>
      <c r="J871" s="148">
        <v>129585.7988</v>
      </c>
      <c r="K871" s="145">
        <v>131360.9467</v>
      </c>
      <c r="L871" s="145">
        <v>140236.6864</v>
      </c>
      <c r="M871" s="145">
        <v>120710.0592</v>
      </c>
      <c r="N871" s="145">
        <v>102958.5799</v>
      </c>
      <c r="O871" s="148">
        <v>92307.69231</v>
      </c>
      <c r="P871" s="148">
        <v>71005.91716</v>
      </c>
      <c r="Q871" s="146">
        <v>76331.36095</v>
      </c>
      <c r="R871" s="148">
        <v>83431.95266</v>
      </c>
      <c r="S871" s="148">
        <v>97633.1361</v>
      </c>
    </row>
    <row r="872">
      <c r="A872" s="145">
        <v>53.813</v>
      </c>
      <c r="B872" s="145">
        <f t="shared" si="1"/>
        <v>17381.599</v>
      </c>
      <c r="C872" s="148">
        <v>102958.5799</v>
      </c>
      <c r="D872" s="145">
        <v>113609.4675</v>
      </c>
      <c r="E872" s="146">
        <v>110059.1716</v>
      </c>
      <c r="F872" s="148">
        <v>94082.84024</v>
      </c>
      <c r="G872" s="148">
        <v>113609.4675</v>
      </c>
      <c r="H872" s="145">
        <v>159763.3136</v>
      </c>
      <c r="I872" s="146">
        <v>120710.0592</v>
      </c>
      <c r="J872" s="148">
        <v>129585.7988</v>
      </c>
      <c r="K872" s="145">
        <v>131360.9467</v>
      </c>
      <c r="L872" s="145">
        <v>140236.6864</v>
      </c>
      <c r="M872" s="145">
        <v>120710.0592</v>
      </c>
      <c r="N872" s="145">
        <v>102958.5799</v>
      </c>
      <c r="O872" s="148">
        <v>92307.69231</v>
      </c>
      <c r="P872" s="148">
        <v>71005.91716</v>
      </c>
      <c r="Q872" s="146">
        <v>76331.36095</v>
      </c>
      <c r="R872" s="148">
        <v>83431.95266</v>
      </c>
      <c r="S872" s="148">
        <v>97633.1361</v>
      </c>
    </row>
    <row r="873">
      <c r="A873" s="145">
        <v>53.875</v>
      </c>
      <c r="B873" s="145">
        <f t="shared" si="1"/>
        <v>17401.625</v>
      </c>
      <c r="C873" s="148">
        <v>102958.5799</v>
      </c>
      <c r="D873" s="145">
        <v>113609.4675</v>
      </c>
      <c r="E873" s="146">
        <v>110059.1716</v>
      </c>
      <c r="F873" s="148">
        <v>94082.84024</v>
      </c>
      <c r="G873" s="148">
        <v>115384.6154</v>
      </c>
      <c r="H873" s="145">
        <v>159763.3136</v>
      </c>
      <c r="I873" s="146">
        <v>120710.0592</v>
      </c>
      <c r="J873" s="148">
        <v>129585.7988</v>
      </c>
      <c r="K873" s="145">
        <v>131360.9467</v>
      </c>
      <c r="L873" s="145">
        <v>140236.6864</v>
      </c>
      <c r="M873" s="145">
        <v>120710.0592</v>
      </c>
      <c r="N873" s="145">
        <v>102958.5799</v>
      </c>
      <c r="O873" s="148">
        <v>92307.69231</v>
      </c>
      <c r="P873" s="148">
        <v>71005.91716</v>
      </c>
      <c r="Q873" s="146">
        <v>76331.36095</v>
      </c>
      <c r="R873" s="148">
        <v>83431.95266</v>
      </c>
      <c r="S873" s="148">
        <v>97633.1361</v>
      </c>
    </row>
    <row r="874">
      <c r="A874" s="145">
        <v>53.938</v>
      </c>
      <c r="B874" s="145">
        <f t="shared" si="1"/>
        <v>17421.974</v>
      </c>
      <c r="C874" s="148">
        <v>102958.5799</v>
      </c>
      <c r="D874" s="145">
        <v>113609.4675</v>
      </c>
      <c r="E874" s="146">
        <v>110059.1716</v>
      </c>
      <c r="F874" s="148">
        <v>94082.84024</v>
      </c>
      <c r="G874" s="148">
        <v>115384.6154</v>
      </c>
      <c r="H874" s="145">
        <v>159763.3136</v>
      </c>
      <c r="I874" s="146">
        <v>120710.0592</v>
      </c>
      <c r="J874" s="148">
        <v>133136.0947</v>
      </c>
      <c r="K874" s="145">
        <v>131360.9467</v>
      </c>
      <c r="L874" s="145">
        <v>140236.6864</v>
      </c>
      <c r="M874" s="145">
        <v>120710.0592</v>
      </c>
      <c r="N874" s="145">
        <v>102958.5799</v>
      </c>
      <c r="O874" s="148">
        <v>92307.69231</v>
      </c>
      <c r="P874" s="148">
        <v>71005.91716</v>
      </c>
      <c r="Q874" s="146">
        <v>76331.36095</v>
      </c>
      <c r="R874" s="148">
        <v>83431.95266</v>
      </c>
      <c r="S874" s="148">
        <v>97633.1361</v>
      </c>
    </row>
    <row r="875">
      <c r="A875" s="145">
        <v>54.0</v>
      </c>
      <c r="B875" s="145">
        <f t="shared" si="1"/>
        <v>17442</v>
      </c>
      <c r="C875" s="148">
        <v>102958.5799</v>
      </c>
      <c r="D875" s="145">
        <v>113609.4675</v>
      </c>
      <c r="E875" s="146">
        <v>110059.1716</v>
      </c>
      <c r="F875" s="148">
        <v>94082.84024</v>
      </c>
      <c r="G875" s="148">
        <v>115384.6154</v>
      </c>
      <c r="H875" s="145">
        <v>159763.3136</v>
      </c>
      <c r="I875" s="146">
        <v>120710.0592</v>
      </c>
      <c r="J875" s="148">
        <v>133136.0947</v>
      </c>
      <c r="K875" s="145">
        <v>131360.9467</v>
      </c>
      <c r="L875" s="145">
        <v>140236.6864</v>
      </c>
      <c r="M875" s="145">
        <v>120710.0592</v>
      </c>
      <c r="N875" s="145">
        <v>102958.5799</v>
      </c>
      <c r="O875" s="148">
        <v>92307.69231</v>
      </c>
      <c r="P875" s="148">
        <v>71005.91716</v>
      </c>
      <c r="Q875" s="146">
        <v>76331.36095</v>
      </c>
      <c r="R875" s="148">
        <v>83431.95266</v>
      </c>
      <c r="S875" s="148">
        <v>97633.1361</v>
      </c>
    </row>
    <row r="876">
      <c r="A876" s="145">
        <v>54.063</v>
      </c>
      <c r="B876" s="145">
        <f t="shared" si="1"/>
        <v>17462.349</v>
      </c>
      <c r="C876" s="148">
        <v>102958.5799</v>
      </c>
      <c r="D876" s="145">
        <v>115384.6154</v>
      </c>
      <c r="E876" s="146">
        <v>110059.1716</v>
      </c>
      <c r="F876" s="148">
        <v>94082.84024</v>
      </c>
      <c r="G876" s="148">
        <v>115384.6154</v>
      </c>
      <c r="H876" s="145">
        <v>159763.3136</v>
      </c>
      <c r="I876" s="146">
        <v>120710.0592</v>
      </c>
      <c r="J876" s="148">
        <v>133136.0947</v>
      </c>
      <c r="K876" s="145">
        <v>133136.0947</v>
      </c>
      <c r="L876" s="145">
        <v>140236.6864</v>
      </c>
      <c r="M876" s="145">
        <v>120710.0592</v>
      </c>
      <c r="N876" s="145">
        <v>104733.7278</v>
      </c>
      <c r="O876" s="148">
        <v>92307.69231</v>
      </c>
      <c r="P876" s="148">
        <v>71005.91716</v>
      </c>
      <c r="Q876" s="146">
        <v>76331.36095</v>
      </c>
      <c r="R876" s="148">
        <v>83431.95266</v>
      </c>
      <c r="S876" s="148">
        <v>97633.1361</v>
      </c>
    </row>
    <row r="877">
      <c r="A877" s="145">
        <v>54.125</v>
      </c>
      <c r="B877" s="145">
        <f t="shared" si="1"/>
        <v>17482.375</v>
      </c>
      <c r="C877" s="148">
        <v>102958.5799</v>
      </c>
      <c r="D877" s="145">
        <v>115384.6154</v>
      </c>
      <c r="E877" s="146">
        <v>110059.1716</v>
      </c>
      <c r="F877" s="148">
        <v>94082.84024</v>
      </c>
      <c r="G877" s="148">
        <v>115384.6154</v>
      </c>
      <c r="H877" s="145">
        <v>159763.3136</v>
      </c>
      <c r="I877" s="146">
        <v>120710.0592</v>
      </c>
      <c r="J877" s="148">
        <v>133136.0947</v>
      </c>
      <c r="K877" s="145">
        <v>133136.0947</v>
      </c>
      <c r="L877" s="145">
        <v>142011.8343</v>
      </c>
      <c r="M877" s="145">
        <v>120710.0592</v>
      </c>
      <c r="N877" s="145">
        <v>104733.7278</v>
      </c>
      <c r="O877" s="148">
        <v>92307.69231</v>
      </c>
      <c r="P877" s="148">
        <v>71005.91716</v>
      </c>
      <c r="Q877" s="146">
        <v>76331.36095</v>
      </c>
      <c r="R877" s="148">
        <v>83431.95266</v>
      </c>
      <c r="S877" s="148">
        <v>97633.1361</v>
      </c>
    </row>
    <row r="878">
      <c r="A878" s="145">
        <v>54.188</v>
      </c>
      <c r="B878" s="145">
        <f t="shared" si="1"/>
        <v>17502.724</v>
      </c>
      <c r="C878" s="148">
        <v>102958.5799</v>
      </c>
      <c r="D878" s="145">
        <v>115384.6154</v>
      </c>
      <c r="E878" s="146">
        <v>113609.4675</v>
      </c>
      <c r="F878" s="148">
        <v>94082.84024</v>
      </c>
      <c r="G878" s="148">
        <v>115384.6154</v>
      </c>
      <c r="H878" s="145">
        <v>159763.3136</v>
      </c>
      <c r="I878" s="146">
        <v>120710.0592</v>
      </c>
      <c r="J878" s="148">
        <v>133136.0947</v>
      </c>
      <c r="K878" s="145">
        <v>134911.2426</v>
      </c>
      <c r="L878" s="145">
        <v>142011.8343</v>
      </c>
      <c r="M878" s="145">
        <v>120710.0592</v>
      </c>
      <c r="N878" s="145">
        <v>104733.7278</v>
      </c>
      <c r="O878" s="148">
        <v>92307.69231</v>
      </c>
      <c r="P878" s="148">
        <v>71005.91716</v>
      </c>
      <c r="Q878" s="146">
        <v>76331.36095</v>
      </c>
      <c r="R878" s="148">
        <v>83431.95266</v>
      </c>
      <c r="S878" s="148">
        <v>97633.1361</v>
      </c>
    </row>
    <row r="879">
      <c r="A879" s="145">
        <v>54.25</v>
      </c>
      <c r="B879" s="145">
        <f t="shared" si="1"/>
        <v>17522.75</v>
      </c>
      <c r="C879" s="148">
        <v>102958.5799</v>
      </c>
      <c r="D879" s="145">
        <v>115384.6154</v>
      </c>
      <c r="E879" s="146">
        <v>113609.4675</v>
      </c>
      <c r="F879" s="148">
        <v>94082.84024</v>
      </c>
      <c r="G879" s="148">
        <v>115384.6154</v>
      </c>
      <c r="H879" s="145">
        <v>159763.3136</v>
      </c>
      <c r="I879" s="146">
        <v>120710.0592</v>
      </c>
      <c r="J879" s="148">
        <v>133136.0947</v>
      </c>
      <c r="K879" s="145">
        <v>134911.2426</v>
      </c>
      <c r="L879" s="145">
        <v>142011.8343</v>
      </c>
      <c r="M879" s="145">
        <v>120710.0592</v>
      </c>
      <c r="N879" s="145">
        <v>104733.7278</v>
      </c>
      <c r="O879" s="148">
        <v>92307.69231</v>
      </c>
      <c r="P879" s="148">
        <v>71005.91716</v>
      </c>
      <c r="Q879" s="146">
        <v>76331.36095</v>
      </c>
      <c r="R879" s="148">
        <v>83431.95266</v>
      </c>
      <c r="S879" s="148">
        <v>97633.1361</v>
      </c>
    </row>
    <row r="880">
      <c r="A880" s="145">
        <v>54.313</v>
      </c>
      <c r="B880" s="145">
        <f t="shared" si="1"/>
        <v>17543.099</v>
      </c>
      <c r="C880" s="148">
        <v>102958.5799</v>
      </c>
      <c r="D880" s="145">
        <v>115384.6154</v>
      </c>
      <c r="E880" s="146">
        <v>113609.4675</v>
      </c>
      <c r="F880" s="148">
        <v>94082.84024</v>
      </c>
      <c r="G880" s="148">
        <v>118934.9112</v>
      </c>
      <c r="H880" s="145">
        <v>159763.3136</v>
      </c>
      <c r="I880" s="146">
        <v>120710.0592</v>
      </c>
      <c r="J880" s="148">
        <v>133136.0947</v>
      </c>
      <c r="K880" s="145">
        <v>134911.2426</v>
      </c>
      <c r="L880" s="145">
        <v>142011.8343</v>
      </c>
      <c r="M880" s="145">
        <v>120710.0592</v>
      </c>
      <c r="N880" s="145">
        <v>104733.7278</v>
      </c>
      <c r="O880" s="148">
        <v>92307.69231</v>
      </c>
      <c r="P880" s="148">
        <v>71005.91716</v>
      </c>
      <c r="Q880" s="146">
        <v>76331.36095</v>
      </c>
      <c r="R880" s="148">
        <v>83431.95266</v>
      </c>
      <c r="S880" s="148">
        <v>97633.1361</v>
      </c>
    </row>
    <row r="881">
      <c r="A881" s="145">
        <v>54.375</v>
      </c>
      <c r="B881" s="145">
        <f t="shared" si="1"/>
        <v>17563.125</v>
      </c>
      <c r="C881" s="148">
        <v>102958.5799</v>
      </c>
      <c r="D881" s="145">
        <v>115384.6154</v>
      </c>
      <c r="E881" s="146">
        <v>113609.4675</v>
      </c>
      <c r="F881" s="148">
        <v>94082.84024</v>
      </c>
      <c r="G881" s="148">
        <v>118934.9112</v>
      </c>
      <c r="H881" s="145">
        <v>159763.3136</v>
      </c>
      <c r="I881" s="146">
        <v>120710.0592</v>
      </c>
      <c r="J881" s="148">
        <v>133136.0947</v>
      </c>
      <c r="K881" s="145">
        <v>134911.2426</v>
      </c>
      <c r="L881" s="145">
        <v>142011.8343</v>
      </c>
      <c r="M881" s="145">
        <v>120710.0592</v>
      </c>
      <c r="N881" s="145">
        <v>104733.7278</v>
      </c>
      <c r="O881" s="148">
        <v>92307.69231</v>
      </c>
      <c r="P881" s="148">
        <v>71005.91716</v>
      </c>
      <c r="Q881" s="146">
        <v>76331.36095</v>
      </c>
      <c r="R881" s="148">
        <v>85207.10059</v>
      </c>
      <c r="S881" s="148">
        <v>99408.28402</v>
      </c>
    </row>
    <row r="882">
      <c r="A882" s="145">
        <v>54.438</v>
      </c>
      <c r="B882" s="145">
        <f t="shared" si="1"/>
        <v>17583.474</v>
      </c>
      <c r="C882" s="148">
        <v>102958.5799</v>
      </c>
      <c r="D882" s="145">
        <v>115384.6154</v>
      </c>
      <c r="E882" s="146">
        <v>113609.4675</v>
      </c>
      <c r="F882" s="148">
        <v>94082.84024</v>
      </c>
      <c r="G882" s="148">
        <v>118934.9112</v>
      </c>
      <c r="H882" s="145">
        <v>159763.3136</v>
      </c>
      <c r="I882" s="146">
        <v>120710.0592</v>
      </c>
      <c r="J882" s="148">
        <v>133136.0947</v>
      </c>
      <c r="K882" s="145">
        <v>134911.2426</v>
      </c>
      <c r="L882" s="145">
        <v>142011.8343</v>
      </c>
      <c r="M882" s="145">
        <v>120710.0592</v>
      </c>
      <c r="N882" s="145">
        <v>104733.7278</v>
      </c>
      <c r="O882" s="148">
        <v>92307.69231</v>
      </c>
      <c r="P882" s="148">
        <v>71005.91716</v>
      </c>
      <c r="Q882" s="146">
        <v>76331.36095</v>
      </c>
      <c r="R882" s="148">
        <v>85207.10059</v>
      </c>
      <c r="S882" s="148">
        <v>99408.28402</v>
      </c>
    </row>
    <row r="883">
      <c r="A883" s="145">
        <v>54.516</v>
      </c>
      <c r="B883" s="145">
        <f t="shared" si="1"/>
        <v>17608.668</v>
      </c>
      <c r="C883" s="148">
        <v>102958.5799</v>
      </c>
      <c r="D883" s="145">
        <v>115384.6154</v>
      </c>
      <c r="E883" s="146">
        <v>113609.4675</v>
      </c>
      <c r="F883" s="148">
        <v>94082.84024</v>
      </c>
      <c r="G883" s="148">
        <v>118934.9112</v>
      </c>
      <c r="H883" s="145">
        <v>159763.3136</v>
      </c>
      <c r="I883" s="146">
        <v>120710.0592</v>
      </c>
      <c r="J883" s="148">
        <v>133136.0947</v>
      </c>
      <c r="K883" s="145">
        <v>134911.2426</v>
      </c>
      <c r="L883" s="145">
        <v>142011.8343</v>
      </c>
      <c r="M883" s="145">
        <v>120710.0592</v>
      </c>
      <c r="N883" s="145">
        <v>104733.7278</v>
      </c>
      <c r="O883" s="148">
        <v>94082.84024</v>
      </c>
      <c r="P883" s="148">
        <v>71005.91716</v>
      </c>
      <c r="Q883" s="146">
        <v>76331.36095</v>
      </c>
      <c r="R883" s="148">
        <v>85207.10059</v>
      </c>
      <c r="S883" s="148">
        <v>99408.28402</v>
      </c>
    </row>
    <row r="884">
      <c r="A884" s="145">
        <v>54.563</v>
      </c>
      <c r="B884" s="145">
        <f t="shared" si="1"/>
        <v>17623.849</v>
      </c>
      <c r="C884" s="148">
        <v>102958.5799</v>
      </c>
      <c r="D884" s="145">
        <v>115384.6154</v>
      </c>
      <c r="E884" s="146">
        <v>113609.4675</v>
      </c>
      <c r="F884" s="148">
        <v>94082.84024</v>
      </c>
      <c r="G884" s="148">
        <v>118934.9112</v>
      </c>
      <c r="H884" s="145">
        <v>159763.3136</v>
      </c>
      <c r="I884" s="146">
        <v>124260.355</v>
      </c>
      <c r="J884" s="148">
        <v>133136.0947</v>
      </c>
      <c r="K884" s="145">
        <v>134911.2426</v>
      </c>
      <c r="L884" s="145">
        <v>142011.8343</v>
      </c>
      <c r="M884" s="145">
        <v>120710.0592</v>
      </c>
      <c r="N884" s="145">
        <v>104733.7278</v>
      </c>
      <c r="O884" s="148">
        <v>94082.84024</v>
      </c>
      <c r="P884" s="148">
        <v>71005.91716</v>
      </c>
      <c r="Q884" s="146">
        <v>76331.36095</v>
      </c>
      <c r="R884" s="148">
        <v>85207.10059</v>
      </c>
      <c r="S884" s="148">
        <v>99408.28402</v>
      </c>
    </row>
    <row r="885">
      <c r="A885" s="145">
        <v>54.625</v>
      </c>
      <c r="B885" s="145">
        <f t="shared" si="1"/>
        <v>17643.875</v>
      </c>
      <c r="C885" s="148">
        <v>102958.5799</v>
      </c>
      <c r="D885" s="145">
        <v>115384.6154</v>
      </c>
      <c r="E885" s="146">
        <v>113609.4675</v>
      </c>
      <c r="F885" s="148">
        <v>94082.84024</v>
      </c>
      <c r="G885" s="148">
        <v>118934.9112</v>
      </c>
      <c r="H885" s="145">
        <v>161538.4615</v>
      </c>
      <c r="I885" s="146">
        <v>124260.355</v>
      </c>
      <c r="J885" s="148">
        <v>133136.0947</v>
      </c>
      <c r="K885" s="145">
        <v>134911.2426</v>
      </c>
      <c r="L885" s="145">
        <v>142011.8343</v>
      </c>
      <c r="M885" s="145">
        <v>120710.0592</v>
      </c>
      <c r="N885" s="145">
        <v>104733.7278</v>
      </c>
      <c r="O885" s="148">
        <v>94082.84024</v>
      </c>
      <c r="P885" s="148">
        <v>71005.91716</v>
      </c>
      <c r="Q885" s="146">
        <v>76331.36095</v>
      </c>
      <c r="R885" s="148">
        <v>85207.10059</v>
      </c>
      <c r="S885" s="148">
        <v>99408.28402</v>
      </c>
    </row>
    <row r="886">
      <c r="A886" s="145">
        <v>54.704</v>
      </c>
      <c r="B886" s="145">
        <f t="shared" si="1"/>
        <v>17669.392</v>
      </c>
      <c r="C886" s="148">
        <v>102958.5799</v>
      </c>
      <c r="D886" s="145">
        <v>115384.6154</v>
      </c>
      <c r="E886" s="146">
        <v>113609.4675</v>
      </c>
      <c r="F886" s="148">
        <v>94082.84024</v>
      </c>
      <c r="G886" s="148">
        <v>118934.9112</v>
      </c>
      <c r="H886" s="145">
        <v>161538.4615</v>
      </c>
      <c r="I886" s="146">
        <v>124260.355</v>
      </c>
      <c r="J886" s="148">
        <v>133136.0947</v>
      </c>
      <c r="K886" s="145">
        <v>134911.2426</v>
      </c>
      <c r="L886" s="145">
        <v>142011.8343</v>
      </c>
      <c r="M886" s="145">
        <v>120710.0592</v>
      </c>
      <c r="N886" s="145">
        <v>104733.7278</v>
      </c>
      <c r="O886" s="148">
        <v>94082.84024</v>
      </c>
      <c r="P886" s="148">
        <v>71005.91716</v>
      </c>
      <c r="Q886" s="146">
        <v>76331.36095</v>
      </c>
      <c r="R886" s="148">
        <v>85207.10059</v>
      </c>
      <c r="S886" s="148">
        <v>101183.432</v>
      </c>
    </row>
    <row r="887">
      <c r="A887" s="145">
        <v>54.75</v>
      </c>
      <c r="B887" s="145">
        <f t="shared" si="1"/>
        <v>17684.25</v>
      </c>
      <c r="C887" s="148">
        <v>102958.5799</v>
      </c>
      <c r="D887" s="145">
        <v>115384.6154</v>
      </c>
      <c r="E887" s="146">
        <v>113609.4675</v>
      </c>
      <c r="F887" s="148">
        <v>94082.84024</v>
      </c>
      <c r="G887" s="148">
        <v>118934.9112</v>
      </c>
      <c r="H887" s="145">
        <v>161538.4615</v>
      </c>
      <c r="I887" s="146">
        <v>124260.355</v>
      </c>
      <c r="J887" s="148">
        <v>133136.0947</v>
      </c>
      <c r="K887" s="145">
        <v>134911.2426</v>
      </c>
      <c r="L887" s="145">
        <v>142011.8343</v>
      </c>
      <c r="M887" s="145">
        <v>120710.0592</v>
      </c>
      <c r="N887" s="145">
        <v>104733.7278</v>
      </c>
      <c r="O887" s="148">
        <v>94082.84024</v>
      </c>
      <c r="P887" s="148">
        <v>71005.91716</v>
      </c>
      <c r="Q887" s="146">
        <v>76331.36095</v>
      </c>
      <c r="R887" s="148">
        <v>85207.10059</v>
      </c>
      <c r="S887" s="148">
        <v>101183.432</v>
      </c>
    </row>
    <row r="888">
      <c r="A888" s="145">
        <v>54.813</v>
      </c>
      <c r="B888" s="145">
        <f t="shared" si="1"/>
        <v>17704.599</v>
      </c>
      <c r="C888" s="148">
        <v>102958.5799</v>
      </c>
      <c r="D888" s="145">
        <v>115384.6154</v>
      </c>
      <c r="E888" s="146">
        <v>113609.4675</v>
      </c>
      <c r="F888" s="148">
        <v>94082.84024</v>
      </c>
      <c r="G888" s="148">
        <v>118934.9112</v>
      </c>
      <c r="H888" s="145">
        <v>161538.4615</v>
      </c>
      <c r="I888" s="146">
        <v>124260.355</v>
      </c>
      <c r="J888" s="148">
        <v>133136.0947</v>
      </c>
      <c r="K888" s="145">
        <v>134911.2426</v>
      </c>
      <c r="L888" s="145">
        <v>142011.8343</v>
      </c>
      <c r="M888" s="145">
        <v>120710.0592</v>
      </c>
      <c r="N888" s="145">
        <v>104733.7278</v>
      </c>
      <c r="O888" s="148">
        <v>94082.84024</v>
      </c>
      <c r="P888" s="148">
        <v>71005.91716</v>
      </c>
      <c r="Q888" s="146">
        <v>76331.36095</v>
      </c>
      <c r="R888" s="148">
        <v>85207.10059</v>
      </c>
      <c r="S888" s="148">
        <v>101183.432</v>
      </c>
    </row>
    <row r="889">
      <c r="A889" s="145">
        <v>54.891</v>
      </c>
      <c r="B889" s="145">
        <f t="shared" si="1"/>
        <v>17729.793</v>
      </c>
      <c r="C889" s="148">
        <v>102958.5799</v>
      </c>
      <c r="D889" s="145">
        <v>115384.6154</v>
      </c>
      <c r="E889" s="146">
        <v>113609.4675</v>
      </c>
      <c r="F889" s="148">
        <v>94082.84024</v>
      </c>
      <c r="G889" s="148">
        <v>118934.9112</v>
      </c>
      <c r="H889" s="145">
        <v>161538.4615</v>
      </c>
      <c r="I889" s="146">
        <v>124260.355</v>
      </c>
      <c r="J889" s="148">
        <v>133136.0947</v>
      </c>
      <c r="K889" s="145">
        <v>134911.2426</v>
      </c>
      <c r="L889" s="145">
        <v>143786.9822</v>
      </c>
      <c r="M889" s="145">
        <v>120710.0592</v>
      </c>
      <c r="N889" s="145">
        <v>104733.7278</v>
      </c>
      <c r="O889" s="148">
        <v>94082.84024</v>
      </c>
      <c r="P889" s="148">
        <v>71005.91716</v>
      </c>
      <c r="Q889" s="146">
        <v>76331.36095</v>
      </c>
      <c r="R889" s="148">
        <v>85207.10059</v>
      </c>
      <c r="S889" s="148">
        <v>101183.432</v>
      </c>
    </row>
    <row r="890">
      <c r="A890" s="145">
        <v>54.938</v>
      </c>
      <c r="B890" s="145">
        <f t="shared" si="1"/>
        <v>17744.974</v>
      </c>
      <c r="C890" s="148">
        <v>104733.7278</v>
      </c>
      <c r="D890" s="145">
        <v>115384.6154</v>
      </c>
      <c r="E890" s="146">
        <v>113609.4675</v>
      </c>
      <c r="F890" s="148">
        <v>94082.84024</v>
      </c>
      <c r="G890" s="148">
        <v>118934.9112</v>
      </c>
      <c r="H890" s="145">
        <v>161538.4615</v>
      </c>
      <c r="I890" s="146">
        <v>124260.355</v>
      </c>
      <c r="J890" s="148">
        <v>133136.0947</v>
      </c>
      <c r="K890" s="145">
        <v>134911.2426</v>
      </c>
      <c r="L890" s="145">
        <v>143786.9822</v>
      </c>
      <c r="M890" s="145">
        <v>120710.0592</v>
      </c>
      <c r="N890" s="145">
        <v>104733.7278</v>
      </c>
      <c r="O890" s="148">
        <v>94082.84024</v>
      </c>
      <c r="P890" s="148">
        <v>71005.91716</v>
      </c>
      <c r="Q890" s="146">
        <v>76331.36095</v>
      </c>
      <c r="R890" s="148">
        <v>85207.10059</v>
      </c>
      <c r="S890" s="148">
        <v>101183.432</v>
      </c>
    </row>
    <row r="891">
      <c r="A891" s="145">
        <v>55.0</v>
      </c>
      <c r="B891" s="145">
        <f t="shared" si="1"/>
        <v>17765</v>
      </c>
      <c r="C891" s="148">
        <v>104733.7278</v>
      </c>
      <c r="D891" s="145">
        <v>115384.6154</v>
      </c>
      <c r="E891" s="146">
        <v>113609.4675</v>
      </c>
      <c r="F891" s="148">
        <v>94082.84024</v>
      </c>
      <c r="G891" s="148">
        <v>118934.9112</v>
      </c>
      <c r="H891" s="145">
        <v>161538.4615</v>
      </c>
      <c r="I891" s="146">
        <v>124260.355</v>
      </c>
      <c r="J891" s="148">
        <v>133136.0947</v>
      </c>
      <c r="K891" s="145">
        <v>134911.2426</v>
      </c>
      <c r="L891" s="145">
        <v>143786.9822</v>
      </c>
      <c r="M891" s="145">
        <v>120710.0592</v>
      </c>
      <c r="N891" s="145">
        <v>104733.7278</v>
      </c>
      <c r="O891" s="148">
        <v>94082.84024</v>
      </c>
      <c r="P891" s="148">
        <v>72781.06509</v>
      </c>
      <c r="Q891" s="146">
        <v>76331.36095</v>
      </c>
      <c r="R891" s="148">
        <v>85207.10059</v>
      </c>
      <c r="S891" s="148">
        <v>101183.432</v>
      </c>
    </row>
    <row r="892">
      <c r="A892" s="145">
        <v>55.079</v>
      </c>
      <c r="B892" s="145">
        <f t="shared" si="1"/>
        <v>17790.517</v>
      </c>
      <c r="C892" s="148">
        <v>104733.7278</v>
      </c>
      <c r="D892" s="145">
        <v>115384.6154</v>
      </c>
      <c r="E892" s="146">
        <v>113609.4675</v>
      </c>
      <c r="F892" s="148">
        <v>94082.84024</v>
      </c>
      <c r="G892" s="148">
        <v>118934.9112</v>
      </c>
      <c r="H892" s="145">
        <v>161538.4615</v>
      </c>
      <c r="I892" s="146">
        <v>124260.355</v>
      </c>
      <c r="J892" s="148">
        <v>133136.0947</v>
      </c>
      <c r="K892" s="145">
        <v>134911.2426</v>
      </c>
      <c r="L892" s="145">
        <v>143786.9822</v>
      </c>
      <c r="M892" s="145">
        <v>120710.0592</v>
      </c>
      <c r="N892" s="145">
        <v>106508.8757</v>
      </c>
      <c r="O892" s="148">
        <v>94082.84024</v>
      </c>
      <c r="P892" s="148">
        <v>72781.06509</v>
      </c>
      <c r="Q892" s="146">
        <v>76331.36095</v>
      </c>
      <c r="R892" s="148">
        <v>85207.10059</v>
      </c>
      <c r="S892" s="148">
        <v>101183.432</v>
      </c>
    </row>
    <row r="893">
      <c r="A893" s="145">
        <v>55.125</v>
      </c>
      <c r="B893" s="145">
        <f t="shared" si="1"/>
        <v>17805.375</v>
      </c>
      <c r="C893" s="148">
        <v>104733.7278</v>
      </c>
      <c r="D893" s="145">
        <v>115384.6154</v>
      </c>
      <c r="E893" s="146">
        <v>113609.4675</v>
      </c>
      <c r="F893" s="148">
        <v>94082.84024</v>
      </c>
      <c r="G893" s="148">
        <v>118934.9112</v>
      </c>
      <c r="H893" s="145">
        <v>161538.4615</v>
      </c>
      <c r="I893" s="146">
        <v>124260.355</v>
      </c>
      <c r="J893" s="148">
        <v>133136.0947</v>
      </c>
      <c r="K893" s="145">
        <v>134911.2426</v>
      </c>
      <c r="L893" s="145">
        <v>143786.9822</v>
      </c>
      <c r="M893" s="145">
        <v>124260.355</v>
      </c>
      <c r="N893" s="145">
        <v>106508.8757</v>
      </c>
      <c r="O893" s="148">
        <v>94082.84024</v>
      </c>
      <c r="P893" s="148">
        <v>72781.06509</v>
      </c>
      <c r="Q893" s="146">
        <v>76331.36095</v>
      </c>
      <c r="R893" s="148">
        <v>85207.10059</v>
      </c>
      <c r="S893" s="148">
        <v>101183.432</v>
      </c>
    </row>
    <row r="894">
      <c r="A894" s="145">
        <v>55.188</v>
      </c>
      <c r="B894" s="145">
        <f t="shared" si="1"/>
        <v>17825.724</v>
      </c>
      <c r="C894" s="148">
        <v>104733.7278</v>
      </c>
      <c r="D894" s="145">
        <v>115384.6154</v>
      </c>
      <c r="E894" s="146">
        <v>115384.6154</v>
      </c>
      <c r="F894" s="148">
        <v>94082.84024</v>
      </c>
      <c r="G894" s="148">
        <v>118934.9112</v>
      </c>
      <c r="H894" s="145">
        <v>161538.4615</v>
      </c>
      <c r="I894" s="146">
        <v>124260.355</v>
      </c>
      <c r="J894" s="148">
        <v>133136.0947</v>
      </c>
      <c r="K894" s="145">
        <v>134911.2426</v>
      </c>
      <c r="L894" s="145">
        <v>143786.9822</v>
      </c>
      <c r="M894" s="145">
        <v>124260.355</v>
      </c>
      <c r="N894" s="145">
        <v>106508.8757</v>
      </c>
      <c r="O894" s="148">
        <v>94082.84024</v>
      </c>
      <c r="P894" s="148">
        <v>72781.06509</v>
      </c>
      <c r="Q894" s="146">
        <v>76331.36095</v>
      </c>
      <c r="R894" s="148">
        <v>85207.10059</v>
      </c>
      <c r="S894" s="148">
        <v>101183.432</v>
      </c>
    </row>
    <row r="895">
      <c r="A895" s="145">
        <v>55.25</v>
      </c>
      <c r="B895" s="145">
        <f t="shared" si="1"/>
        <v>17845.75</v>
      </c>
      <c r="C895" s="148">
        <v>104733.7278</v>
      </c>
      <c r="D895" s="145">
        <v>115384.6154</v>
      </c>
      <c r="E895" s="146">
        <v>115384.6154</v>
      </c>
      <c r="F895" s="148">
        <v>94082.84024</v>
      </c>
      <c r="G895" s="148">
        <v>118934.9112</v>
      </c>
      <c r="H895" s="145">
        <v>161538.4615</v>
      </c>
      <c r="I895" s="146">
        <v>124260.355</v>
      </c>
      <c r="J895" s="148">
        <v>133136.0947</v>
      </c>
      <c r="K895" s="145">
        <v>134911.2426</v>
      </c>
      <c r="L895" s="145">
        <v>143786.9822</v>
      </c>
      <c r="M895" s="145">
        <v>124260.355</v>
      </c>
      <c r="N895" s="145">
        <v>106508.8757</v>
      </c>
      <c r="O895" s="148">
        <v>94082.84024</v>
      </c>
      <c r="P895" s="148">
        <v>72781.06509</v>
      </c>
      <c r="Q895" s="146">
        <v>76331.36095</v>
      </c>
      <c r="R895" s="148">
        <v>85207.10059</v>
      </c>
      <c r="S895" s="148">
        <v>101183.432</v>
      </c>
    </row>
    <row r="896">
      <c r="A896" s="145">
        <v>55.313</v>
      </c>
      <c r="B896" s="145">
        <f t="shared" si="1"/>
        <v>17866.099</v>
      </c>
      <c r="C896" s="148">
        <v>108284.0237</v>
      </c>
      <c r="D896" s="145">
        <v>117159.7633</v>
      </c>
      <c r="E896" s="146">
        <v>115384.6154</v>
      </c>
      <c r="F896" s="148">
        <v>94082.84024</v>
      </c>
      <c r="G896" s="148">
        <v>118934.9112</v>
      </c>
      <c r="H896" s="145">
        <v>161538.4615</v>
      </c>
      <c r="I896" s="146">
        <v>127810.6509</v>
      </c>
      <c r="J896" s="148">
        <v>133136.0947</v>
      </c>
      <c r="K896" s="145">
        <v>134911.2426</v>
      </c>
      <c r="L896" s="145">
        <v>143786.9822</v>
      </c>
      <c r="M896" s="145">
        <v>124260.355</v>
      </c>
      <c r="N896" s="145">
        <v>106508.8757</v>
      </c>
      <c r="O896" s="148">
        <v>94082.84024</v>
      </c>
      <c r="P896" s="148">
        <v>72781.06509</v>
      </c>
      <c r="Q896" s="146">
        <v>76331.36095</v>
      </c>
      <c r="R896" s="148">
        <v>85207.10059</v>
      </c>
      <c r="S896" s="148">
        <v>101183.432</v>
      </c>
    </row>
    <row r="897">
      <c r="A897" s="145">
        <v>55.375</v>
      </c>
      <c r="B897" s="145">
        <f t="shared" si="1"/>
        <v>17886.125</v>
      </c>
      <c r="C897" s="148">
        <v>108284.0237</v>
      </c>
      <c r="D897" s="145">
        <v>117159.7633</v>
      </c>
      <c r="E897" s="146">
        <v>115384.6154</v>
      </c>
      <c r="F897" s="148">
        <v>94082.84024</v>
      </c>
      <c r="G897" s="148">
        <v>118934.9112</v>
      </c>
      <c r="H897" s="145">
        <v>161538.4615</v>
      </c>
      <c r="I897" s="146">
        <v>127810.6509</v>
      </c>
      <c r="J897" s="148">
        <v>134911.2426</v>
      </c>
      <c r="K897" s="145">
        <v>134911.2426</v>
      </c>
      <c r="L897" s="145">
        <v>143786.9822</v>
      </c>
      <c r="M897" s="145">
        <v>124260.355</v>
      </c>
      <c r="N897" s="145">
        <v>106508.8757</v>
      </c>
      <c r="O897" s="148">
        <v>94082.84024</v>
      </c>
      <c r="P897" s="148">
        <v>72781.06509</v>
      </c>
      <c r="Q897" s="146">
        <v>76331.36095</v>
      </c>
      <c r="R897" s="148">
        <v>85207.10059</v>
      </c>
      <c r="S897" s="148">
        <v>101183.432</v>
      </c>
    </row>
    <row r="898">
      <c r="A898" s="145">
        <v>55.438</v>
      </c>
      <c r="B898" s="145">
        <f t="shared" si="1"/>
        <v>17906.474</v>
      </c>
      <c r="C898" s="148">
        <v>108284.0237</v>
      </c>
      <c r="D898" s="145">
        <v>117159.7633</v>
      </c>
      <c r="E898" s="146">
        <v>115384.6154</v>
      </c>
      <c r="F898" s="148">
        <v>94082.84024</v>
      </c>
      <c r="G898" s="148">
        <v>120710.0592</v>
      </c>
      <c r="H898" s="145">
        <v>161538.4615</v>
      </c>
      <c r="I898" s="146">
        <v>127810.6509</v>
      </c>
      <c r="J898" s="148">
        <v>134911.2426</v>
      </c>
      <c r="K898" s="145">
        <v>136686.3905</v>
      </c>
      <c r="L898" s="145">
        <v>143786.9822</v>
      </c>
      <c r="M898" s="145">
        <v>124260.355</v>
      </c>
      <c r="N898" s="145">
        <v>106508.8757</v>
      </c>
      <c r="O898" s="148">
        <v>94082.84024</v>
      </c>
      <c r="P898" s="148">
        <v>72781.06509</v>
      </c>
      <c r="Q898" s="146">
        <v>76331.36095</v>
      </c>
      <c r="R898" s="148">
        <v>85207.10059</v>
      </c>
      <c r="S898" s="148">
        <v>101183.432</v>
      </c>
    </row>
    <row r="899">
      <c r="A899" s="145">
        <v>55.5</v>
      </c>
      <c r="B899" s="145">
        <f t="shared" si="1"/>
        <v>17926.5</v>
      </c>
      <c r="C899" s="148">
        <v>108284.0237</v>
      </c>
      <c r="D899" s="145">
        <v>117159.7633</v>
      </c>
      <c r="E899" s="146">
        <v>115384.6154</v>
      </c>
      <c r="F899" s="148">
        <v>95857.98817</v>
      </c>
      <c r="G899" s="148">
        <v>120710.0592</v>
      </c>
      <c r="H899" s="145">
        <v>161538.4615</v>
      </c>
      <c r="I899" s="146">
        <v>127810.6509</v>
      </c>
      <c r="J899" s="148">
        <v>134911.2426</v>
      </c>
      <c r="K899" s="145">
        <v>136686.3905</v>
      </c>
      <c r="L899" s="145">
        <v>143786.9822</v>
      </c>
      <c r="M899" s="145">
        <v>124260.355</v>
      </c>
      <c r="N899" s="145">
        <v>106508.8757</v>
      </c>
      <c r="O899" s="148">
        <v>94082.84024</v>
      </c>
      <c r="P899" s="148">
        <v>72781.06509</v>
      </c>
      <c r="Q899" s="146">
        <v>76331.36095</v>
      </c>
      <c r="R899" s="148">
        <v>85207.10059</v>
      </c>
      <c r="S899" s="148">
        <v>101183.432</v>
      </c>
    </row>
    <row r="900">
      <c r="A900" s="145">
        <v>55.563</v>
      </c>
      <c r="B900" s="145">
        <f t="shared" si="1"/>
        <v>17946.849</v>
      </c>
      <c r="C900" s="148">
        <v>108284.0237</v>
      </c>
      <c r="D900" s="145">
        <v>117159.7633</v>
      </c>
      <c r="E900" s="146">
        <v>115384.6154</v>
      </c>
      <c r="F900" s="148">
        <v>95857.98817</v>
      </c>
      <c r="G900" s="148">
        <v>120710.0592</v>
      </c>
      <c r="H900" s="145">
        <v>161538.4615</v>
      </c>
      <c r="I900" s="146">
        <v>127810.6509</v>
      </c>
      <c r="J900" s="148">
        <v>134911.2426</v>
      </c>
      <c r="K900" s="145">
        <v>136686.3905</v>
      </c>
      <c r="L900" s="145">
        <v>143786.9822</v>
      </c>
      <c r="M900" s="145">
        <v>124260.355</v>
      </c>
      <c r="N900" s="145">
        <v>106508.8757</v>
      </c>
      <c r="O900" s="148">
        <v>94082.84024</v>
      </c>
      <c r="P900" s="148">
        <v>72781.06509</v>
      </c>
      <c r="Q900" s="146">
        <v>76331.36095</v>
      </c>
      <c r="R900" s="148">
        <v>85207.10059</v>
      </c>
      <c r="S900" s="148">
        <v>101183.432</v>
      </c>
    </row>
    <row r="901">
      <c r="A901" s="145">
        <v>55.625</v>
      </c>
      <c r="B901" s="145">
        <f t="shared" si="1"/>
        <v>17966.875</v>
      </c>
      <c r="C901" s="148">
        <v>108284.0237</v>
      </c>
      <c r="D901" s="145">
        <v>117159.7633</v>
      </c>
      <c r="E901" s="146">
        <v>115384.6154</v>
      </c>
      <c r="F901" s="148">
        <v>95857.98817</v>
      </c>
      <c r="G901" s="148">
        <v>127810.6509</v>
      </c>
      <c r="H901" s="145">
        <v>165088.7574</v>
      </c>
      <c r="I901" s="146">
        <v>127810.6509</v>
      </c>
      <c r="J901" s="148">
        <v>134911.2426</v>
      </c>
      <c r="K901" s="145">
        <v>136686.3905</v>
      </c>
      <c r="L901" s="145">
        <v>143786.9822</v>
      </c>
      <c r="M901" s="145">
        <v>124260.355</v>
      </c>
      <c r="N901" s="145">
        <v>108284.0237</v>
      </c>
      <c r="O901" s="148">
        <v>94082.84024</v>
      </c>
      <c r="P901" s="148">
        <v>72781.06509</v>
      </c>
      <c r="Q901" s="146">
        <v>78106.50888</v>
      </c>
      <c r="R901" s="148">
        <v>85207.10059</v>
      </c>
      <c r="S901" s="148">
        <v>101183.432</v>
      </c>
    </row>
    <row r="902">
      <c r="A902" s="145">
        <v>55.704</v>
      </c>
      <c r="B902" s="145">
        <f t="shared" si="1"/>
        <v>17992.392</v>
      </c>
      <c r="C902" s="148">
        <v>108284.0237</v>
      </c>
      <c r="D902" s="145">
        <v>117159.7633</v>
      </c>
      <c r="E902" s="146">
        <v>115384.6154</v>
      </c>
      <c r="F902" s="148">
        <v>97633.1361</v>
      </c>
      <c r="G902" s="148">
        <v>127810.6509</v>
      </c>
      <c r="H902" s="145">
        <v>165088.7574</v>
      </c>
      <c r="I902" s="146">
        <v>127810.6509</v>
      </c>
      <c r="J902" s="148">
        <v>134911.2426</v>
      </c>
      <c r="K902" s="145">
        <v>136686.3905</v>
      </c>
      <c r="L902" s="145">
        <v>143786.9822</v>
      </c>
      <c r="M902" s="145">
        <v>124260.355</v>
      </c>
      <c r="N902" s="145">
        <v>108284.0237</v>
      </c>
      <c r="O902" s="148">
        <v>94082.84024</v>
      </c>
      <c r="P902" s="148">
        <v>72781.06509</v>
      </c>
      <c r="Q902" s="146">
        <v>78106.50888</v>
      </c>
      <c r="R902" s="148">
        <v>85207.10059</v>
      </c>
      <c r="S902" s="148">
        <v>101183.432</v>
      </c>
    </row>
    <row r="903">
      <c r="A903" s="145">
        <v>55.75</v>
      </c>
      <c r="B903" s="145">
        <f t="shared" si="1"/>
        <v>18007.25</v>
      </c>
      <c r="C903" s="148">
        <v>108284.0237</v>
      </c>
      <c r="D903" s="145">
        <v>117159.7633</v>
      </c>
      <c r="E903" s="146">
        <v>115384.6154</v>
      </c>
      <c r="F903" s="148">
        <v>97633.1361</v>
      </c>
      <c r="G903" s="148">
        <v>127810.6509</v>
      </c>
      <c r="H903" s="145">
        <v>165088.7574</v>
      </c>
      <c r="I903" s="146">
        <v>127810.6509</v>
      </c>
      <c r="J903" s="148">
        <v>134911.2426</v>
      </c>
      <c r="K903" s="145">
        <v>136686.3905</v>
      </c>
      <c r="L903" s="145">
        <v>143786.9822</v>
      </c>
      <c r="M903" s="145">
        <v>124260.355</v>
      </c>
      <c r="N903" s="145">
        <v>108284.0237</v>
      </c>
      <c r="O903" s="148">
        <v>94082.84024</v>
      </c>
      <c r="P903" s="148">
        <v>72781.06509</v>
      </c>
      <c r="Q903" s="146">
        <v>78106.50888</v>
      </c>
      <c r="R903" s="148">
        <v>85207.10059</v>
      </c>
      <c r="S903" s="148">
        <v>101183.432</v>
      </c>
    </row>
    <row r="904">
      <c r="A904" s="145">
        <v>55.813</v>
      </c>
      <c r="B904" s="145">
        <f t="shared" si="1"/>
        <v>18027.599</v>
      </c>
      <c r="C904" s="148">
        <v>108284.0237</v>
      </c>
      <c r="D904" s="145">
        <v>117159.7633</v>
      </c>
      <c r="E904" s="146">
        <v>115384.6154</v>
      </c>
      <c r="F904" s="148">
        <v>97633.1361</v>
      </c>
      <c r="G904" s="148">
        <v>127810.6509</v>
      </c>
      <c r="H904" s="145">
        <v>165088.7574</v>
      </c>
      <c r="I904" s="146">
        <v>127810.6509</v>
      </c>
      <c r="J904" s="148">
        <v>136686.3905</v>
      </c>
      <c r="K904" s="145">
        <v>136686.3905</v>
      </c>
      <c r="L904" s="145">
        <v>143786.9822</v>
      </c>
      <c r="M904" s="145">
        <v>124260.355</v>
      </c>
      <c r="N904" s="145">
        <v>108284.0237</v>
      </c>
      <c r="O904" s="148">
        <v>94082.84024</v>
      </c>
      <c r="P904" s="148">
        <v>72781.06509</v>
      </c>
      <c r="Q904" s="146">
        <v>78106.50888</v>
      </c>
      <c r="R904" s="148">
        <v>85207.10059</v>
      </c>
      <c r="S904" s="148">
        <v>101183.432</v>
      </c>
    </row>
    <row r="905">
      <c r="A905" s="145">
        <v>55.875</v>
      </c>
      <c r="B905" s="145">
        <f t="shared" si="1"/>
        <v>18047.625</v>
      </c>
      <c r="C905" s="148">
        <v>108284.0237</v>
      </c>
      <c r="D905" s="145">
        <v>117159.7633</v>
      </c>
      <c r="E905" s="146">
        <v>115384.6154</v>
      </c>
      <c r="F905" s="148">
        <v>97633.1361</v>
      </c>
      <c r="G905" s="148">
        <v>127810.6509</v>
      </c>
      <c r="H905" s="145">
        <v>165088.7574</v>
      </c>
      <c r="I905" s="146">
        <v>127810.6509</v>
      </c>
      <c r="J905" s="148">
        <v>136686.3905</v>
      </c>
      <c r="K905" s="145">
        <v>136686.3905</v>
      </c>
      <c r="L905" s="145">
        <v>143786.9822</v>
      </c>
      <c r="M905" s="145">
        <v>124260.355</v>
      </c>
      <c r="N905" s="145">
        <v>108284.0237</v>
      </c>
      <c r="O905" s="148">
        <v>94082.84024</v>
      </c>
      <c r="P905" s="148">
        <v>72781.06509</v>
      </c>
      <c r="Q905" s="146">
        <v>78106.50888</v>
      </c>
      <c r="R905" s="148">
        <v>85207.10059</v>
      </c>
      <c r="S905" s="148">
        <v>101183.432</v>
      </c>
    </row>
    <row r="906">
      <c r="A906" s="145">
        <v>55.938</v>
      </c>
      <c r="B906" s="145">
        <f t="shared" si="1"/>
        <v>18067.974</v>
      </c>
      <c r="C906" s="148">
        <v>108284.0237</v>
      </c>
      <c r="D906" s="145">
        <v>117159.7633</v>
      </c>
      <c r="E906" s="146">
        <v>115384.6154</v>
      </c>
      <c r="F906" s="148">
        <v>97633.1361</v>
      </c>
      <c r="G906" s="148">
        <v>127810.6509</v>
      </c>
      <c r="H906" s="145">
        <v>165088.7574</v>
      </c>
      <c r="I906" s="146">
        <v>127810.6509</v>
      </c>
      <c r="J906" s="148">
        <v>136686.3905</v>
      </c>
      <c r="K906" s="145">
        <v>136686.3905</v>
      </c>
      <c r="L906" s="145">
        <v>143786.9822</v>
      </c>
      <c r="M906" s="145">
        <v>124260.355</v>
      </c>
      <c r="N906" s="145">
        <v>108284.0237</v>
      </c>
      <c r="O906" s="148">
        <v>94082.84024</v>
      </c>
      <c r="P906" s="148">
        <v>72781.06509</v>
      </c>
      <c r="Q906" s="146">
        <v>78106.50888</v>
      </c>
      <c r="R906" s="148">
        <v>85207.10059</v>
      </c>
      <c r="S906" s="148">
        <v>101183.432</v>
      </c>
    </row>
    <row r="907">
      <c r="A907" s="145">
        <v>56.016</v>
      </c>
      <c r="B907" s="145">
        <f t="shared" si="1"/>
        <v>18093.168</v>
      </c>
      <c r="C907" s="148">
        <v>108284.0237</v>
      </c>
      <c r="D907" s="145">
        <v>117159.7633</v>
      </c>
      <c r="E907" s="146">
        <v>115384.6154</v>
      </c>
      <c r="F907" s="148">
        <v>97633.1361</v>
      </c>
      <c r="G907" s="148">
        <v>127810.6509</v>
      </c>
      <c r="H907" s="145">
        <v>165088.7574</v>
      </c>
      <c r="I907" s="146">
        <v>127810.6509</v>
      </c>
      <c r="J907" s="148">
        <v>136686.3905</v>
      </c>
      <c r="K907" s="145">
        <v>136686.3905</v>
      </c>
      <c r="L907" s="145">
        <v>143786.9822</v>
      </c>
      <c r="M907" s="145">
        <v>124260.355</v>
      </c>
      <c r="N907" s="145">
        <v>108284.0237</v>
      </c>
      <c r="O907" s="148">
        <v>94082.84024</v>
      </c>
      <c r="P907" s="148">
        <v>72781.06509</v>
      </c>
      <c r="Q907" s="146">
        <v>78106.50888</v>
      </c>
      <c r="R907" s="148">
        <v>85207.10059</v>
      </c>
      <c r="S907" s="148">
        <v>101183.432</v>
      </c>
    </row>
    <row r="908">
      <c r="A908" s="145">
        <v>56.063</v>
      </c>
      <c r="B908" s="145">
        <f t="shared" si="1"/>
        <v>18108.349</v>
      </c>
      <c r="C908" s="148">
        <v>108284.0237</v>
      </c>
      <c r="D908" s="145">
        <v>117159.7633</v>
      </c>
      <c r="E908" s="146">
        <v>115384.6154</v>
      </c>
      <c r="F908" s="148">
        <v>97633.1361</v>
      </c>
      <c r="G908" s="148">
        <v>127810.6509</v>
      </c>
      <c r="H908" s="145">
        <v>165088.7574</v>
      </c>
      <c r="I908" s="146">
        <v>127810.6509</v>
      </c>
      <c r="J908" s="148">
        <v>136686.3905</v>
      </c>
      <c r="K908" s="145">
        <v>136686.3905</v>
      </c>
      <c r="L908" s="145">
        <v>143786.9822</v>
      </c>
      <c r="M908" s="145">
        <v>124260.355</v>
      </c>
      <c r="N908" s="145">
        <v>108284.0237</v>
      </c>
      <c r="O908" s="148">
        <v>94082.84024</v>
      </c>
      <c r="P908" s="148">
        <v>72781.06509</v>
      </c>
      <c r="Q908" s="146">
        <v>78106.50888</v>
      </c>
      <c r="R908" s="148">
        <v>85207.10059</v>
      </c>
      <c r="S908" s="148">
        <v>101183.432</v>
      </c>
    </row>
    <row r="909">
      <c r="A909" s="145">
        <v>56.125</v>
      </c>
      <c r="B909" s="145">
        <f t="shared" si="1"/>
        <v>18128.375</v>
      </c>
      <c r="C909" s="148">
        <v>108284.0237</v>
      </c>
      <c r="D909" s="145">
        <v>117159.7633</v>
      </c>
      <c r="E909" s="146">
        <v>115384.6154</v>
      </c>
      <c r="F909" s="148">
        <v>97633.1361</v>
      </c>
      <c r="G909" s="148">
        <v>127810.6509</v>
      </c>
      <c r="H909" s="145">
        <v>165088.7574</v>
      </c>
      <c r="I909" s="146">
        <v>127810.6509</v>
      </c>
      <c r="J909" s="148">
        <v>136686.3905</v>
      </c>
      <c r="K909" s="145">
        <v>136686.3905</v>
      </c>
      <c r="L909" s="145">
        <v>143786.9822</v>
      </c>
      <c r="M909" s="145">
        <v>124260.355</v>
      </c>
      <c r="N909" s="145">
        <v>108284.0237</v>
      </c>
      <c r="O909" s="148">
        <v>94082.84024</v>
      </c>
      <c r="P909" s="148">
        <v>72781.06509</v>
      </c>
      <c r="Q909" s="146">
        <v>78106.50888</v>
      </c>
      <c r="R909" s="148">
        <v>85207.10059</v>
      </c>
      <c r="S909" s="148">
        <v>101183.432</v>
      </c>
    </row>
    <row r="910">
      <c r="A910" s="145">
        <v>56.188</v>
      </c>
      <c r="B910" s="145">
        <f t="shared" si="1"/>
        <v>18148.724</v>
      </c>
      <c r="C910" s="148">
        <v>110059.1716</v>
      </c>
      <c r="D910" s="145">
        <v>117159.7633</v>
      </c>
      <c r="E910" s="146">
        <v>117159.7633</v>
      </c>
      <c r="F910" s="148">
        <v>97633.1361</v>
      </c>
      <c r="G910" s="148">
        <v>127810.6509</v>
      </c>
      <c r="H910" s="145">
        <v>165088.7574</v>
      </c>
      <c r="I910" s="146">
        <v>127810.6509</v>
      </c>
      <c r="J910" s="148">
        <v>136686.3905</v>
      </c>
      <c r="K910" s="145">
        <v>136686.3905</v>
      </c>
      <c r="L910" s="145">
        <v>143786.9822</v>
      </c>
      <c r="M910" s="145">
        <v>124260.355</v>
      </c>
      <c r="N910" s="145">
        <v>108284.0237</v>
      </c>
      <c r="O910" s="148">
        <v>94082.84024</v>
      </c>
      <c r="P910" s="148">
        <v>72781.06509</v>
      </c>
      <c r="Q910" s="146">
        <v>78106.50888</v>
      </c>
      <c r="R910" s="148">
        <v>85207.10059</v>
      </c>
      <c r="S910" s="148">
        <v>101183.432</v>
      </c>
    </row>
    <row r="911">
      <c r="A911" s="145">
        <v>56.25</v>
      </c>
      <c r="B911" s="145">
        <f t="shared" si="1"/>
        <v>18168.75</v>
      </c>
      <c r="C911" s="148">
        <v>110059.1716</v>
      </c>
      <c r="D911" s="145">
        <v>117159.7633</v>
      </c>
      <c r="E911" s="146">
        <v>117159.7633</v>
      </c>
      <c r="F911" s="148">
        <v>97633.1361</v>
      </c>
      <c r="G911" s="148">
        <v>127810.6509</v>
      </c>
      <c r="H911" s="145">
        <v>165088.7574</v>
      </c>
      <c r="I911" s="146">
        <v>127810.6509</v>
      </c>
      <c r="J911" s="148">
        <v>136686.3905</v>
      </c>
      <c r="K911" s="145">
        <v>136686.3905</v>
      </c>
      <c r="L911" s="145">
        <v>143786.9822</v>
      </c>
      <c r="M911" s="145">
        <v>124260.355</v>
      </c>
      <c r="N911" s="145">
        <v>108284.0237</v>
      </c>
      <c r="O911" s="148">
        <v>94082.84024</v>
      </c>
      <c r="P911" s="148">
        <v>72781.06509</v>
      </c>
      <c r="Q911" s="146">
        <v>78106.50888</v>
      </c>
      <c r="R911" s="148">
        <v>85207.10059</v>
      </c>
      <c r="S911" s="148">
        <v>101183.432</v>
      </c>
    </row>
    <row r="912">
      <c r="A912" s="145">
        <v>56.313</v>
      </c>
      <c r="B912" s="145">
        <f t="shared" si="1"/>
        <v>18189.099</v>
      </c>
      <c r="C912" s="148">
        <v>110059.1716</v>
      </c>
      <c r="D912" s="145">
        <v>117159.7633</v>
      </c>
      <c r="E912" s="146">
        <v>117159.7633</v>
      </c>
      <c r="F912" s="148">
        <v>97633.1361</v>
      </c>
      <c r="G912" s="148">
        <v>127810.6509</v>
      </c>
      <c r="H912" s="145">
        <v>165088.7574</v>
      </c>
      <c r="I912" s="146">
        <v>127810.6509</v>
      </c>
      <c r="J912" s="148">
        <v>136686.3905</v>
      </c>
      <c r="K912" s="145">
        <v>136686.3905</v>
      </c>
      <c r="L912" s="145">
        <v>143786.9822</v>
      </c>
      <c r="M912" s="145">
        <v>124260.355</v>
      </c>
      <c r="N912" s="145">
        <v>108284.0237</v>
      </c>
      <c r="O912" s="148">
        <v>94082.84024</v>
      </c>
      <c r="P912" s="148">
        <v>72781.06509</v>
      </c>
      <c r="Q912" s="146">
        <v>78106.50888</v>
      </c>
      <c r="R912" s="148">
        <v>85207.10059</v>
      </c>
      <c r="S912" s="148">
        <v>101183.432</v>
      </c>
    </row>
    <row r="913">
      <c r="A913" s="145">
        <v>56.391</v>
      </c>
      <c r="B913" s="145">
        <f t="shared" si="1"/>
        <v>18214.293</v>
      </c>
      <c r="C913" s="148">
        <v>110059.1716</v>
      </c>
      <c r="D913" s="145">
        <v>117159.7633</v>
      </c>
      <c r="E913" s="146">
        <v>117159.7633</v>
      </c>
      <c r="F913" s="148">
        <v>97633.1361</v>
      </c>
      <c r="G913" s="148">
        <v>127810.6509</v>
      </c>
      <c r="H913" s="145">
        <v>165088.7574</v>
      </c>
      <c r="I913" s="146">
        <v>127810.6509</v>
      </c>
      <c r="J913" s="148">
        <v>136686.3905</v>
      </c>
      <c r="K913" s="145">
        <v>136686.3905</v>
      </c>
      <c r="L913" s="145">
        <v>143786.9822</v>
      </c>
      <c r="M913" s="145">
        <v>124260.355</v>
      </c>
      <c r="N913" s="145">
        <v>108284.0237</v>
      </c>
      <c r="O913" s="148">
        <v>94082.84024</v>
      </c>
      <c r="P913" s="148">
        <v>72781.06509</v>
      </c>
      <c r="Q913" s="146">
        <v>78106.50888</v>
      </c>
      <c r="R913" s="148">
        <v>85207.10059</v>
      </c>
      <c r="S913" s="148">
        <v>101183.432</v>
      </c>
    </row>
    <row r="914">
      <c r="A914" s="145">
        <v>56.438</v>
      </c>
      <c r="B914" s="145">
        <f t="shared" si="1"/>
        <v>18229.474</v>
      </c>
      <c r="C914" s="148">
        <v>110059.1716</v>
      </c>
      <c r="D914" s="145">
        <v>117159.7633</v>
      </c>
      <c r="E914" s="146">
        <v>117159.7633</v>
      </c>
      <c r="F914" s="148">
        <v>97633.1361</v>
      </c>
      <c r="G914" s="148">
        <v>127810.6509</v>
      </c>
      <c r="H914" s="148">
        <v>165088.7574</v>
      </c>
      <c r="I914" s="146">
        <v>127810.6509</v>
      </c>
      <c r="J914" s="148">
        <v>136686.3905</v>
      </c>
      <c r="K914" s="145">
        <v>136686.3905</v>
      </c>
      <c r="L914" s="145">
        <v>143786.9822</v>
      </c>
      <c r="M914" s="145">
        <v>124260.355</v>
      </c>
      <c r="N914" s="145">
        <v>108284.0237</v>
      </c>
      <c r="O914" s="148">
        <v>94082.84024</v>
      </c>
      <c r="P914" s="148">
        <v>72781.06509</v>
      </c>
      <c r="Q914" s="146">
        <v>78106.50888</v>
      </c>
      <c r="R914" s="148">
        <v>85207.10059</v>
      </c>
      <c r="S914" s="148">
        <v>101183.432</v>
      </c>
    </row>
    <row r="915">
      <c r="A915" s="145">
        <v>56.5</v>
      </c>
      <c r="B915" s="145">
        <f t="shared" si="1"/>
        <v>18249.5</v>
      </c>
      <c r="C915" s="148">
        <v>110059.1716</v>
      </c>
      <c r="D915" s="145">
        <v>117159.7633</v>
      </c>
      <c r="E915" s="146">
        <v>117159.7633</v>
      </c>
      <c r="F915" s="148">
        <v>97633.1361</v>
      </c>
      <c r="G915" s="148">
        <v>127810.6509</v>
      </c>
      <c r="H915" s="148">
        <v>165088.7574</v>
      </c>
      <c r="I915" s="146">
        <v>127810.6509</v>
      </c>
      <c r="J915" s="148">
        <v>136686.3905</v>
      </c>
      <c r="K915" s="145">
        <v>136686.3905</v>
      </c>
      <c r="L915" s="145">
        <v>143786.9822</v>
      </c>
      <c r="M915" s="145">
        <v>124260.355</v>
      </c>
      <c r="N915" s="145">
        <v>108284.0237</v>
      </c>
      <c r="O915" s="148">
        <v>94082.84024</v>
      </c>
      <c r="P915" s="148">
        <v>72781.06509</v>
      </c>
      <c r="Q915" s="146">
        <v>78106.50888</v>
      </c>
      <c r="R915" s="148">
        <v>85207.10059</v>
      </c>
      <c r="S915" s="148">
        <v>101183.432</v>
      </c>
    </row>
    <row r="916">
      <c r="A916" s="145">
        <v>56.563</v>
      </c>
      <c r="B916" s="145">
        <f t="shared" si="1"/>
        <v>18269.849</v>
      </c>
      <c r="C916" s="148">
        <v>110059.1716</v>
      </c>
      <c r="D916" s="145">
        <v>117159.7633</v>
      </c>
      <c r="E916" s="146">
        <v>117159.7633</v>
      </c>
      <c r="F916" s="148">
        <v>97633.1361</v>
      </c>
      <c r="G916" s="148">
        <v>127810.6509</v>
      </c>
      <c r="H916" s="148">
        <v>165088.7574</v>
      </c>
      <c r="I916" s="146">
        <v>127810.6509</v>
      </c>
      <c r="J916" s="148">
        <v>136686.3905</v>
      </c>
      <c r="K916" s="148">
        <v>136686.3905</v>
      </c>
      <c r="L916" s="148">
        <v>143786.9822</v>
      </c>
      <c r="M916" s="148">
        <v>124260.355</v>
      </c>
      <c r="N916" s="145">
        <v>108284.0237</v>
      </c>
      <c r="O916" s="148">
        <v>94082.84024</v>
      </c>
      <c r="P916" s="148">
        <v>72781.06509</v>
      </c>
      <c r="Q916" s="146">
        <v>78106.50888</v>
      </c>
      <c r="R916" s="148">
        <v>85207.10059</v>
      </c>
      <c r="S916" s="148">
        <v>101183.432</v>
      </c>
    </row>
    <row r="917">
      <c r="A917" s="145">
        <v>56.625</v>
      </c>
      <c r="B917" s="145">
        <f t="shared" si="1"/>
        <v>18289.875</v>
      </c>
      <c r="C917" s="148">
        <v>110059.1716</v>
      </c>
      <c r="D917" s="145">
        <v>117159.7633</v>
      </c>
      <c r="E917" s="146">
        <v>117159.7633</v>
      </c>
      <c r="F917" s="148">
        <v>97633.1361</v>
      </c>
      <c r="G917" s="148">
        <v>127810.6509</v>
      </c>
      <c r="H917" s="148">
        <v>165088.7574</v>
      </c>
      <c r="I917" s="146">
        <v>127810.6509</v>
      </c>
      <c r="J917" s="148">
        <v>140236.6864</v>
      </c>
      <c r="K917" s="148">
        <v>136686.3905</v>
      </c>
      <c r="L917" s="148">
        <v>143786.9822</v>
      </c>
      <c r="M917" s="148">
        <v>124260.355</v>
      </c>
      <c r="N917" s="145">
        <v>108284.0237</v>
      </c>
      <c r="O917" s="148">
        <v>94082.84024</v>
      </c>
      <c r="P917" s="148">
        <v>72781.06509</v>
      </c>
      <c r="Q917" s="146">
        <v>78106.50888</v>
      </c>
      <c r="R917" s="148">
        <v>85207.10059</v>
      </c>
      <c r="S917" s="148">
        <v>101183.432</v>
      </c>
    </row>
    <row r="918">
      <c r="A918" s="145">
        <v>56.704</v>
      </c>
      <c r="B918" s="145">
        <f t="shared" si="1"/>
        <v>18315.392</v>
      </c>
      <c r="C918" s="148">
        <v>110059.1716</v>
      </c>
      <c r="D918" s="145">
        <v>117159.7633</v>
      </c>
      <c r="E918" s="146">
        <v>117159.7633</v>
      </c>
      <c r="F918" s="148">
        <v>97633.1361</v>
      </c>
      <c r="G918" s="148">
        <v>127810.6509</v>
      </c>
      <c r="H918" s="148">
        <v>165088.7574</v>
      </c>
      <c r="I918" s="146">
        <v>127810.6509</v>
      </c>
      <c r="J918" s="148">
        <v>140236.6864</v>
      </c>
      <c r="K918" s="148">
        <v>136686.3905</v>
      </c>
      <c r="L918" s="148">
        <v>143786.9822</v>
      </c>
      <c r="M918" s="148">
        <v>124260.355</v>
      </c>
      <c r="N918" s="145">
        <v>108284.0237</v>
      </c>
      <c r="O918" s="148">
        <v>94082.84024</v>
      </c>
      <c r="P918" s="148">
        <v>72781.06509</v>
      </c>
      <c r="Q918" s="146">
        <v>78106.50888</v>
      </c>
      <c r="R918" s="148">
        <v>86982.24852</v>
      </c>
      <c r="S918" s="148">
        <v>101183.432</v>
      </c>
    </row>
    <row r="919">
      <c r="A919" s="145">
        <v>56.75</v>
      </c>
      <c r="B919" s="145">
        <f t="shared" si="1"/>
        <v>18330.25</v>
      </c>
      <c r="C919" s="148">
        <v>110059.1716</v>
      </c>
      <c r="D919" s="145">
        <v>117159.7633</v>
      </c>
      <c r="E919" s="146">
        <v>117159.7633</v>
      </c>
      <c r="F919" s="148">
        <v>97633.1361</v>
      </c>
      <c r="G919" s="148">
        <v>127810.6509</v>
      </c>
      <c r="H919" s="148">
        <v>165088.7574</v>
      </c>
      <c r="I919" s="146">
        <v>127810.6509</v>
      </c>
      <c r="J919" s="148">
        <v>140236.6864</v>
      </c>
      <c r="K919" s="148">
        <v>136686.3905</v>
      </c>
      <c r="L919" s="148">
        <v>143786.9822</v>
      </c>
      <c r="M919" s="148">
        <v>124260.355</v>
      </c>
      <c r="N919" s="145">
        <v>108284.0237</v>
      </c>
      <c r="O919" s="148">
        <v>94082.84024</v>
      </c>
      <c r="P919" s="148">
        <v>72781.06509</v>
      </c>
      <c r="Q919" s="146">
        <v>79881.65681</v>
      </c>
      <c r="R919" s="148">
        <v>86982.24852</v>
      </c>
      <c r="S919" s="148">
        <v>101183.432</v>
      </c>
    </row>
    <row r="920">
      <c r="A920" s="145">
        <v>56.813</v>
      </c>
      <c r="B920" s="145">
        <f t="shared" si="1"/>
        <v>18350.599</v>
      </c>
      <c r="C920" s="148">
        <v>110059.1716</v>
      </c>
      <c r="D920" s="145">
        <v>117159.7633</v>
      </c>
      <c r="E920" s="146">
        <v>117159.7633</v>
      </c>
      <c r="F920" s="148">
        <v>97633.1361</v>
      </c>
      <c r="G920" s="148">
        <v>127810.6509</v>
      </c>
      <c r="H920" s="148">
        <v>165088.7574</v>
      </c>
      <c r="I920" s="146">
        <v>127810.6509</v>
      </c>
      <c r="J920" s="148">
        <v>140236.6864</v>
      </c>
      <c r="K920" s="148">
        <v>136686.3905</v>
      </c>
      <c r="L920" s="148">
        <v>143786.9822</v>
      </c>
      <c r="M920" s="148">
        <v>124260.355</v>
      </c>
      <c r="N920" s="145">
        <v>108284.0237</v>
      </c>
      <c r="O920" s="148">
        <v>94082.84024</v>
      </c>
      <c r="P920" s="148">
        <v>72781.06509</v>
      </c>
      <c r="Q920" s="146">
        <v>79881.65681</v>
      </c>
      <c r="R920" s="148">
        <v>86982.24852</v>
      </c>
      <c r="S920" s="148">
        <v>101183.432</v>
      </c>
    </row>
    <row r="921">
      <c r="A921" s="145">
        <v>56.875</v>
      </c>
      <c r="B921" s="145">
        <f t="shared" si="1"/>
        <v>18370.625</v>
      </c>
      <c r="C921" s="148">
        <v>110059.1716</v>
      </c>
      <c r="D921" s="145">
        <v>117159.7633</v>
      </c>
      <c r="E921" s="146">
        <v>117159.7633</v>
      </c>
      <c r="F921" s="148">
        <v>97633.1361</v>
      </c>
      <c r="G921" s="148">
        <v>127810.6509</v>
      </c>
      <c r="H921" s="148">
        <v>165088.7574</v>
      </c>
      <c r="I921" s="146">
        <v>127810.6509</v>
      </c>
      <c r="J921" s="148">
        <v>140236.6864</v>
      </c>
      <c r="K921" s="148">
        <v>136686.3905</v>
      </c>
      <c r="L921" s="148">
        <v>143786.9822</v>
      </c>
      <c r="M921" s="148">
        <v>124260.355</v>
      </c>
      <c r="N921" s="145">
        <v>108284.0237</v>
      </c>
      <c r="O921" s="148">
        <v>94082.84024</v>
      </c>
      <c r="P921" s="148">
        <v>74556.21302</v>
      </c>
      <c r="Q921" s="146">
        <v>79881.65681</v>
      </c>
      <c r="R921" s="148">
        <v>86982.24852</v>
      </c>
      <c r="S921" s="148">
        <v>101183.432</v>
      </c>
    </row>
    <row r="922">
      <c r="A922" s="145">
        <v>56.938</v>
      </c>
      <c r="B922" s="145">
        <f t="shared" si="1"/>
        <v>18390.974</v>
      </c>
      <c r="C922" s="148">
        <v>110059.1716</v>
      </c>
      <c r="D922" s="145">
        <v>117159.7633</v>
      </c>
      <c r="E922" s="146">
        <v>117159.7633</v>
      </c>
      <c r="F922" s="148">
        <v>97633.1361</v>
      </c>
      <c r="G922" s="148">
        <v>127810.6509</v>
      </c>
      <c r="H922" s="148">
        <v>165088.7574</v>
      </c>
      <c r="I922" s="146">
        <v>127810.6509</v>
      </c>
      <c r="J922" s="148">
        <v>140236.6864</v>
      </c>
      <c r="K922" s="148">
        <v>136686.3905</v>
      </c>
      <c r="L922" s="148">
        <v>143786.9822</v>
      </c>
      <c r="M922" s="148">
        <v>124260.355</v>
      </c>
      <c r="N922" s="145">
        <v>108284.0237</v>
      </c>
      <c r="O922" s="148">
        <v>94082.84024</v>
      </c>
      <c r="P922" s="148">
        <v>74556.21302</v>
      </c>
      <c r="Q922" s="146">
        <v>79881.65681</v>
      </c>
      <c r="R922" s="148">
        <v>86982.24852</v>
      </c>
      <c r="S922" s="148">
        <v>101183.432</v>
      </c>
    </row>
    <row r="923">
      <c r="A923" s="145">
        <v>57.0</v>
      </c>
      <c r="B923" s="145">
        <f t="shared" si="1"/>
        <v>18411</v>
      </c>
      <c r="C923" s="148">
        <v>110059.1716</v>
      </c>
      <c r="D923" s="145">
        <v>117159.7633</v>
      </c>
      <c r="E923" s="146">
        <v>117159.7633</v>
      </c>
      <c r="F923" s="148">
        <v>97633.1361</v>
      </c>
      <c r="G923" s="148">
        <v>127810.6509</v>
      </c>
      <c r="H923" s="148">
        <v>165088.7574</v>
      </c>
      <c r="I923" s="146">
        <v>127810.6509</v>
      </c>
      <c r="J923" s="148">
        <v>140236.6864</v>
      </c>
      <c r="K923" s="148">
        <v>136686.3905</v>
      </c>
      <c r="L923" s="148">
        <v>143786.9822</v>
      </c>
      <c r="M923" s="148">
        <v>124260.355</v>
      </c>
      <c r="N923" s="145">
        <v>108284.0237</v>
      </c>
      <c r="O923" s="148">
        <v>94082.84024</v>
      </c>
      <c r="P923" s="148">
        <v>74556.21302</v>
      </c>
      <c r="Q923" s="146">
        <v>79881.65681</v>
      </c>
      <c r="R923" s="148">
        <v>86982.24852</v>
      </c>
      <c r="S923" s="148">
        <v>101183.432</v>
      </c>
    </row>
    <row r="924">
      <c r="A924" s="145">
        <v>57.063</v>
      </c>
      <c r="B924" s="145">
        <f t="shared" si="1"/>
        <v>18431.349</v>
      </c>
      <c r="C924" s="148">
        <v>110059.1716</v>
      </c>
      <c r="D924" s="145">
        <v>117159.7633</v>
      </c>
      <c r="E924" s="146">
        <v>117159.7633</v>
      </c>
      <c r="F924" s="148">
        <v>97633.1361</v>
      </c>
      <c r="G924" s="148">
        <v>127810.6509</v>
      </c>
      <c r="H924" s="148">
        <v>165088.7574</v>
      </c>
      <c r="I924" s="146">
        <v>127810.6509</v>
      </c>
      <c r="J924" s="148">
        <v>140236.6864</v>
      </c>
      <c r="K924" s="148">
        <v>136686.3905</v>
      </c>
      <c r="L924" s="148">
        <v>143786.9822</v>
      </c>
      <c r="M924" s="148">
        <v>124260.355</v>
      </c>
      <c r="N924" s="145">
        <v>108284.0237</v>
      </c>
      <c r="O924" s="148">
        <v>94082.84024</v>
      </c>
      <c r="P924" s="148">
        <v>74556.21302</v>
      </c>
      <c r="Q924" s="146">
        <v>79881.65681</v>
      </c>
      <c r="R924" s="148">
        <v>86982.24852</v>
      </c>
      <c r="S924" s="148">
        <v>101183.432</v>
      </c>
    </row>
    <row r="925">
      <c r="A925" s="145">
        <v>57.125</v>
      </c>
      <c r="B925" s="145">
        <f t="shared" si="1"/>
        <v>18451.375</v>
      </c>
      <c r="C925" s="148">
        <v>110059.1716</v>
      </c>
      <c r="D925" s="145">
        <v>117159.7633</v>
      </c>
      <c r="E925" s="146">
        <v>117159.7633</v>
      </c>
      <c r="F925" s="148">
        <v>97633.1361</v>
      </c>
      <c r="G925" s="148">
        <v>127810.6509</v>
      </c>
      <c r="H925" s="148">
        <v>165088.7574</v>
      </c>
      <c r="I925" s="146">
        <v>127810.6509</v>
      </c>
      <c r="J925" s="148">
        <v>140236.6864</v>
      </c>
      <c r="K925" s="148">
        <v>136686.3905</v>
      </c>
      <c r="L925" s="148">
        <v>143786.9822</v>
      </c>
      <c r="M925" s="148">
        <v>124260.355</v>
      </c>
      <c r="N925" s="145">
        <v>108284.0237</v>
      </c>
      <c r="O925" s="148">
        <v>94082.84024</v>
      </c>
      <c r="P925" s="148">
        <v>74556.21302</v>
      </c>
      <c r="Q925" s="146">
        <v>79881.65681</v>
      </c>
      <c r="R925" s="148">
        <v>86982.24852</v>
      </c>
      <c r="S925" s="148">
        <v>101183.432</v>
      </c>
    </row>
    <row r="926">
      <c r="A926" s="145">
        <v>57.204</v>
      </c>
      <c r="B926" s="145">
        <f t="shared" si="1"/>
        <v>18476.892</v>
      </c>
      <c r="C926" s="148">
        <v>110059.1716</v>
      </c>
      <c r="D926" s="145">
        <v>118934.9112</v>
      </c>
      <c r="E926" s="146">
        <v>117159.7633</v>
      </c>
      <c r="F926" s="148">
        <v>97633.1361</v>
      </c>
      <c r="G926" s="148">
        <v>127810.6509</v>
      </c>
      <c r="H926" s="148">
        <v>165088.7574</v>
      </c>
      <c r="I926" s="146">
        <v>129585.7988</v>
      </c>
      <c r="J926" s="148">
        <v>140236.6864</v>
      </c>
      <c r="K926" s="148">
        <v>136686.3905</v>
      </c>
      <c r="L926" s="148">
        <v>143786.9822</v>
      </c>
      <c r="M926" s="148">
        <v>124260.355</v>
      </c>
      <c r="N926" s="145">
        <v>108284.0237</v>
      </c>
      <c r="O926" s="148">
        <v>94082.84024</v>
      </c>
      <c r="P926" s="148">
        <v>74556.21302</v>
      </c>
      <c r="Q926" s="146">
        <v>79881.65681</v>
      </c>
      <c r="R926" s="148">
        <v>86982.24852</v>
      </c>
      <c r="S926" s="148">
        <v>101183.432</v>
      </c>
    </row>
    <row r="927">
      <c r="A927" s="145">
        <v>57.25</v>
      </c>
      <c r="B927" s="145">
        <f t="shared" si="1"/>
        <v>18491.75</v>
      </c>
      <c r="C927" s="148">
        <v>110059.1716</v>
      </c>
      <c r="D927" s="145">
        <v>118934.9112</v>
      </c>
      <c r="E927" s="146">
        <v>117159.7633</v>
      </c>
      <c r="F927" s="148">
        <v>97633.1361</v>
      </c>
      <c r="G927" s="148">
        <v>133136.0947</v>
      </c>
      <c r="H927" s="148">
        <v>168639.0533</v>
      </c>
      <c r="I927" s="146">
        <v>129585.7988</v>
      </c>
      <c r="J927" s="148">
        <v>140236.6864</v>
      </c>
      <c r="K927" s="148">
        <v>136686.3905</v>
      </c>
      <c r="L927" s="148">
        <v>143786.9822</v>
      </c>
      <c r="M927" s="148">
        <v>124260.355</v>
      </c>
      <c r="N927" s="145">
        <v>108284.0237</v>
      </c>
      <c r="O927" s="148">
        <v>95857.98817</v>
      </c>
      <c r="P927" s="148">
        <v>74556.21302</v>
      </c>
      <c r="Q927" s="146">
        <v>79881.65681</v>
      </c>
      <c r="R927" s="148">
        <v>86982.24852</v>
      </c>
      <c r="S927" s="148">
        <v>101183.432</v>
      </c>
    </row>
    <row r="928">
      <c r="A928" s="145">
        <v>57.313</v>
      </c>
      <c r="B928" s="145">
        <f t="shared" si="1"/>
        <v>18512.099</v>
      </c>
      <c r="C928" s="148">
        <v>110059.1716</v>
      </c>
      <c r="D928" s="145">
        <v>118934.9112</v>
      </c>
      <c r="E928" s="146">
        <v>117159.7633</v>
      </c>
      <c r="F928" s="148">
        <v>97633.1361</v>
      </c>
      <c r="G928" s="148">
        <v>133136.0947</v>
      </c>
      <c r="H928" s="148">
        <v>168639.0533</v>
      </c>
      <c r="I928" s="146">
        <v>129585.7988</v>
      </c>
      <c r="J928" s="148">
        <v>140236.6864</v>
      </c>
      <c r="K928" s="148">
        <v>136686.3905</v>
      </c>
      <c r="L928" s="148">
        <v>143786.9822</v>
      </c>
      <c r="M928" s="148">
        <v>124260.355</v>
      </c>
      <c r="N928" s="145">
        <v>108284.0237</v>
      </c>
      <c r="O928" s="148">
        <v>95857.98817</v>
      </c>
      <c r="P928" s="148">
        <v>76331.36095</v>
      </c>
      <c r="Q928" s="146">
        <v>79881.65681</v>
      </c>
      <c r="R928" s="148">
        <v>86982.24852</v>
      </c>
      <c r="S928" s="148">
        <v>101183.432</v>
      </c>
    </row>
    <row r="929">
      <c r="A929" s="145">
        <v>57.375</v>
      </c>
      <c r="B929" s="145">
        <f t="shared" si="1"/>
        <v>18532.125</v>
      </c>
      <c r="C929" s="148">
        <v>110059.1716</v>
      </c>
      <c r="D929" s="145">
        <v>118934.9112</v>
      </c>
      <c r="E929" s="146">
        <v>117159.7633</v>
      </c>
      <c r="F929" s="148">
        <v>97633.1361</v>
      </c>
      <c r="G929" s="148">
        <v>133136.0947</v>
      </c>
      <c r="H929" s="148">
        <v>168639.0533</v>
      </c>
      <c r="I929" s="146">
        <v>129585.7988</v>
      </c>
      <c r="J929" s="148">
        <v>140236.6864</v>
      </c>
      <c r="K929" s="148">
        <v>136686.3905</v>
      </c>
      <c r="L929" s="148">
        <v>143786.9822</v>
      </c>
      <c r="M929" s="148">
        <v>124260.355</v>
      </c>
      <c r="N929" s="145">
        <v>108284.0237</v>
      </c>
      <c r="O929" s="148">
        <v>95857.98817</v>
      </c>
      <c r="P929" s="148">
        <v>76331.36095</v>
      </c>
      <c r="Q929" s="146">
        <v>79881.65681</v>
      </c>
      <c r="R929" s="148">
        <v>86982.24852</v>
      </c>
      <c r="S929" s="148">
        <v>101183.432</v>
      </c>
    </row>
    <row r="930">
      <c r="A930" s="145">
        <v>57.438</v>
      </c>
      <c r="B930" s="145">
        <f t="shared" si="1"/>
        <v>18552.474</v>
      </c>
      <c r="C930" s="148">
        <v>110059.1716</v>
      </c>
      <c r="D930" s="145">
        <v>118934.9112</v>
      </c>
      <c r="E930" s="146">
        <v>117159.7633</v>
      </c>
      <c r="F930" s="148">
        <v>97633.1361</v>
      </c>
      <c r="G930" s="148">
        <v>133136.0947</v>
      </c>
      <c r="H930" s="148">
        <v>168639.0533</v>
      </c>
      <c r="I930" s="146">
        <v>129585.7988</v>
      </c>
      <c r="J930" s="148">
        <v>140236.6864</v>
      </c>
      <c r="K930" s="148">
        <v>136686.3905</v>
      </c>
      <c r="L930" s="148">
        <v>143786.9822</v>
      </c>
      <c r="M930" s="148">
        <v>124260.355</v>
      </c>
      <c r="N930" s="148">
        <v>108284.0237</v>
      </c>
      <c r="O930" s="148">
        <v>95857.98817</v>
      </c>
      <c r="P930" s="148">
        <v>76331.36095</v>
      </c>
      <c r="Q930" s="146">
        <v>81656.80473</v>
      </c>
      <c r="R930" s="148">
        <v>86982.24852</v>
      </c>
      <c r="S930" s="148">
        <v>101183.432</v>
      </c>
    </row>
    <row r="931">
      <c r="A931" s="145">
        <v>57.5</v>
      </c>
      <c r="B931" s="145">
        <f t="shared" si="1"/>
        <v>18572.5</v>
      </c>
      <c r="C931" s="148">
        <v>110059.1716</v>
      </c>
      <c r="D931" s="145">
        <v>118934.9112</v>
      </c>
      <c r="E931" s="146">
        <v>117159.7633</v>
      </c>
      <c r="F931" s="148">
        <v>99408.28402</v>
      </c>
      <c r="G931" s="148">
        <v>133136.0947</v>
      </c>
      <c r="H931" s="148">
        <v>168639.0533</v>
      </c>
      <c r="I931" s="146">
        <v>129585.7988</v>
      </c>
      <c r="J931" s="148">
        <v>140236.6864</v>
      </c>
      <c r="K931" s="148">
        <v>136686.3905</v>
      </c>
      <c r="L931" s="148">
        <v>143786.9822</v>
      </c>
      <c r="M931" s="148">
        <v>124260.355</v>
      </c>
      <c r="N931" s="148">
        <v>110059.1716</v>
      </c>
      <c r="O931" s="148">
        <v>95857.98817</v>
      </c>
      <c r="P931" s="148">
        <v>76331.36095</v>
      </c>
      <c r="Q931" s="146">
        <v>81656.80473</v>
      </c>
      <c r="R931" s="148">
        <v>86982.24852</v>
      </c>
      <c r="S931" s="148">
        <v>101183.432</v>
      </c>
    </row>
    <row r="932">
      <c r="A932" s="145">
        <v>57.563</v>
      </c>
      <c r="B932" s="145">
        <f t="shared" si="1"/>
        <v>18592.849</v>
      </c>
      <c r="C932" s="148">
        <v>110059.1716</v>
      </c>
      <c r="D932" s="145">
        <v>118934.9112</v>
      </c>
      <c r="E932" s="146">
        <v>118934.9112</v>
      </c>
      <c r="F932" s="148">
        <v>99408.28402</v>
      </c>
      <c r="G932" s="148">
        <v>133136.0947</v>
      </c>
      <c r="H932" s="148">
        <v>168639.0533</v>
      </c>
      <c r="I932" s="146">
        <v>129585.7988</v>
      </c>
      <c r="J932" s="148">
        <v>140236.6864</v>
      </c>
      <c r="K932" s="148">
        <v>136686.3905</v>
      </c>
      <c r="L932" s="148">
        <v>143786.9822</v>
      </c>
      <c r="M932" s="148">
        <v>124260.355</v>
      </c>
      <c r="N932" s="148">
        <v>110059.1716</v>
      </c>
      <c r="O932" s="148">
        <v>95857.98817</v>
      </c>
      <c r="P932" s="148">
        <v>76331.36095</v>
      </c>
      <c r="Q932" s="146">
        <v>81656.80473</v>
      </c>
      <c r="R932" s="148">
        <v>86982.24852</v>
      </c>
      <c r="S932" s="148">
        <v>101183.432</v>
      </c>
    </row>
    <row r="933">
      <c r="A933" s="145">
        <v>57.625</v>
      </c>
      <c r="B933" s="145">
        <f t="shared" si="1"/>
        <v>18612.875</v>
      </c>
      <c r="C933" s="148">
        <v>110059.1716</v>
      </c>
      <c r="D933" s="145">
        <v>118934.9112</v>
      </c>
      <c r="E933" s="146">
        <v>118934.9112</v>
      </c>
      <c r="F933" s="148">
        <v>99408.28402</v>
      </c>
      <c r="G933" s="148">
        <v>133136.0947</v>
      </c>
      <c r="H933" s="148">
        <v>168639.0533</v>
      </c>
      <c r="I933" s="146">
        <v>129585.7988</v>
      </c>
      <c r="J933" s="148">
        <v>140236.6864</v>
      </c>
      <c r="K933" s="148">
        <v>136686.3905</v>
      </c>
      <c r="L933" s="148">
        <v>143786.9822</v>
      </c>
      <c r="M933" s="148">
        <v>124260.355</v>
      </c>
      <c r="N933" s="148">
        <v>110059.1716</v>
      </c>
      <c r="O933" s="148">
        <v>95857.98817</v>
      </c>
      <c r="P933" s="148">
        <v>76331.36095</v>
      </c>
      <c r="Q933" s="146">
        <v>81656.80473</v>
      </c>
      <c r="R933" s="148">
        <v>86982.24852</v>
      </c>
      <c r="S933" s="148">
        <v>101183.432</v>
      </c>
    </row>
    <row r="934">
      <c r="A934" s="145">
        <v>57.704</v>
      </c>
      <c r="B934" s="145">
        <f t="shared" si="1"/>
        <v>18638.392</v>
      </c>
      <c r="C934" s="148">
        <v>110059.1716</v>
      </c>
      <c r="D934" s="145">
        <v>118934.9112</v>
      </c>
      <c r="E934" s="146">
        <v>118934.9112</v>
      </c>
      <c r="F934" s="148">
        <v>99408.28402</v>
      </c>
      <c r="G934" s="148">
        <v>133136.0947</v>
      </c>
      <c r="H934" s="148">
        <v>168639.0533</v>
      </c>
      <c r="I934" s="146">
        <v>129585.7988</v>
      </c>
      <c r="J934" s="148">
        <v>140236.6864</v>
      </c>
      <c r="K934" s="148">
        <v>136686.3905</v>
      </c>
      <c r="L934" s="148">
        <v>143786.9822</v>
      </c>
      <c r="M934" s="148">
        <v>124260.355</v>
      </c>
      <c r="N934" s="148">
        <v>110059.1716</v>
      </c>
      <c r="O934" s="148">
        <v>95857.98817</v>
      </c>
      <c r="P934" s="148">
        <v>76331.36095</v>
      </c>
      <c r="Q934" s="146">
        <v>81656.80473</v>
      </c>
      <c r="R934" s="148">
        <v>86982.24852</v>
      </c>
      <c r="S934" s="148">
        <v>101183.432</v>
      </c>
    </row>
    <row r="935">
      <c r="A935" s="145">
        <v>57.75</v>
      </c>
      <c r="B935" s="145">
        <f t="shared" si="1"/>
        <v>18653.25</v>
      </c>
      <c r="C935" s="148">
        <v>110059.1716</v>
      </c>
      <c r="D935" s="145">
        <v>118934.9112</v>
      </c>
      <c r="E935" s="146">
        <v>118934.9112</v>
      </c>
      <c r="F935" s="148">
        <v>99408.28402</v>
      </c>
      <c r="G935" s="148">
        <v>133136.0947</v>
      </c>
      <c r="H935" s="148">
        <v>168639.0533</v>
      </c>
      <c r="I935" s="146">
        <v>129585.7988</v>
      </c>
      <c r="J935" s="148">
        <v>140236.6864</v>
      </c>
      <c r="K935" s="148">
        <v>136686.3905</v>
      </c>
      <c r="L935" s="148">
        <v>143786.9822</v>
      </c>
      <c r="M935" s="148">
        <v>124260.355</v>
      </c>
      <c r="N935" s="148">
        <v>110059.1716</v>
      </c>
      <c r="O935" s="148">
        <v>95857.98817</v>
      </c>
      <c r="P935" s="148">
        <v>76331.36095</v>
      </c>
      <c r="Q935" s="146">
        <v>81656.80473</v>
      </c>
      <c r="R935" s="148">
        <v>86982.24852</v>
      </c>
      <c r="S935" s="148">
        <v>102958.5799</v>
      </c>
    </row>
    <row r="936">
      <c r="A936" s="145">
        <v>57.813</v>
      </c>
      <c r="B936" s="145">
        <f t="shared" si="1"/>
        <v>18673.599</v>
      </c>
      <c r="C936" s="148">
        <v>110059.1716</v>
      </c>
      <c r="D936" s="145">
        <v>118934.9112</v>
      </c>
      <c r="E936" s="146">
        <v>118934.9112</v>
      </c>
      <c r="F936" s="148">
        <v>99408.28402</v>
      </c>
      <c r="G936" s="148">
        <v>133136.0947</v>
      </c>
      <c r="H936" s="148">
        <v>168639.0533</v>
      </c>
      <c r="I936" s="146">
        <v>129585.7988</v>
      </c>
      <c r="J936" s="148">
        <v>140236.6864</v>
      </c>
      <c r="K936" s="148">
        <v>136686.3905</v>
      </c>
      <c r="L936" s="148">
        <v>143786.9822</v>
      </c>
      <c r="M936" s="148">
        <v>124260.355</v>
      </c>
      <c r="N936" s="148">
        <v>110059.1716</v>
      </c>
      <c r="O936" s="148">
        <v>95857.98817</v>
      </c>
      <c r="P936" s="148">
        <v>76331.36095</v>
      </c>
      <c r="Q936" s="146">
        <v>81656.80473</v>
      </c>
      <c r="R936" s="148">
        <v>86982.24852</v>
      </c>
      <c r="S936" s="148">
        <v>102958.5799</v>
      </c>
    </row>
    <row r="937">
      <c r="A937" s="145">
        <v>57.875</v>
      </c>
      <c r="B937" s="145">
        <f t="shared" si="1"/>
        <v>18693.625</v>
      </c>
      <c r="C937" s="148">
        <v>110059.1716</v>
      </c>
      <c r="D937" s="145">
        <v>118934.9112</v>
      </c>
      <c r="E937" s="146">
        <v>118934.9112</v>
      </c>
      <c r="F937" s="148">
        <v>99408.28402</v>
      </c>
      <c r="G937" s="148">
        <v>133136.0947</v>
      </c>
      <c r="H937" s="148">
        <v>168639.0533</v>
      </c>
      <c r="I937" s="146">
        <v>129585.7988</v>
      </c>
      <c r="J937" s="148">
        <v>140236.6864</v>
      </c>
      <c r="K937" s="148">
        <v>149112.426</v>
      </c>
      <c r="L937" s="148">
        <v>143786.9822</v>
      </c>
      <c r="M937" s="148">
        <v>124260.355</v>
      </c>
      <c r="N937" s="148">
        <v>110059.1716</v>
      </c>
      <c r="O937" s="148">
        <v>95857.98817</v>
      </c>
      <c r="P937" s="148">
        <v>76331.36095</v>
      </c>
      <c r="Q937" s="146">
        <v>81656.80473</v>
      </c>
      <c r="R937" s="148">
        <v>86982.24852</v>
      </c>
      <c r="S937" s="148">
        <v>102958.5799</v>
      </c>
    </row>
    <row r="938">
      <c r="A938" s="145">
        <v>57.938</v>
      </c>
      <c r="B938" s="145">
        <f t="shared" si="1"/>
        <v>18713.974</v>
      </c>
      <c r="C938" s="148">
        <v>110059.1716</v>
      </c>
      <c r="D938" s="145">
        <v>118934.9112</v>
      </c>
      <c r="E938" s="146">
        <v>118934.9112</v>
      </c>
      <c r="F938" s="148">
        <v>99408.28402</v>
      </c>
      <c r="G938" s="148">
        <v>133136.0947</v>
      </c>
      <c r="H938" s="148">
        <v>168639.0533</v>
      </c>
      <c r="I938" s="146">
        <v>129585.7988</v>
      </c>
      <c r="J938" s="148">
        <v>140236.6864</v>
      </c>
      <c r="K938" s="148">
        <v>149112.426</v>
      </c>
      <c r="L938" s="148">
        <v>143786.9822</v>
      </c>
      <c r="M938" s="148">
        <v>124260.355</v>
      </c>
      <c r="N938" s="148">
        <v>110059.1716</v>
      </c>
      <c r="O938" s="148">
        <v>95857.98817</v>
      </c>
      <c r="P938" s="148">
        <v>76331.36095</v>
      </c>
      <c r="Q938" s="146">
        <v>81656.80473</v>
      </c>
      <c r="R938" s="148">
        <v>86982.24852</v>
      </c>
      <c r="S938" s="148">
        <v>102958.5799</v>
      </c>
    </row>
    <row r="939">
      <c r="A939" s="145">
        <v>58.0</v>
      </c>
      <c r="B939" s="145">
        <f t="shared" si="1"/>
        <v>18734</v>
      </c>
      <c r="C939" s="148">
        <v>110059.1716</v>
      </c>
      <c r="D939" s="145">
        <v>118934.9112</v>
      </c>
      <c r="E939" s="146">
        <v>118934.9112</v>
      </c>
      <c r="F939" s="148">
        <v>99408.28402</v>
      </c>
      <c r="G939" s="148">
        <v>133136.0947</v>
      </c>
      <c r="H939" s="148">
        <v>168639.0533</v>
      </c>
      <c r="I939" s="146">
        <v>129585.7988</v>
      </c>
      <c r="J939" s="148">
        <v>140236.6864</v>
      </c>
      <c r="K939" s="148">
        <v>149112.426</v>
      </c>
      <c r="L939" s="148">
        <v>143786.9822</v>
      </c>
      <c r="M939" s="148">
        <v>124260.355</v>
      </c>
      <c r="N939" s="148">
        <v>110059.1716</v>
      </c>
      <c r="O939" s="148">
        <v>95857.98817</v>
      </c>
      <c r="P939" s="148">
        <v>76331.36095</v>
      </c>
      <c r="Q939" s="146">
        <v>81656.80473</v>
      </c>
      <c r="R939" s="148">
        <v>86982.24852</v>
      </c>
      <c r="S939" s="148">
        <v>102958.5799</v>
      </c>
    </row>
    <row r="940">
      <c r="A940" s="145">
        <v>58.063</v>
      </c>
      <c r="B940" s="145">
        <f t="shared" si="1"/>
        <v>18754.349</v>
      </c>
      <c r="C940" s="148">
        <v>110059.1716</v>
      </c>
      <c r="D940" s="145">
        <v>118934.9112</v>
      </c>
      <c r="E940" s="146">
        <v>118934.9112</v>
      </c>
      <c r="F940" s="148">
        <v>99408.28402</v>
      </c>
      <c r="G940" s="148">
        <v>133136.0947</v>
      </c>
      <c r="H940" s="148">
        <v>168639.0533</v>
      </c>
      <c r="I940" s="146">
        <v>129585.7988</v>
      </c>
      <c r="J940" s="148">
        <v>143786.9822</v>
      </c>
      <c r="K940" s="148">
        <v>149112.426</v>
      </c>
      <c r="L940" s="148">
        <v>143786.9822</v>
      </c>
      <c r="M940" s="148">
        <v>127810.6509</v>
      </c>
      <c r="N940" s="148">
        <v>110059.1716</v>
      </c>
      <c r="O940" s="148">
        <v>95857.98817</v>
      </c>
      <c r="P940" s="148">
        <v>76331.36095</v>
      </c>
      <c r="Q940" s="146">
        <v>81656.80473</v>
      </c>
      <c r="R940" s="148">
        <v>86982.24852</v>
      </c>
      <c r="S940" s="148">
        <v>102958.5799</v>
      </c>
    </row>
    <row r="941">
      <c r="A941" s="145">
        <v>58.125</v>
      </c>
      <c r="B941" s="145">
        <f t="shared" si="1"/>
        <v>18774.375</v>
      </c>
      <c r="C941" s="148">
        <v>110059.1716</v>
      </c>
      <c r="D941" s="145">
        <v>118934.9112</v>
      </c>
      <c r="E941" s="146">
        <v>118934.9112</v>
      </c>
      <c r="F941" s="148">
        <v>99408.28402</v>
      </c>
      <c r="G941" s="148">
        <v>133136.0947</v>
      </c>
      <c r="H941" s="148">
        <v>168639.0533</v>
      </c>
      <c r="I941" s="146">
        <v>129585.7988</v>
      </c>
      <c r="J941" s="148">
        <v>143786.9822</v>
      </c>
      <c r="K941" s="148">
        <v>149112.426</v>
      </c>
      <c r="L941" s="148">
        <v>143786.9822</v>
      </c>
      <c r="M941" s="148">
        <v>127810.6509</v>
      </c>
      <c r="N941" s="148">
        <v>110059.1716</v>
      </c>
      <c r="O941" s="148">
        <v>95857.98817</v>
      </c>
      <c r="P941" s="148">
        <v>76331.36095</v>
      </c>
      <c r="Q941" s="146">
        <v>81656.80473</v>
      </c>
      <c r="R941" s="148">
        <v>86982.24852</v>
      </c>
      <c r="S941" s="148">
        <v>102958.5799</v>
      </c>
    </row>
    <row r="942">
      <c r="A942" s="145">
        <v>58.188</v>
      </c>
      <c r="B942" s="145">
        <f t="shared" si="1"/>
        <v>18794.724</v>
      </c>
      <c r="C942" s="148">
        <v>110059.1716</v>
      </c>
      <c r="D942" s="145">
        <v>118934.9112</v>
      </c>
      <c r="E942" s="146">
        <v>118934.9112</v>
      </c>
      <c r="F942" s="148">
        <v>99408.28402</v>
      </c>
      <c r="G942" s="148">
        <v>133136.0947</v>
      </c>
      <c r="H942" s="148">
        <v>168639.0533</v>
      </c>
      <c r="I942" s="146">
        <v>129585.7988</v>
      </c>
      <c r="J942" s="148">
        <v>143786.9822</v>
      </c>
      <c r="K942" s="148">
        <v>149112.426</v>
      </c>
      <c r="L942" s="148">
        <v>143786.9822</v>
      </c>
      <c r="M942" s="148">
        <v>127810.6509</v>
      </c>
      <c r="N942" s="148">
        <v>110059.1716</v>
      </c>
      <c r="O942" s="148">
        <v>95857.98817</v>
      </c>
      <c r="P942" s="148">
        <v>76331.36095</v>
      </c>
      <c r="Q942" s="146">
        <v>81656.80473</v>
      </c>
      <c r="R942" s="148">
        <v>86982.24852</v>
      </c>
      <c r="S942" s="148">
        <v>102958.5799</v>
      </c>
    </row>
    <row r="943">
      <c r="A943" s="145">
        <v>58.25</v>
      </c>
      <c r="B943" s="145">
        <f t="shared" si="1"/>
        <v>18814.75</v>
      </c>
      <c r="C943" s="148">
        <v>110059.1716</v>
      </c>
      <c r="D943" s="145">
        <v>118934.9112</v>
      </c>
      <c r="E943" s="146">
        <v>118934.9112</v>
      </c>
      <c r="F943" s="148">
        <v>99408.28402</v>
      </c>
      <c r="G943" s="148">
        <v>133136.0947</v>
      </c>
      <c r="H943" s="148">
        <v>168639.0533</v>
      </c>
      <c r="I943" s="146">
        <v>129585.7988</v>
      </c>
      <c r="J943" s="148">
        <v>143786.9822</v>
      </c>
      <c r="K943" s="148">
        <v>149112.426</v>
      </c>
      <c r="L943" s="148">
        <v>145562.1302</v>
      </c>
      <c r="M943" s="148">
        <v>127810.6509</v>
      </c>
      <c r="N943" s="148">
        <v>110059.1716</v>
      </c>
      <c r="O943" s="148">
        <v>95857.98817</v>
      </c>
      <c r="P943" s="148">
        <v>76331.36095</v>
      </c>
      <c r="Q943" s="146">
        <v>81656.80473</v>
      </c>
      <c r="R943" s="148">
        <v>86982.24852</v>
      </c>
      <c r="S943" s="148">
        <v>102958.5799</v>
      </c>
    </row>
    <row r="944">
      <c r="A944" s="145">
        <v>58.313</v>
      </c>
      <c r="B944" s="145">
        <f t="shared" si="1"/>
        <v>18835.099</v>
      </c>
      <c r="C944" s="148">
        <v>110059.1716</v>
      </c>
      <c r="D944" s="145">
        <v>118934.9112</v>
      </c>
      <c r="E944" s="146">
        <v>118934.9112</v>
      </c>
      <c r="F944" s="148">
        <v>99408.28402</v>
      </c>
      <c r="G944" s="148">
        <v>134911.2426</v>
      </c>
      <c r="H944" s="148">
        <v>170414.2012</v>
      </c>
      <c r="I944" s="146">
        <v>129585.7988</v>
      </c>
      <c r="J944" s="148">
        <v>143786.9822</v>
      </c>
      <c r="K944" s="148">
        <v>149112.426</v>
      </c>
      <c r="L944" s="148">
        <v>145562.1302</v>
      </c>
      <c r="M944" s="148">
        <v>127810.6509</v>
      </c>
      <c r="N944" s="148">
        <v>110059.1716</v>
      </c>
      <c r="O944" s="148">
        <v>95857.98817</v>
      </c>
      <c r="P944" s="148">
        <v>76331.36095</v>
      </c>
      <c r="Q944" s="146">
        <v>81656.80473</v>
      </c>
      <c r="R944" s="148">
        <v>86982.24852</v>
      </c>
      <c r="S944" s="148">
        <v>102958.5799</v>
      </c>
    </row>
    <row r="945">
      <c r="A945" s="145">
        <v>58.391</v>
      </c>
      <c r="B945" s="145">
        <f t="shared" si="1"/>
        <v>18860.293</v>
      </c>
      <c r="C945" s="148">
        <v>111834.3195</v>
      </c>
      <c r="D945" s="145">
        <v>118934.9112</v>
      </c>
      <c r="E945" s="146">
        <v>118934.9112</v>
      </c>
      <c r="F945" s="148">
        <v>101183.432</v>
      </c>
      <c r="G945" s="148">
        <v>134911.2426</v>
      </c>
      <c r="H945" s="148">
        <v>170414.2012</v>
      </c>
      <c r="I945" s="146">
        <v>129585.7988</v>
      </c>
      <c r="J945" s="148">
        <v>143786.9822</v>
      </c>
      <c r="K945" s="148">
        <v>149112.426</v>
      </c>
      <c r="L945" s="148">
        <v>145562.1302</v>
      </c>
      <c r="M945" s="148">
        <v>127810.6509</v>
      </c>
      <c r="N945" s="148">
        <v>110059.1716</v>
      </c>
      <c r="O945" s="148">
        <v>95857.98817</v>
      </c>
      <c r="P945" s="148">
        <v>76331.36095</v>
      </c>
      <c r="Q945" s="146">
        <v>81656.80473</v>
      </c>
      <c r="R945" s="148">
        <v>86982.24852</v>
      </c>
      <c r="S945" s="148">
        <v>102958.5799</v>
      </c>
    </row>
    <row r="946">
      <c r="A946" s="145">
        <v>58.438</v>
      </c>
      <c r="B946" s="145">
        <f t="shared" si="1"/>
        <v>18875.474</v>
      </c>
      <c r="C946" s="148">
        <v>111834.3195</v>
      </c>
      <c r="D946" s="145">
        <v>118934.9112</v>
      </c>
      <c r="E946" s="146">
        <v>118934.9112</v>
      </c>
      <c r="F946" s="148">
        <v>101183.432</v>
      </c>
      <c r="G946" s="148">
        <v>138461.5385</v>
      </c>
      <c r="H946" s="148">
        <v>170414.2012</v>
      </c>
      <c r="I946" s="146">
        <v>129585.7988</v>
      </c>
      <c r="J946" s="148">
        <v>143786.9822</v>
      </c>
      <c r="K946" s="148">
        <v>149112.426</v>
      </c>
      <c r="L946" s="148">
        <v>145562.1302</v>
      </c>
      <c r="M946" s="148">
        <v>127810.6509</v>
      </c>
      <c r="N946" s="148">
        <v>110059.1716</v>
      </c>
      <c r="O946" s="148">
        <v>95857.98817</v>
      </c>
      <c r="P946" s="148">
        <v>76331.36095</v>
      </c>
      <c r="Q946" s="146">
        <v>81656.80473</v>
      </c>
      <c r="R946" s="148">
        <v>86982.24852</v>
      </c>
      <c r="S946" s="148">
        <v>102958.5799</v>
      </c>
    </row>
    <row r="947">
      <c r="A947" s="145">
        <v>58.5</v>
      </c>
      <c r="B947" s="145">
        <f t="shared" si="1"/>
        <v>18895.5</v>
      </c>
      <c r="C947" s="148">
        <v>111834.3195</v>
      </c>
      <c r="D947" s="145">
        <v>118934.9112</v>
      </c>
      <c r="E947" s="146">
        <v>118934.9112</v>
      </c>
      <c r="F947" s="148">
        <v>101183.432</v>
      </c>
      <c r="G947" s="148">
        <v>138461.5385</v>
      </c>
      <c r="H947" s="148">
        <v>170414.2012</v>
      </c>
      <c r="I947" s="146">
        <v>129585.7988</v>
      </c>
      <c r="J947" s="148">
        <v>143786.9822</v>
      </c>
      <c r="K947" s="148">
        <v>149112.426</v>
      </c>
      <c r="L947" s="148">
        <v>145562.1302</v>
      </c>
      <c r="M947" s="148">
        <v>127810.6509</v>
      </c>
      <c r="N947" s="148">
        <v>110059.1716</v>
      </c>
      <c r="O947" s="148">
        <v>95857.98817</v>
      </c>
      <c r="P947" s="148">
        <v>76331.36095</v>
      </c>
      <c r="Q947" s="146">
        <v>81656.80473</v>
      </c>
      <c r="R947" s="148">
        <v>86982.24852</v>
      </c>
      <c r="S947" s="148">
        <v>102958.5799</v>
      </c>
    </row>
    <row r="948">
      <c r="A948" s="145">
        <v>58.563</v>
      </c>
      <c r="B948" s="145">
        <f t="shared" si="1"/>
        <v>18915.849</v>
      </c>
      <c r="C948" s="148">
        <v>111834.3195</v>
      </c>
      <c r="D948" s="145">
        <v>118934.9112</v>
      </c>
      <c r="E948" s="146">
        <v>118934.9112</v>
      </c>
      <c r="F948" s="148">
        <v>101183.432</v>
      </c>
      <c r="G948" s="148">
        <v>138461.5385</v>
      </c>
      <c r="H948" s="148">
        <v>170414.2012</v>
      </c>
      <c r="I948" s="146">
        <v>129585.7988</v>
      </c>
      <c r="J948" s="148">
        <v>143786.9822</v>
      </c>
      <c r="K948" s="148">
        <v>149112.426</v>
      </c>
      <c r="L948" s="148">
        <v>145562.1302</v>
      </c>
      <c r="M948" s="148">
        <v>127810.6509</v>
      </c>
      <c r="N948" s="148">
        <v>110059.1716</v>
      </c>
      <c r="O948" s="148">
        <v>95857.98817</v>
      </c>
      <c r="P948" s="148">
        <v>76331.36095</v>
      </c>
      <c r="Q948" s="146">
        <v>81656.80473</v>
      </c>
      <c r="R948" s="148">
        <v>86982.24852</v>
      </c>
      <c r="S948" s="148">
        <v>102958.5799</v>
      </c>
    </row>
    <row r="949">
      <c r="A949" s="145">
        <v>58.625</v>
      </c>
      <c r="B949" s="145">
        <f t="shared" si="1"/>
        <v>18935.875</v>
      </c>
      <c r="C949" s="148">
        <v>111834.3195</v>
      </c>
      <c r="D949" s="145">
        <v>118934.9112</v>
      </c>
      <c r="E949" s="146">
        <v>118934.9112</v>
      </c>
      <c r="F949" s="148">
        <v>101183.432</v>
      </c>
      <c r="G949" s="148">
        <v>138461.5385</v>
      </c>
      <c r="H949" s="148">
        <v>170414.2012</v>
      </c>
      <c r="I949" s="146">
        <v>129585.7988</v>
      </c>
      <c r="J949" s="148">
        <v>143786.9822</v>
      </c>
      <c r="K949" s="148">
        <v>149112.426</v>
      </c>
      <c r="L949" s="148">
        <v>145562.1302</v>
      </c>
      <c r="M949" s="148">
        <v>127810.6509</v>
      </c>
      <c r="N949" s="148">
        <v>110059.1716</v>
      </c>
      <c r="O949" s="148">
        <v>95857.98817</v>
      </c>
      <c r="P949" s="148">
        <v>76331.36095</v>
      </c>
      <c r="Q949" s="146">
        <v>81656.80473</v>
      </c>
      <c r="R949" s="148">
        <v>88757.39645</v>
      </c>
      <c r="S949" s="148">
        <v>102958.5799</v>
      </c>
    </row>
    <row r="950">
      <c r="A950" s="145">
        <v>58.704</v>
      </c>
      <c r="B950" s="145">
        <f t="shared" si="1"/>
        <v>18961.392</v>
      </c>
      <c r="C950" s="148">
        <v>111834.3195</v>
      </c>
      <c r="D950" s="145">
        <v>118934.9112</v>
      </c>
      <c r="E950" s="146">
        <v>118934.9112</v>
      </c>
      <c r="F950" s="148">
        <v>101183.432</v>
      </c>
      <c r="G950" s="148">
        <v>138461.5385</v>
      </c>
      <c r="H950" s="148">
        <v>170414.2012</v>
      </c>
      <c r="I950" s="146">
        <v>129585.7988</v>
      </c>
      <c r="J950" s="148">
        <v>143786.9822</v>
      </c>
      <c r="K950" s="148">
        <v>149112.426</v>
      </c>
      <c r="L950" s="148">
        <v>147337.2781</v>
      </c>
      <c r="M950" s="148">
        <v>127810.6509</v>
      </c>
      <c r="N950" s="148">
        <v>110059.1716</v>
      </c>
      <c r="O950" s="148">
        <v>95857.98817</v>
      </c>
      <c r="P950" s="148">
        <v>76331.36095</v>
      </c>
      <c r="Q950" s="146">
        <v>81656.80473</v>
      </c>
      <c r="R950" s="148">
        <v>88757.39645</v>
      </c>
      <c r="S950" s="148">
        <v>102958.5799</v>
      </c>
    </row>
    <row r="951">
      <c r="A951" s="145">
        <v>58.75</v>
      </c>
      <c r="B951" s="145">
        <f t="shared" si="1"/>
        <v>18976.25</v>
      </c>
      <c r="C951" s="148">
        <v>111834.3195</v>
      </c>
      <c r="D951" s="145">
        <v>118934.9112</v>
      </c>
      <c r="E951" s="146">
        <v>118934.9112</v>
      </c>
      <c r="F951" s="148">
        <v>101183.432</v>
      </c>
      <c r="G951" s="148">
        <v>138461.5385</v>
      </c>
      <c r="H951" s="148">
        <v>170414.2012</v>
      </c>
      <c r="I951" s="146">
        <v>131360.9467</v>
      </c>
      <c r="J951" s="148">
        <v>143786.9822</v>
      </c>
      <c r="K951" s="148">
        <v>149112.426</v>
      </c>
      <c r="L951" s="148">
        <v>147337.2781</v>
      </c>
      <c r="M951" s="148">
        <v>127810.6509</v>
      </c>
      <c r="N951" s="148">
        <v>110059.1716</v>
      </c>
      <c r="O951" s="148">
        <v>95857.98817</v>
      </c>
      <c r="P951" s="148">
        <v>76331.36095</v>
      </c>
      <c r="Q951" s="146">
        <v>81656.80473</v>
      </c>
      <c r="R951" s="148">
        <v>88757.39645</v>
      </c>
      <c r="S951" s="148">
        <v>102958.5799</v>
      </c>
    </row>
    <row r="952">
      <c r="A952" s="145">
        <v>58.813</v>
      </c>
      <c r="B952" s="145">
        <f t="shared" si="1"/>
        <v>18996.599</v>
      </c>
      <c r="C952" s="148">
        <v>111834.3195</v>
      </c>
      <c r="D952" s="145">
        <v>118934.9112</v>
      </c>
      <c r="E952" s="146">
        <v>118934.9112</v>
      </c>
      <c r="F952" s="148">
        <v>101183.432</v>
      </c>
      <c r="G952" s="148">
        <v>138461.5385</v>
      </c>
      <c r="H952" s="148">
        <v>170414.2012</v>
      </c>
      <c r="I952" s="146">
        <v>131360.9467</v>
      </c>
      <c r="J952" s="148">
        <v>143786.9822</v>
      </c>
      <c r="K952" s="148">
        <v>149112.426</v>
      </c>
      <c r="L952" s="148">
        <v>147337.2781</v>
      </c>
      <c r="M952" s="148">
        <v>127810.6509</v>
      </c>
      <c r="N952" s="148">
        <v>110059.1716</v>
      </c>
      <c r="O952" s="148">
        <v>95857.98817</v>
      </c>
      <c r="P952" s="148">
        <v>76331.36095</v>
      </c>
      <c r="Q952" s="146">
        <v>81656.80473</v>
      </c>
      <c r="R952" s="148">
        <v>88757.39645</v>
      </c>
      <c r="S952" s="148">
        <v>102958.5799</v>
      </c>
    </row>
    <row r="953">
      <c r="A953" s="145">
        <v>58.875</v>
      </c>
      <c r="B953" s="145">
        <f t="shared" si="1"/>
        <v>19016.625</v>
      </c>
      <c r="C953" s="148">
        <v>111834.3195</v>
      </c>
      <c r="D953" s="145">
        <v>118934.9112</v>
      </c>
      <c r="E953" s="146">
        <v>118934.9112</v>
      </c>
      <c r="F953" s="148">
        <v>101183.432</v>
      </c>
      <c r="G953" s="148">
        <v>138461.5385</v>
      </c>
      <c r="H953" s="148">
        <v>170414.2012</v>
      </c>
      <c r="I953" s="146">
        <v>133136.0947</v>
      </c>
      <c r="J953" s="148">
        <v>143786.9822</v>
      </c>
      <c r="K953" s="148">
        <v>149112.426</v>
      </c>
      <c r="L953" s="148">
        <v>147337.2781</v>
      </c>
      <c r="M953" s="148">
        <v>127810.6509</v>
      </c>
      <c r="N953" s="148">
        <v>110059.1716</v>
      </c>
      <c r="O953" s="148">
        <v>95857.98817</v>
      </c>
      <c r="P953" s="148">
        <v>76331.36095</v>
      </c>
      <c r="Q953" s="146">
        <v>81656.80473</v>
      </c>
      <c r="R953" s="148">
        <v>88757.39645</v>
      </c>
      <c r="S953" s="148">
        <v>102958.5799</v>
      </c>
    </row>
    <row r="954">
      <c r="A954" s="145">
        <v>58.938</v>
      </c>
      <c r="B954" s="145">
        <f t="shared" si="1"/>
        <v>19036.974</v>
      </c>
      <c r="C954" s="148">
        <v>111834.3195</v>
      </c>
      <c r="D954" s="145">
        <v>118934.9112</v>
      </c>
      <c r="E954" s="146">
        <v>118934.9112</v>
      </c>
      <c r="F954" s="148">
        <v>101183.432</v>
      </c>
      <c r="G954" s="148">
        <v>138461.5385</v>
      </c>
      <c r="H954" s="148">
        <v>170414.2012</v>
      </c>
      <c r="I954" s="146">
        <v>133136.0947</v>
      </c>
      <c r="J954" s="148">
        <v>143786.9822</v>
      </c>
      <c r="K954" s="148">
        <v>149112.426</v>
      </c>
      <c r="L954" s="148">
        <v>147337.2781</v>
      </c>
      <c r="M954" s="148">
        <v>127810.6509</v>
      </c>
      <c r="N954" s="148">
        <v>110059.1716</v>
      </c>
      <c r="O954" s="148">
        <v>95857.98817</v>
      </c>
      <c r="P954" s="148">
        <v>76331.36095</v>
      </c>
      <c r="Q954" s="146">
        <v>81656.80473</v>
      </c>
      <c r="R954" s="148">
        <v>88757.39645</v>
      </c>
      <c r="S954" s="148">
        <v>104733.7278</v>
      </c>
    </row>
    <row r="955">
      <c r="A955" s="145">
        <v>59.0</v>
      </c>
      <c r="B955" s="145">
        <f t="shared" si="1"/>
        <v>19057</v>
      </c>
      <c r="C955" s="148">
        <v>111834.3195</v>
      </c>
      <c r="D955" s="145">
        <v>118934.9112</v>
      </c>
      <c r="E955" s="146">
        <v>118934.9112</v>
      </c>
      <c r="F955" s="148">
        <v>101183.432</v>
      </c>
      <c r="G955" s="148">
        <v>138461.5385</v>
      </c>
      <c r="H955" s="148">
        <v>170414.2012</v>
      </c>
      <c r="I955" s="146">
        <v>133136.0947</v>
      </c>
      <c r="J955" s="148">
        <v>143786.9822</v>
      </c>
      <c r="K955" s="148">
        <v>149112.426</v>
      </c>
      <c r="L955" s="148">
        <v>147337.2781</v>
      </c>
      <c r="M955" s="148">
        <v>127810.6509</v>
      </c>
      <c r="N955" s="148">
        <v>110059.1716</v>
      </c>
      <c r="O955" s="148">
        <v>95857.98817</v>
      </c>
      <c r="P955" s="148">
        <v>76331.36095</v>
      </c>
      <c r="Q955" s="146">
        <v>81656.80473</v>
      </c>
      <c r="R955" s="148">
        <v>88757.39645</v>
      </c>
      <c r="S955" s="148">
        <v>104733.7278</v>
      </c>
    </row>
    <row r="956">
      <c r="A956" s="145">
        <v>59.079</v>
      </c>
      <c r="B956" s="145">
        <f t="shared" si="1"/>
        <v>19082.517</v>
      </c>
      <c r="C956" s="148">
        <v>111834.3195</v>
      </c>
      <c r="D956" s="145">
        <v>118934.9112</v>
      </c>
      <c r="E956" s="146">
        <v>120710.0592</v>
      </c>
      <c r="F956" s="148">
        <v>101183.432</v>
      </c>
      <c r="G956" s="148">
        <v>138461.5385</v>
      </c>
      <c r="H956" s="148">
        <v>170414.2012</v>
      </c>
      <c r="I956" s="146">
        <v>133136.0947</v>
      </c>
      <c r="J956" s="148">
        <v>143786.9822</v>
      </c>
      <c r="K956" s="148">
        <v>149112.426</v>
      </c>
      <c r="L956" s="148">
        <v>147337.2781</v>
      </c>
      <c r="M956" s="148">
        <v>127810.6509</v>
      </c>
      <c r="N956" s="148">
        <v>111834.3195</v>
      </c>
      <c r="O956" s="148">
        <v>95857.98817</v>
      </c>
      <c r="P956" s="148">
        <v>76331.36095</v>
      </c>
      <c r="Q956" s="146">
        <v>81656.80473</v>
      </c>
      <c r="R956" s="148">
        <v>88757.39645</v>
      </c>
      <c r="S956" s="148">
        <v>104733.7278</v>
      </c>
    </row>
    <row r="957">
      <c r="A957" s="145">
        <v>59.125</v>
      </c>
      <c r="B957" s="145">
        <f t="shared" si="1"/>
        <v>19097.375</v>
      </c>
      <c r="C957" s="148">
        <v>111834.3195</v>
      </c>
      <c r="D957" s="145">
        <v>118934.9112</v>
      </c>
      <c r="E957" s="146">
        <v>120710.0592</v>
      </c>
      <c r="F957" s="148">
        <v>101183.432</v>
      </c>
      <c r="G957" s="148">
        <v>138461.5385</v>
      </c>
      <c r="H957" s="148">
        <v>170414.2012</v>
      </c>
      <c r="I957" s="146">
        <v>133136.0947</v>
      </c>
      <c r="J957" s="148">
        <v>143786.9822</v>
      </c>
      <c r="K957" s="148">
        <v>149112.426</v>
      </c>
      <c r="L957" s="148">
        <v>147337.2781</v>
      </c>
      <c r="M957" s="148">
        <v>127810.6509</v>
      </c>
      <c r="N957" s="148">
        <v>111834.3195</v>
      </c>
      <c r="O957" s="148">
        <v>95857.98817</v>
      </c>
      <c r="P957" s="148">
        <v>76331.36095</v>
      </c>
      <c r="Q957" s="146">
        <v>81656.80473</v>
      </c>
      <c r="R957" s="148">
        <v>88757.39645</v>
      </c>
      <c r="S957" s="148">
        <v>104733.7278</v>
      </c>
    </row>
    <row r="958">
      <c r="A958" s="145">
        <v>59.188</v>
      </c>
      <c r="B958" s="145">
        <f t="shared" si="1"/>
        <v>19117.724</v>
      </c>
      <c r="C958" s="148">
        <v>111834.3195</v>
      </c>
      <c r="D958" s="145">
        <v>118934.9112</v>
      </c>
      <c r="E958" s="146">
        <v>120710.0592</v>
      </c>
      <c r="F958" s="148">
        <v>101183.432</v>
      </c>
      <c r="G958" s="148">
        <v>138461.5385</v>
      </c>
      <c r="H958" s="148">
        <v>170414.2012</v>
      </c>
      <c r="I958" s="146">
        <v>133136.0947</v>
      </c>
      <c r="J958" s="148">
        <v>143786.9822</v>
      </c>
      <c r="K958" s="148">
        <v>149112.426</v>
      </c>
      <c r="L958" s="148">
        <v>147337.2781</v>
      </c>
      <c r="M958" s="148">
        <v>127810.6509</v>
      </c>
      <c r="N958" s="148">
        <v>111834.3195</v>
      </c>
      <c r="O958" s="148">
        <v>97633.1361</v>
      </c>
      <c r="P958" s="148">
        <v>76331.36095</v>
      </c>
      <c r="Q958" s="146">
        <v>81656.80473</v>
      </c>
      <c r="R958" s="148">
        <v>88757.39645</v>
      </c>
      <c r="S958" s="148">
        <v>104733.7278</v>
      </c>
    </row>
    <row r="959">
      <c r="A959" s="145">
        <v>59.25</v>
      </c>
      <c r="B959" s="145">
        <f t="shared" si="1"/>
        <v>19137.75</v>
      </c>
      <c r="C959" s="148">
        <v>111834.3195</v>
      </c>
      <c r="D959" s="145">
        <v>118934.9112</v>
      </c>
      <c r="E959" s="146">
        <v>120710.0592</v>
      </c>
      <c r="F959" s="148">
        <v>101183.432</v>
      </c>
      <c r="G959" s="148">
        <v>138461.5385</v>
      </c>
      <c r="H959" s="148">
        <v>170414.2012</v>
      </c>
      <c r="I959" s="146">
        <v>133136.0947</v>
      </c>
      <c r="J959" s="148">
        <v>143786.9822</v>
      </c>
      <c r="K959" s="148">
        <v>149112.426</v>
      </c>
      <c r="L959" s="148">
        <v>147337.2781</v>
      </c>
      <c r="M959" s="148">
        <v>127810.6509</v>
      </c>
      <c r="N959" s="148">
        <v>111834.3195</v>
      </c>
      <c r="O959" s="148">
        <v>97633.1361</v>
      </c>
      <c r="P959" s="148">
        <v>76331.36095</v>
      </c>
      <c r="Q959" s="146">
        <v>83431.95266</v>
      </c>
      <c r="R959" s="148">
        <v>88757.39645</v>
      </c>
      <c r="S959" s="148">
        <v>104733.7278</v>
      </c>
    </row>
    <row r="960">
      <c r="A960" s="145">
        <v>59.313</v>
      </c>
      <c r="B960" s="145">
        <f t="shared" si="1"/>
        <v>19158.099</v>
      </c>
      <c r="C960" s="148">
        <v>111834.3195</v>
      </c>
      <c r="D960" s="145">
        <v>118934.9112</v>
      </c>
      <c r="E960" s="146">
        <v>120710.0592</v>
      </c>
      <c r="F960" s="148">
        <v>101183.432</v>
      </c>
      <c r="G960" s="148">
        <v>138461.5385</v>
      </c>
      <c r="H960" s="148">
        <v>170414.2012</v>
      </c>
      <c r="I960" s="146">
        <v>133136.0947</v>
      </c>
      <c r="J960" s="148">
        <v>143786.9822</v>
      </c>
      <c r="K960" s="148">
        <v>149112.426</v>
      </c>
      <c r="L960" s="148">
        <v>147337.2781</v>
      </c>
      <c r="M960" s="148">
        <v>127810.6509</v>
      </c>
      <c r="N960" s="148">
        <v>111834.3195</v>
      </c>
      <c r="O960" s="148">
        <v>97633.1361</v>
      </c>
      <c r="P960" s="148">
        <v>76331.36095</v>
      </c>
      <c r="Q960" s="146">
        <v>83431.95266</v>
      </c>
      <c r="R960" s="148">
        <v>88757.39645</v>
      </c>
      <c r="S960" s="148">
        <v>104733.7278</v>
      </c>
    </row>
    <row r="961">
      <c r="A961" s="145">
        <v>59.391</v>
      </c>
      <c r="B961" s="145">
        <f t="shared" si="1"/>
        <v>19183.293</v>
      </c>
      <c r="C961" s="148">
        <v>111834.3195</v>
      </c>
      <c r="D961" s="145">
        <v>118934.9112</v>
      </c>
      <c r="E961" s="146">
        <v>120710.0592</v>
      </c>
      <c r="F961" s="148">
        <v>101183.432</v>
      </c>
      <c r="G961" s="148">
        <v>138461.5385</v>
      </c>
      <c r="H961" s="148">
        <v>170414.2012</v>
      </c>
      <c r="I961" s="146">
        <v>133136.0947</v>
      </c>
      <c r="J961" s="148">
        <v>143786.9822</v>
      </c>
      <c r="K961" s="148">
        <v>149112.426</v>
      </c>
      <c r="L961" s="148">
        <v>147337.2781</v>
      </c>
      <c r="M961" s="148">
        <v>127810.6509</v>
      </c>
      <c r="N961" s="148">
        <v>111834.3195</v>
      </c>
      <c r="O961" s="148">
        <v>97633.1361</v>
      </c>
      <c r="P961" s="148">
        <v>76331.36095</v>
      </c>
      <c r="Q961" s="146">
        <v>83431.95266</v>
      </c>
      <c r="R961" s="148">
        <v>88757.39645</v>
      </c>
      <c r="S961" s="148">
        <v>104733.7278</v>
      </c>
    </row>
    <row r="962">
      <c r="A962" s="145">
        <v>59.438</v>
      </c>
      <c r="B962" s="145">
        <f t="shared" si="1"/>
        <v>19198.474</v>
      </c>
      <c r="C962" s="148">
        <v>111834.3195</v>
      </c>
      <c r="D962" s="145">
        <v>118934.9112</v>
      </c>
      <c r="E962" s="146">
        <v>120710.0592</v>
      </c>
      <c r="F962" s="148">
        <v>101183.432</v>
      </c>
      <c r="G962" s="148">
        <v>138461.5385</v>
      </c>
      <c r="H962" s="148">
        <v>170414.2012</v>
      </c>
      <c r="I962" s="146">
        <v>133136.0947</v>
      </c>
      <c r="J962" s="148">
        <v>143786.9822</v>
      </c>
      <c r="K962" s="148">
        <v>152662.7219</v>
      </c>
      <c r="L962" s="148">
        <v>147337.2781</v>
      </c>
      <c r="M962" s="148">
        <v>127810.6509</v>
      </c>
      <c r="N962" s="148">
        <v>111834.3195</v>
      </c>
      <c r="O962" s="148">
        <v>97633.1361</v>
      </c>
      <c r="P962" s="148">
        <v>76331.36095</v>
      </c>
      <c r="Q962" s="146">
        <v>83431.95266</v>
      </c>
      <c r="R962" s="148">
        <v>88757.39645</v>
      </c>
      <c r="S962" s="148">
        <v>104733.7278</v>
      </c>
    </row>
    <row r="963">
      <c r="A963" s="145">
        <v>59.5</v>
      </c>
      <c r="B963" s="145">
        <f t="shared" si="1"/>
        <v>19218.5</v>
      </c>
      <c r="C963" s="148">
        <v>111834.3195</v>
      </c>
      <c r="D963" s="145">
        <v>118934.9112</v>
      </c>
      <c r="E963" s="146">
        <v>120710.0592</v>
      </c>
      <c r="F963" s="148">
        <v>101183.432</v>
      </c>
      <c r="G963" s="148">
        <v>138461.5385</v>
      </c>
      <c r="H963" s="148">
        <v>170414.2012</v>
      </c>
      <c r="I963" s="146">
        <v>133136.0947</v>
      </c>
      <c r="J963" s="148">
        <v>143786.9822</v>
      </c>
      <c r="K963" s="148">
        <v>152662.7219</v>
      </c>
      <c r="L963" s="148">
        <v>147337.2781</v>
      </c>
      <c r="M963" s="148">
        <v>127810.6509</v>
      </c>
      <c r="N963" s="148">
        <v>111834.3195</v>
      </c>
      <c r="O963" s="148">
        <v>97633.1361</v>
      </c>
      <c r="P963" s="148">
        <v>76331.36095</v>
      </c>
      <c r="Q963" s="146">
        <v>83431.95266</v>
      </c>
      <c r="R963" s="148">
        <v>88757.39645</v>
      </c>
      <c r="S963" s="148">
        <v>104733.7278</v>
      </c>
    </row>
    <row r="964">
      <c r="A964" s="145">
        <v>59.563</v>
      </c>
      <c r="B964" s="145">
        <f t="shared" si="1"/>
        <v>19238.849</v>
      </c>
      <c r="C964" s="148">
        <v>111834.3195</v>
      </c>
      <c r="D964" s="145">
        <v>118934.9112</v>
      </c>
      <c r="E964" s="146">
        <v>120710.0592</v>
      </c>
      <c r="F964" s="148">
        <v>101183.432</v>
      </c>
      <c r="G964" s="148">
        <v>138461.5385</v>
      </c>
      <c r="H964" s="148">
        <v>173964.497</v>
      </c>
      <c r="I964" s="146">
        <v>133136.0947</v>
      </c>
      <c r="J964" s="148">
        <v>143786.9822</v>
      </c>
      <c r="K964" s="148">
        <v>152662.7219</v>
      </c>
      <c r="L964" s="148">
        <v>147337.2781</v>
      </c>
      <c r="M964" s="148">
        <v>127810.6509</v>
      </c>
      <c r="N964" s="148">
        <v>111834.3195</v>
      </c>
      <c r="O964" s="148">
        <v>97633.1361</v>
      </c>
      <c r="P964" s="148">
        <v>76331.36095</v>
      </c>
      <c r="Q964" s="146">
        <v>83431.95266</v>
      </c>
      <c r="R964" s="148">
        <v>88757.39645</v>
      </c>
      <c r="S964" s="148">
        <v>104733.7278</v>
      </c>
    </row>
    <row r="965">
      <c r="A965" s="145">
        <v>59.625</v>
      </c>
      <c r="B965" s="145">
        <f t="shared" si="1"/>
        <v>19258.875</v>
      </c>
      <c r="C965" s="148">
        <v>111834.3195</v>
      </c>
      <c r="D965" s="145">
        <v>118934.9112</v>
      </c>
      <c r="E965" s="146">
        <v>120710.0592</v>
      </c>
      <c r="F965" s="148">
        <v>101183.432</v>
      </c>
      <c r="G965" s="148">
        <v>138461.5385</v>
      </c>
      <c r="H965" s="148">
        <v>173964.497</v>
      </c>
      <c r="I965" s="146">
        <v>133136.0947</v>
      </c>
      <c r="J965" s="148">
        <v>143786.9822</v>
      </c>
      <c r="K965" s="148">
        <v>152662.7219</v>
      </c>
      <c r="L965" s="148">
        <v>147337.2781</v>
      </c>
      <c r="M965" s="148">
        <v>127810.6509</v>
      </c>
      <c r="N965" s="148">
        <v>111834.3195</v>
      </c>
      <c r="O965" s="148">
        <v>97633.1361</v>
      </c>
      <c r="P965" s="148">
        <v>76331.36095</v>
      </c>
      <c r="Q965" s="146">
        <v>83431.95266</v>
      </c>
      <c r="R965" s="148">
        <v>88757.39645</v>
      </c>
      <c r="S965" s="148">
        <v>104733.7278</v>
      </c>
    </row>
    <row r="966">
      <c r="A966" s="145">
        <v>59.688</v>
      </c>
      <c r="B966" s="145">
        <f t="shared" si="1"/>
        <v>19279.224</v>
      </c>
      <c r="C966" s="148">
        <v>111834.3195</v>
      </c>
      <c r="D966" s="145">
        <v>118934.9112</v>
      </c>
      <c r="E966" s="146">
        <v>120710.0592</v>
      </c>
      <c r="F966" s="148">
        <v>101183.432</v>
      </c>
      <c r="G966" s="148">
        <v>138461.5385</v>
      </c>
      <c r="H966" s="148">
        <v>173964.497</v>
      </c>
      <c r="I966" s="146">
        <v>133136.0947</v>
      </c>
      <c r="J966" s="148">
        <v>143786.9822</v>
      </c>
      <c r="K966" s="148">
        <v>152662.7219</v>
      </c>
      <c r="L966" s="148">
        <v>147337.2781</v>
      </c>
      <c r="M966" s="148">
        <v>127810.6509</v>
      </c>
      <c r="N966" s="148">
        <v>111834.3195</v>
      </c>
      <c r="O966" s="148">
        <v>97633.1361</v>
      </c>
      <c r="P966" s="148">
        <v>76331.36095</v>
      </c>
      <c r="Q966" s="146">
        <v>83431.95266</v>
      </c>
      <c r="R966" s="148">
        <v>90532.54438</v>
      </c>
      <c r="S966" s="148">
        <v>104733.7278</v>
      </c>
    </row>
    <row r="967">
      <c r="A967" s="145">
        <v>59.75</v>
      </c>
      <c r="B967" s="145">
        <f t="shared" si="1"/>
        <v>19299.25</v>
      </c>
      <c r="C967" s="148">
        <v>111834.3195</v>
      </c>
      <c r="D967" s="145">
        <v>118934.9112</v>
      </c>
      <c r="E967" s="146">
        <v>120710.0592</v>
      </c>
      <c r="F967" s="148">
        <v>102958.5799</v>
      </c>
      <c r="G967" s="148">
        <v>138461.5385</v>
      </c>
      <c r="H967" s="148">
        <v>173964.497</v>
      </c>
      <c r="I967" s="146">
        <v>133136.0947</v>
      </c>
      <c r="J967" s="148">
        <v>143786.9822</v>
      </c>
      <c r="K967" s="148">
        <v>152662.7219</v>
      </c>
      <c r="L967" s="148">
        <v>147337.2781</v>
      </c>
      <c r="M967" s="148">
        <v>127810.6509</v>
      </c>
      <c r="N967" s="148">
        <v>111834.3195</v>
      </c>
      <c r="O967" s="148">
        <v>97633.1361</v>
      </c>
      <c r="P967" s="148">
        <v>76331.36095</v>
      </c>
      <c r="Q967" s="146">
        <v>83431.95266</v>
      </c>
      <c r="R967" s="148">
        <v>90532.54438</v>
      </c>
      <c r="S967" s="148">
        <v>104733.7278</v>
      </c>
    </row>
    <row r="968">
      <c r="A968" s="145">
        <v>59.813</v>
      </c>
      <c r="B968" s="145">
        <f t="shared" si="1"/>
        <v>19319.599</v>
      </c>
      <c r="C968" s="148">
        <v>111834.3195</v>
      </c>
      <c r="D968" s="145">
        <v>118934.9112</v>
      </c>
      <c r="E968" s="146">
        <v>122485.2071</v>
      </c>
      <c r="F968" s="148">
        <v>102958.5799</v>
      </c>
      <c r="G968" s="148">
        <v>138461.5385</v>
      </c>
      <c r="H968" s="148">
        <v>173964.497</v>
      </c>
      <c r="I968" s="146">
        <v>133136.0947</v>
      </c>
      <c r="J968" s="148">
        <v>143786.9822</v>
      </c>
      <c r="K968" s="148">
        <v>152662.7219</v>
      </c>
      <c r="L968" s="148">
        <v>147337.2781</v>
      </c>
      <c r="M968" s="148">
        <v>127810.6509</v>
      </c>
      <c r="N968" s="148">
        <v>113609.4675</v>
      </c>
      <c r="O968" s="148">
        <v>97633.1361</v>
      </c>
      <c r="P968" s="148">
        <v>76331.36095</v>
      </c>
      <c r="Q968" s="146">
        <v>83431.95266</v>
      </c>
      <c r="R968" s="148">
        <v>90532.54438</v>
      </c>
      <c r="S968" s="148">
        <v>104733.7278</v>
      </c>
    </row>
    <row r="969">
      <c r="A969" s="145">
        <v>59.875</v>
      </c>
      <c r="B969" s="145">
        <f t="shared" si="1"/>
        <v>19339.625</v>
      </c>
      <c r="C969" s="148">
        <v>111834.3195</v>
      </c>
      <c r="D969" s="145">
        <v>118934.9112</v>
      </c>
      <c r="E969" s="146">
        <v>122485.2071</v>
      </c>
      <c r="F969" s="148">
        <v>102958.5799</v>
      </c>
      <c r="G969" s="148">
        <v>138461.5385</v>
      </c>
      <c r="H969" s="148">
        <v>173964.497</v>
      </c>
      <c r="I969" s="146">
        <v>133136.0947</v>
      </c>
      <c r="J969" s="148">
        <v>143786.9822</v>
      </c>
      <c r="K969" s="148">
        <v>152662.7219</v>
      </c>
      <c r="L969" s="148">
        <v>147337.2781</v>
      </c>
      <c r="M969" s="148">
        <v>127810.6509</v>
      </c>
      <c r="N969" s="148">
        <v>113609.4675</v>
      </c>
      <c r="O969" s="148">
        <v>97633.1361</v>
      </c>
      <c r="P969" s="148">
        <v>76331.36095</v>
      </c>
      <c r="Q969" s="146">
        <v>83431.95266</v>
      </c>
      <c r="R969" s="148">
        <v>90532.54438</v>
      </c>
      <c r="S969" s="148">
        <v>104733.7278</v>
      </c>
    </row>
    <row r="970">
      <c r="A970" s="145">
        <v>59.954</v>
      </c>
      <c r="B970" s="145">
        <f t="shared" si="1"/>
        <v>19365.142</v>
      </c>
      <c r="C970" s="148">
        <v>111834.3195</v>
      </c>
      <c r="D970" s="145">
        <v>118934.9112</v>
      </c>
      <c r="E970" s="146">
        <v>122485.2071</v>
      </c>
      <c r="F970" s="148">
        <v>102958.5799</v>
      </c>
      <c r="G970" s="148">
        <v>138461.5385</v>
      </c>
      <c r="H970" s="148">
        <v>173964.497</v>
      </c>
      <c r="I970" s="146">
        <v>133136.0947</v>
      </c>
      <c r="J970" s="148">
        <v>143786.9822</v>
      </c>
      <c r="K970" s="148">
        <v>152662.7219</v>
      </c>
      <c r="L970" s="148">
        <v>147337.2781</v>
      </c>
      <c r="M970" s="148">
        <v>127810.6509</v>
      </c>
      <c r="N970" s="148">
        <v>113609.4675</v>
      </c>
      <c r="O970" s="148">
        <v>97633.1361</v>
      </c>
      <c r="P970" s="148">
        <v>76331.36095</v>
      </c>
      <c r="Q970" s="146">
        <v>83431.95266</v>
      </c>
      <c r="R970" s="148">
        <v>90532.54438</v>
      </c>
      <c r="S970" s="148">
        <v>104733.7278</v>
      </c>
    </row>
    <row r="971">
      <c r="A971" s="145">
        <v>60.0</v>
      </c>
      <c r="B971" s="145">
        <f t="shared" si="1"/>
        <v>19380</v>
      </c>
      <c r="C971" s="148">
        <v>111834.3195</v>
      </c>
      <c r="D971" s="145">
        <v>118934.9112</v>
      </c>
      <c r="E971" s="146">
        <v>122485.2071</v>
      </c>
      <c r="F971" s="148">
        <v>102958.5799</v>
      </c>
      <c r="G971" s="148">
        <v>138461.5385</v>
      </c>
      <c r="H971" s="148">
        <v>173964.497</v>
      </c>
      <c r="I971" s="146">
        <v>134911.2426</v>
      </c>
      <c r="J971" s="148">
        <v>143786.9822</v>
      </c>
      <c r="K971" s="148">
        <v>152662.7219</v>
      </c>
      <c r="L971" s="148">
        <v>147337.2781</v>
      </c>
      <c r="M971" s="148">
        <v>127810.6509</v>
      </c>
      <c r="N971" s="148">
        <v>113609.4675</v>
      </c>
      <c r="O971" s="148">
        <v>97633.1361</v>
      </c>
      <c r="P971" s="148">
        <v>76331.36095</v>
      </c>
      <c r="Q971" s="146">
        <v>83431.95266</v>
      </c>
      <c r="R971" s="148">
        <v>90532.54438</v>
      </c>
      <c r="S971" s="148">
        <v>104733.7278</v>
      </c>
    </row>
    <row r="972">
      <c r="A972" s="145">
        <v>60.063</v>
      </c>
      <c r="B972" s="145">
        <f t="shared" si="1"/>
        <v>19400.349</v>
      </c>
      <c r="C972" s="148">
        <v>111834.3195</v>
      </c>
      <c r="D972" s="145">
        <v>118934.9112</v>
      </c>
      <c r="E972" s="146">
        <v>122485.2071</v>
      </c>
      <c r="F972" s="148">
        <v>102958.5799</v>
      </c>
      <c r="G972" s="148">
        <v>143786.9822</v>
      </c>
      <c r="H972" s="148">
        <v>173964.497</v>
      </c>
      <c r="I972" s="146">
        <v>134911.2426</v>
      </c>
      <c r="J972" s="148">
        <v>143786.9822</v>
      </c>
      <c r="K972" s="148">
        <v>152662.7219</v>
      </c>
      <c r="L972" s="148">
        <v>149112.426</v>
      </c>
      <c r="M972" s="148">
        <v>127810.6509</v>
      </c>
      <c r="N972" s="148">
        <v>113609.4675</v>
      </c>
      <c r="O972" s="148">
        <v>97633.1361</v>
      </c>
      <c r="P972" s="148">
        <v>76331.36095</v>
      </c>
      <c r="Q972" s="146">
        <v>83431.95266</v>
      </c>
      <c r="R972" s="148">
        <v>90532.54438</v>
      </c>
      <c r="S972" s="148">
        <v>104733.7278</v>
      </c>
    </row>
    <row r="973">
      <c r="A973" s="145">
        <v>60.125</v>
      </c>
      <c r="B973" s="145">
        <f t="shared" si="1"/>
        <v>19420.375</v>
      </c>
      <c r="C973" s="148">
        <v>111834.3195</v>
      </c>
      <c r="D973" s="145">
        <v>118934.9112</v>
      </c>
      <c r="E973" s="146">
        <v>122485.2071</v>
      </c>
      <c r="F973" s="148">
        <v>102958.5799</v>
      </c>
      <c r="G973" s="148">
        <v>143786.9822</v>
      </c>
      <c r="H973" s="148">
        <v>173964.497</v>
      </c>
      <c r="I973" s="146">
        <v>134911.2426</v>
      </c>
      <c r="J973" s="148">
        <v>143786.9822</v>
      </c>
      <c r="K973" s="148">
        <v>152662.7219</v>
      </c>
      <c r="L973" s="148">
        <v>149112.426</v>
      </c>
      <c r="M973" s="148">
        <v>127810.6509</v>
      </c>
      <c r="N973" s="148">
        <v>113609.4675</v>
      </c>
      <c r="O973" s="148">
        <v>97633.1361</v>
      </c>
      <c r="P973" s="148">
        <v>76331.36095</v>
      </c>
      <c r="Q973" s="146">
        <v>83431.95266</v>
      </c>
      <c r="R973" s="148">
        <v>90532.54438</v>
      </c>
      <c r="S973" s="148">
        <v>104733.7278</v>
      </c>
    </row>
    <row r="974">
      <c r="A974" s="145">
        <v>60.188</v>
      </c>
      <c r="B974" s="145">
        <f t="shared" si="1"/>
        <v>19440.724</v>
      </c>
      <c r="C974" s="148">
        <v>113609.4675</v>
      </c>
      <c r="D974" s="145">
        <v>118934.9112</v>
      </c>
      <c r="E974" s="146">
        <v>122485.2071</v>
      </c>
      <c r="F974" s="148">
        <v>102958.5799</v>
      </c>
      <c r="G974" s="148">
        <v>143786.9822</v>
      </c>
      <c r="H974" s="148">
        <v>173964.497</v>
      </c>
      <c r="I974" s="146">
        <v>134911.2426</v>
      </c>
      <c r="J974" s="148">
        <v>143786.9822</v>
      </c>
      <c r="K974" s="148">
        <v>152662.7219</v>
      </c>
      <c r="L974" s="148">
        <v>149112.426</v>
      </c>
      <c r="M974" s="148">
        <v>127810.6509</v>
      </c>
      <c r="N974" s="148">
        <v>113609.4675</v>
      </c>
      <c r="O974" s="148">
        <v>97633.1361</v>
      </c>
      <c r="P974" s="148">
        <v>76331.36095</v>
      </c>
      <c r="Q974" s="146">
        <v>83431.95266</v>
      </c>
      <c r="R974" s="148">
        <v>90532.54438</v>
      </c>
      <c r="S974" s="148">
        <v>104733.7278</v>
      </c>
    </row>
    <row r="975">
      <c r="A975" s="145">
        <v>60.266</v>
      </c>
      <c r="B975" s="145">
        <f t="shared" si="1"/>
        <v>19465.918</v>
      </c>
      <c r="C975" s="148">
        <v>113609.4675</v>
      </c>
      <c r="D975" s="145">
        <v>118934.9112</v>
      </c>
      <c r="E975" s="146">
        <v>122485.2071</v>
      </c>
      <c r="F975" s="148">
        <v>102958.5799</v>
      </c>
      <c r="G975" s="148">
        <v>143786.9822</v>
      </c>
      <c r="H975" s="148">
        <v>173964.497</v>
      </c>
      <c r="I975" s="146">
        <v>134911.2426</v>
      </c>
      <c r="J975" s="148">
        <v>143786.9822</v>
      </c>
      <c r="K975" s="148">
        <v>152662.7219</v>
      </c>
      <c r="L975" s="148">
        <v>149112.426</v>
      </c>
      <c r="M975" s="148">
        <v>127810.6509</v>
      </c>
      <c r="N975" s="148">
        <v>113609.4675</v>
      </c>
      <c r="O975" s="148">
        <v>97633.1361</v>
      </c>
      <c r="P975" s="148">
        <v>78106.50888</v>
      </c>
      <c r="Q975" s="146">
        <v>83431.95266</v>
      </c>
      <c r="R975" s="148">
        <v>90532.54438</v>
      </c>
      <c r="S975" s="148">
        <v>104733.7278</v>
      </c>
    </row>
    <row r="976">
      <c r="A976" s="145">
        <v>60.313</v>
      </c>
      <c r="B976" s="145">
        <f t="shared" si="1"/>
        <v>19481.099</v>
      </c>
      <c r="C976" s="148">
        <v>113609.4675</v>
      </c>
      <c r="D976" s="145">
        <v>120710.0592</v>
      </c>
      <c r="E976" s="146">
        <v>122485.2071</v>
      </c>
      <c r="F976" s="148">
        <v>102958.5799</v>
      </c>
      <c r="G976" s="148">
        <v>143786.9822</v>
      </c>
      <c r="H976" s="148">
        <v>173964.497</v>
      </c>
      <c r="I976" s="146">
        <v>134911.2426</v>
      </c>
      <c r="J976" s="148">
        <v>143786.9822</v>
      </c>
      <c r="K976" s="148">
        <v>152662.7219</v>
      </c>
      <c r="L976" s="148">
        <v>149112.426</v>
      </c>
      <c r="M976" s="148">
        <v>127810.6509</v>
      </c>
      <c r="N976" s="148">
        <v>113609.4675</v>
      </c>
      <c r="O976" s="148">
        <v>97633.1361</v>
      </c>
      <c r="P976" s="148">
        <v>78106.50888</v>
      </c>
      <c r="Q976" s="146">
        <v>83431.95266</v>
      </c>
      <c r="R976" s="148">
        <v>90532.54438</v>
      </c>
      <c r="S976" s="148">
        <v>104733.7278</v>
      </c>
    </row>
    <row r="977">
      <c r="A977" s="145">
        <v>60.375</v>
      </c>
      <c r="B977" s="145">
        <f t="shared" si="1"/>
        <v>19501.125</v>
      </c>
      <c r="C977" s="148">
        <v>113609.4675</v>
      </c>
      <c r="D977" s="145">
        <v>120710.0592</v>
      </c>
      <c r="E977" s="146">
        <v>122485.2071</v>
      </c>
      <c r="F977" s="148">
        <v>102958.5799</v>
      </c>
      <c r="G977" s="148">
        <v>143786.9822</v>
      </c>
      <c r="H977" s="148">
        <v>173964.497</v>
      </c>
      <c r="I977" s="146">
        <v>134911.2426</v>
      </c>
      <c r="J977" s="148">
        <v>147337.2781</v>
      </c>
      <c r="K977" s="148">
        <v>152662.7219</v>
      </c>
      <c r="L977" s="148">
        <v>150887.574</v>
      </c>
      <c r="M977" s="148">
        <v>127810.6509</v>
      </c>
      <c r="N977" s="148">
        <v>113609.4675</v>
      </c>
      <c r="O977" s="148">
        <v>97633.1361</v>
      </c>
      <c r="P977" s="148">
        <v>78106.50888</v>
      </c>
      <c r="Q977" s="146">
        <v>83431.95266</v>
      </c>
      <c r="R977" s="148">
        <v>90532.54438</v>
      </c>
      <c r="S977" s="148">
        <v>104733.7278</v>
      </c>
    </row>
    <row r="978">
      <c r="A978" s="145">
        <v>60.438</v>
      </c>
      <c r="B978" s="145">
        <f t="shared" si="1"/>
        <v>19521.474</v>
      </c>
      <c r="C978" s="148">
        <v>113609.4675</v>
      </c>
      <c r="D978" s="145">
        <v>120710.0592</v>
      </c>
      <c r="E978" s="146">
        <v>122485.2071</v>
      </c>
      <c r="F978" s="148">
        <v>104733.7278</v>
      </c>
      <c r="G978" s="148">
        <v>143786.9822</v>
      </c>
      <c r="H978" s="148">
        <v>173964.497</v>
      </c>
      <c r="I978" s="146">
        <v>134911.2426</v>
      </c>
      <c r="J978" s="148">
        <v>147337.2781</v>
      </c>
      <c r="K978" s="148">
        <v>152662.7219</v>
      </c>
      <c r="L978" s="148">
        <v>150887.574</v>
      </c>
      <c r="M978" s="148">
        <v>127810.6509</v>
      </c>
      <c r="N978" s="148">
        <v>113609.4675</v>
      </c>
      <c r="O978" s="148">
        <v>97633.1361</v>
      </c>
      <c r="P978" s="148">
        <v>78106.50888</v>
      </c>
      <c r="Q978" s="146">
        <v>83431.95266</v>
      </c>
      <c r="R978" s="148">
        <v>90532.54438</v>
      </c>
      <c r="S978" s="148">
        <v>104733.7278</v>
      </c>
    </row>
    <row r="979">
      <c r="A979" s="145">
        <v>60.5</v>
      </c>
      <c r="B979" s="145">
        <f t="shared" si="1"/>
        <v>19541.5</v>
      </c>
      <c r="C979" s="148">
        <v>113609.4675</v>
      </c>
      <c r="D979" s="145">
        <v>120710.0592</v>
      </c>
      <c r="E979" s="146">
        <v>122485.2071</v>
      </c>
      <c r="F979" s="148">
        <v>104733.7278</v>
      </c>
      <c r="G979" s="148">
        <v>143786.9822</v>
      </c>
      <c r="H979" s="148">
        <v>173964.497</v>
      </c>
      <c r="I979" s="146">
        <v>134911.2426</v>
      </c>
      <c r="J979" s="148">
        <v>147337.2781</v>
      </c>
      <c r="K979" s="148">
        <v>152662.7219</v>
      </c>
      <c r="L979" s="148">
        <v>150887.574</v>
      </c>
      <c r="M979" s="148">
        <v>127810.6509</v>
      </c>
      <c r="N979" s="148">
        <v>113609.4675</v>
      </c>
      <c r="O979" s="148">
        <v>97633.1361</v>
      </c>
      <c r="P979" s="148">
        <v>78106.50888</v>
      </c>
      <c r="Q979" s="146">
        <v>83431.95266</v>
      </c>
      <c r="R979" s="148">
        <v>90532.54438</v>
      </c>
      <c r="S979" s="148">
        <v>104733.7278</v>
      </c>
    </row>
    <row r="980">
      <c r="A980" s="145">
        <v>60.579</v>
      </c>
      <c r="B980" s="145">
        <f t="shared" si="1"/>
        <v>19567.017</v>
      </c>
      <c r="C980" s="148">
        <v>113609.4675</v>
      </c>
      <c r="D980" s="145">
        <v>120710.0592</v>
      </c>
      <c r="E980" s="146">
        <v>122485.2071</v>
      </c>
      <c r="F980" s="148">
        <v>104733.7278</v>
      </c>
      <c r="G980" s="148">
        <v>143786.9822</v>
      </c>
      <c r="H980" s="148">
        <v>177514.7929</v>
      </c>
      <c r="I980" s="146">
        <v>134911.2426</v>
      </c>
      <c r="J980" s="148">
        <v>147337.2781</v>
      </c>
      <c r="K980" s="148">
        <v>152662.7219</v>
      </c>
      <c r="L980" s="148">
        <v>150887.574</v>
      </c>
      <c r="M980" s="148">
        <v>127810.6509</v>
      </c>
      <c r="N980" s="148">
        <v>113609.4675</v>
      </c>
      <c r="O980" s="148">
        <v>99408.28402</v>
      </c>
      <c r="P980" s="148">
        <v>78106.50888</v>
      </c>
      <c r="Q980" s="146">
        <v>83431.95266</v>
      </c>
      <c r="R980" s="148">
        <v>90532.54438</v>
      </c>
      <c r="S980" s="148">
        <v>104733.7278</v>
      </c>
    </row>
    <row r="981">
      <c r="A981" s="145">
        <v>60.625</v>
      </c>
      <c r="B981" s="145">
        <f t="shared" si="1"/>
        <v>19581.875</v>
      </c>
      <c r="C981" s="148">
        <v>113609.4675</v>
      </c>
      <c r="D981" s="145">
        <v>120710.0592</v>
      </c>
      <c r="E981" s="146">
        <v>122485.2071</v>
      </c>
      <c r="F981" s="148">
        <v>104733.7278</v>
      </c>
      <c r="G981" s="148">
        <v>143786.9822</v>
      </c>
      <c r="H981" s="148">
        <v>177514.7929</v>
      </c>
      <c r="I981" s="146">
        <v>134911.2426</v>
      </c>
      <c r="J981" s="148">
        <v>147337.2781</v>
      </c>
      <c r="K981" s="148">
        <v>152662.7219</v>
      </c>
      <c r="L981" s="148">
        <v>150887.574</v>
      </c>
      <c r="M981" s="148">
        <v>127810.6509</v>
      </c>
      <c r="N981" s="148">
        <v>113609.4675</v>
      </c>
      <c r="O981" s="148">
        <v>99408.28402</v>
      </c>
      <c r="P981" s="148">
        <v>78106.50888</v>
      </c>
      <c r="Q981" s="146">
        <v>85207.10059</v>
      </c>
      <c r="R981" s="148">
        <v>90532.54438</v>
      </c>
      <c r="S981" s="148">
        <v>104733.7278</v>
      </c>
    </row>
    <row r="982">
      <c r="A982" s="145">
        <v>60.688</v>
      </c>
      <c r="B982" s="145">
        <f t="shared" si="1"/>
        <v>19602.224</v>
      </c>
      <c r="C982" s="148">
        <v>113609.4675</v>
      </c>
      <c r="D982" s="145">
        <v>120710.0592</v>
      </c>
      <c r="E982" s="146">
        <v>122485.2071</v>
      </c>
      <c r="F982" s="148">
        <v>104733.7278</v>
      </c>
      <c r="G982" s="148">
        <v>143786.9822</v>
      </c>
      <c r="H982" s="148">
        <v>177514.7929</v>
      </c>
      <c r="I982" s="146">
        <v>134911.2426</v>
      </c>
      <c r="J982" s="148">
        <v>147337.2781</v>
      </c>
      <c r="K982" s="148">
        <v>152662.7219</v>
      </c>
      <c r="L982" s="148">
        <v>150887.574</v>
      </c>
      <c r="M982" s="148">
        <v>127810.6509</v>
      </c>
      <c r="N982" s="148">
        <v>113609.4675</v>
      </c>
      <c r="O982" s="148">
        <v>99408.28402</v>
      </c>
      <c r="P982" s="148">
        <v>78106.50888</v>
      </c>
      <c r="Q982" s="146">
        <v>85207.10059</v>
      </c>
      <c r="R982" s="148">
        <v>90532.54438</v>
      </c>
      <c r="S982" s="148">
        <v>104733.7278</v>
      </c>
    </row>
    <row r="983">
      <c r="A983" s="145">
        <v>60.75</v>
      </c>
      <c r="B983" s="145">
        <f t="shared" si="1"/>
        <v>19622.25</v>
      </c>
      <c r="C983" s="148">
        <v>113609.4675</v>
      </c>
      <c r="D983" s="145">
        <v>120710.0592</v>
      </c>
      <c r="E983" s="146">
        <v>122485.2071</v>
      </c>
      <c r="F983" s="148">
        <v>104733.7278</v>
      </c>
      <c r="G983" s="148">
        <v>143786.9822</v>
      </c>
      <c r="H983" s="148">
        <v>177514.7929</v>
      </c>
      <c r="I983" s="146">
        <v>134911.2426</v>
      </c>
      <c r="J983" s="148">
        <v>147337.2781</v>
      </c>
      <c r="K983" s="148">
        <v>156213.0178</v>
      </c>
      <c r="L983" s="148">
        <v>152662.7219</v>
      </c>
      <c r="M983" s="148">
        <v>127810.6509</v>
      </c>
      <c r="N983" s="148">
        <v>113609.4675</v>
      </c>
      <c r="O983" s="148">
        <v>99408.28402</v>
      </c>
      <c r="P983" s="148">
        <v>78106.50888</v>
      </c>
      <c r="Q983" s="146">
        <v>85207.10059</v>
      </c>
      <c r="R983" s="148">
        <v>90532.54438</v>
      </c>
      <c r="S983" s="148">
        <v>104733.7278</v>
      </c>
    </row>
    <row r="984">
      <c r="A984" s="145">
        <v>60.813</v>
      </c>
      <c r="B984" s="145">
        <f t="shared" si="1"/>
        <v>19642.599</v>
      </c>
      <c r="C984" s="148">
        <v>113609.4675</v>
      </c>
      <c r="D984" s="145">
        <v>122485.2071</v>
      </c>
      <c r="E984" s="146">
        <v>122485.2071</v>
      </c>
      <c r="F984" s="148">
        <v>104733.7278</v>
      </c>
      <c r="G984" s="148">
        <v>143786.9822</v>
      </c>
      <c r="H984" s="148">
        <v>177514.7929</v>
      </c>
      <c r="I984" s="146">
        <v>134911.2426</v>
      </c>
      <c r="J984" s="148">
        <v>147337.2781</v>
      </c>
      <c r="K984" s="148">
        <v>156213.0178</v>
      </c>
      <c r="L984" s="148">
        <v>152662.7219</v>
      </c>
      <c r="M984" s="148">
        <v>127810.6509</v>
      </c>
      <c r="N984" s="148">
        <v>113609.4675</v>
      </c>
      <c r="O984" s="148">
        <v>99408.28402</v>
      </c>
      <c r="P984" s="148">
        <v>78106.50888</v>
      </c>
      <c r="Q984" s="146">
        <v>85207.10059</v>
      </c>
      <c r="R984" s="148">
        <v>90532.54438</v>
      </c>
      <c r="S984" s="148">
        <v>104733.7278</v>
      </c>
    </row>
    <row r="985">
      <c r="A985" s="145">
        <v>60.875</v>
      </c>
      <c r="B985" s="145">
        <f t="shared" si="1"/>
        <v>19662.625</v>
      </c>
      <c r="C985" s="148">
        <v>113609.4675</v>
      </c>
      <c r="D985" s="145">
        <v>122485.2071</v>
      </c>
      <c r="E985" s="146">
        <v>122485.2071</v>
      </c>
      <c r="F985" s="148">
        <v>104733.7278</v>
      </c>
      <c r="G985" s="148">
        <v>143786.9822</v>
      </c>
      <c r="H985" s="148">
        <v>177514.7929</v>
      </c>
      <c r="I985" s="146">
        <v>134911.2426</v>
      </c>
      <c r="J985" s="148">
        <v>147337.2781</v>
      </c>
      <c r="K985" s="148">
        <v>156213.0178</v>
      </c>
      <c r="L985" s="148">
        <v>152662.7219</v>
      </c>
      <c r="M985" s="148">
        <v>129585.7988</v>
      </c>
      <c r="N985" s="148">
        <v>113609.4675</v>
      </c>
      <c r="O985" s="148">
        <v>99408.28402</v>
      </c>
      <c r="P985" s="148">
        <v>79881.65681</v>
      </c>
      <c r="Q985" s="146">
        <v>85207.10059</v>
      </c>
      <c r="R985" s="148">
        <v>90532.54438</v>
      </c>
      <c r="S985" s="148">
        <v>104733.7278</v>
      </c>
    </row>
    <row r="986">
      <c r="A986" s="145">
        <v>60.954</v>
      </c>
      <c r="B986" s="145">
        <f t="shared" si="1"/>
        <v>19688.142</v>
      </c>
      <c r="C986" s="148">
        <v>113609.4675</v>
      </c>
      <c r="D986" s="145">
        <v>122485.2071</v>
      </c>
      <c r="E986" s="146">
        <v>122485.2071</v>
      </c>
      <c r="F986" s="148">
        <v>104733.7278</v>
      </c>
      <c r="G986" s="148">
        <v>143786.9822</v>
      </c>
      <c r="H986" s="148">
        <v>177514.7929</v>
      </c>
      <c r="I986" s="146">
        <v>134911.2426</v>
      </c>
      <c r="J986" s="148">
        <v>147337.2781</v>
      </c>
      <c r="K986" s="148">
        <v>156213.0178</v>
      </c>
      <c r="L986" s="148">
        <v>152662.7219</v>
      </c>
      <c r="M986" s="148">
        <v>129585.7988</v>
      </c>
      <c r="N986" s="148">
        <v>113609.4675</v>
      </c>
      <c r="O986" s="148">
        <v>99408.28402</v>
      </c>
      <c r="P986" s="148">
        <v>79881.65681</v>
      </c>
      <c r="Q986" s="146">
        <v>85207.10059</v>
      </c>
      <c r="R986" s="148">
        <v>90532.54438</v>
      </c>
      <c r="S986" s="148">
        <v>104733.7278</v>
      </c>
    </row>
    <row r="987">
      <c r="A987" s="145">
        <v>61.0</v>
      </c>
      <c r="B987" s="145">
        <f t="shared" si="1"/>
        <v>19703</v>
      </c>
      <c r="C987" s="148">
        <v>113609.4675</v>
      </c>
      <c r="D987" s="145">
        <v>122485.2071</v>
      </c>
      <c r="E987" s="146">
        <v>122485.2071</v>
      </c>
      <c r="F987" s="148">
        <v>104733.7278</v>
      </c>
      <c r="G987" s="148">
        <v>143786.9822</v>
      </c>
      <c r="H987" s="148">
        <v>177514.7929</v>
      </c>
      <c r="I987" s="146">
        <v>134911.2426</v>
      </c>
      <c r="J987" s="148">
        <v>147337.2781</v>
      </c>
      <c r="K987" s="148">
        <v>156213.0178</v>
      </c>
      <c r="L987" s="148">
        <v>152662.7219</v>
      </c>
      <c r="M987" s="148">
        <v>129585.7988</v>
      </c>
      <c r="N987" s="148">
        <v>113609.4675</v>
      </c>
      <c r="O987" s="148">
        <v>99408.28402</v>
      </c>
      <c r="P987" s="148">
        <v>79881.65681</v>
      </c>
      <c r="Q987" s="146">
        <v>85207.10059</v>
      </c>
      <c r="R987" s="148">
        <v>92307.69231</v>
      </c>
      <c r="S987" s="148">
        <v>104733.7278</v>
      </c>
    </row>
    <row r="988">
      <c r="A988" s="145">
        <v>61.063</v>
      </c>
      <c r="B988" s="145">
        <f t="shared" si="1"/>
        <v>19723.349</v>
      </c>
      <c r="C988" s="148">
        <v>113609.4675</v>
      </c>
      <c r="D988" s="145">
        <v>122485.2071</v>
      </c>
      <c r="E988" s="146">
        <v>122485.2071</v>
      </c>
      <c r="F988" s="148">
        <v>104733.7278</v>
      </c>
      <c r="G988" s="148">
        <v>143786.9822</v>
      </c>
      <c r="H988" s="148">
        <v>177514.7929</v>
      </c>
      <c r="I988" s="146">
        <v>134911.2426</v>
      </c>
      <c r="J988" s="148">
        <v>147337.2781</v>
      </c>
      <c r="K988" s="148">
        <v>156213.0178</v>
      </c>
      <c r="L988" s="148">
        <v>152662.7219</v>
      </c>
      <c r="M988" s="148">
        <v>129585.7988</v>
      </c>
      <c r="N988" s="148">
        <v>115384.6154</v>
      </c>
      <c r="O988" s="148">
        <v>99408.28402</v>
      </c>
      <c r="P988" s="148">
        <v>79881.65681</v>
      </c>
      <c r="Q988" s="146">
        <v>85207.10059</v>
      </c>
      <c r="R988" s="148">
        <v>92307.69231</v>
      </c>
      <c r="S988" s="148">
        <v>104733.7278</v>
      </c>
    </row>
    <row r="989">
      <c r="A989" s="145">
        <v>61.125</v>
      </c>
      <c r="B989" s="145">
        <f t="shared" si="1"/>
        <v>19743.375</v>
      </c>
      <c r="C989" s="148">
        <v>113609.4675</v>
      </c>
      <c r="D989" s="145">
        <v>122485.2071</v>
      </c>
      <c r="E989" s="146">
        <v>122485.2071</v>
      </c>
      <c r="F989" s="148">
        <v>104733.7278</v>
      </c>
      <c r="G989" s="148">
        <v>143786.9822</v>
      </c>
      <c r="H989" s="148">
        <v>177514.7929</v>
      </c>
      <c r="I989" s="146">
        <v>134911.2426</v>
      </c>
      <c r="J989" s="148">
        <v>147337.2781</v>
      </c>
      <c r="K989" s="148">
        <v>156213.0178</v>
      </c>
      <c r="L989" s="148">
        <v>152662.7219</v>
      </c>
      <c r="M989" s="148">
        <v>129585.7988</v>
      </c>
      <c r="N989" s="148">
        <v>115384.6154</v>
      </c>
      <c r="O989" s="148">
        <v>99408.28402</v>
      </c>
      <c r="P989" s="148">
        <v>79881.65681</v>
      </c>
      <c r="Q989" s="146">
        <v>85207.10059</v>
      </c>
      <c r="R989" s="148">
        <v>92307.69231</v>
      </c>
      <c r="S989" s="148">
        <v>104733.7278</v>
      </c>
    </row>
    <row r="990">
      <c r="A990" s="145">
        <v>61.188</v>
      </c>
      <c r="B990" s="145">
        <f t="shared" si="1"/>
        <v>19763.724</v>
      </c>
      <c r="C990" s="148">
        <v>113609.4675</v>
      </c>
      <c r="D990" s="145">
        <v>124260.355</v>
      </c>
      <c r="E990" s="146">
        <v>122485.2071</v>
      </c>
      <c r="F990" s="148">
        <v>104733.7278</v>
      </c>
      <c r="G990" s="148">
        <v>149112.426</v>
      </c>
      <c r="H990" s="148">
        <v>177514.7929</v>
      </c>
      <c r="I990" s="146">
        <v>134911.2426</v>
      </c>
      <c r="J990" s="148">
        <v>147337.2781</v>
      </c>
      <c r="K990" s="148">
        <v>156213.0178</v>
      </c>
      <c r="L990" s="148">
        <v>152662.7219</v>
      </c>
      <c r="M990" s="148">
        <v>129585.7988</v>
      </c>
      <c r="N990" s="148">
        <v>115384.6154</v>
      </c>
      <c r="O990" s="148">
        <v>99408.28402</v>
      </c>
      <c r="P990" s="148">
        <v>79881.65681</v>
      </c>
      <c r="Q990" s="146">
        <v>85207.10059</v>
      </c>
      <c r="R990" s="148">
        <v>92307.69231</v>
      </c>
      <c r="S990" s="148">
        <v>104733.7278</v>
      </c>
    </row>
    <row r="991">
      <c r="A991" s="145">
        <v>61.25</v>
      </c>
      <c r="B991" s="145">
        <f t="shared" si="1"/>
        <v>19783.75</v>
      </c>
      <c r="C991" s="148">
        <v>113609.4675</v>
      </c>
      <c r="D991" s="145">
        <v>124260.355</v>
      </c>
      <c r="E991" s="146">
        <v>122485.2071</v>
      </c>
      <c r="F991" s="148">
        <v>104733.7278</v>
      </c>
      <c r="G991" s="148">
        <v>149112.426</v>
      </c>
      <c r="H991" s="148">
        <v>177514.7929</v>
      </c>
      <c r="I991" s="146">
        <v>134911.2426</v>
      </c>
      <c r="J991" s="148">
        <v>147337.2781</v>
      </c>
      <c r="K991" s="148">
        <v>156213.0178</v>
      </c>
      <c r="L991" s="148">
        <v>152662.7219</v>
      </c>
      <c r="M991" s="148">
        <v>129585.7988</v>
      </c>
      <c r="N991" s="148">
        <v>115384.6154</v>
      </c>
      <c r="O991" s="148">
        <v>99408.28402</v>
      </c>
      <c r="P991" s="148">
        <v>79881.65681</v>
      </c>
      <c r="Q991" s="146">
        <v>85207.10059</v>
      </c>
      <c r="R991" s="148">
        <v>92307.69231</v>
      </c>
      <c r="S991" s="148">
        <v>104733.7278</v>
      </c>
    </row>
    <row r="992">
      <c r="A992" s="145">
        <v>61.313</v>
      </c>
      <c r="B992" s="145">
        <f t="shared" si="1"/>
        <v>19804.099</v>
      </c>
      <c r="C992" s="148">
        <v>113609.4675</v>
      </c>
      <c r="D992" s="145">
        <v>124260.355</v>
      </c>
      <c r="E992" s="146">
        <v>122485.2071</v>
      </c>
      <c r="F992" s="148">
        <v>104733.7278</v>
      </c>
      <c r="G992" s="148">
        <v>149112.426</v>
      </c>
      <c r="H992" s="148">
        <v>177514.7929</v>
      </c>
      <c r="I992" s="146">
        <v>134911.2426</v>
      </c>
      <c r="J992" s="148">
        <v>147337.2781</v>
      </c>
      <c r="K992" s="148">
        <v>156213.0178</v>
      </c>
      <c r="L992" s="148">
        <v>152662.7219</v>
      </c>
      <c r="M992" s="148">
        <v>129585.7988</v>
      </c>
      <c r="N992" s="148">
        <v>115384.6154</v>
      </c>
      <c r="O992" s="148">
        <v>99408.28402</v>
      </c>
      <c r="P992" s="148">
        <v>79881.65681</v>
      </c>
      <c r="Q992" s="146">
        <v>85207.10059</v>
      </c>
      <c r="R992" s="148">
        <v>92307.69231</v>
      </c>
      <c r="S992" s="148">
        <v>104733.7278</v>
      </c>
    </row>
    <row r="993">
      <c r="A993" s="145">
        <v>61.375</v>
      </c>
      <c r="B993" s="145">
        <f t="shared" si="1"/>
        <v>19824.125</v>
      </c>
      <c r="C993" s="148">
        <v>113609.4675</v>
      </c>
      <c r="D993" s="145">
        <v>124260.355</v>
      </c>
      <c r="E993" s="146">
        <v>122485.2071</v>
      </c>
      <c r="F993" s="148">
        <v>104733.7278</v>
      </c>
      <c r="G993" s="148">
        <v>149112.426</v>
      </c>
      <c r="H993" s="148">
        <v>177514.7929</v>
      </c>
      <c r="I993" s="146">
        <v>134911.2426</v>
      </c>
      <c r="J993" s="148">
        <v>147337.2781</v>
      </c>
      <c r="K993" s="148">
        <v>156213.0178</v>
      </c>
      <c r="L993" s="148">
        <v>152662.7219</v>
      </c>
      <c r="M993" s="148">
        <v>129585.7988</v>
      </c>
      <c r="N993" s="148">
        <v>115384.6154</v>
      </c>
      <c r="O993" s="148">
        <v>99408.28402</v>
      </c>
      <c r="P993" s="148">
        <v>79881.65681</v>
      </c>
      <c r="Q993" s="146">
        <v>85207.10059</v>
      </c>
      <c r="R993" s="148">
        <v>92307.69231</v>
      </c>
      <c r="S993" s="148">
        <v>104733.7278</v>
      </c>
    </row>
    <row r="994">
      <c r="A994" s="145">
        <v>61.454</v>
      </c>
      <c r="B994" s="145">
        <f t="shared" si="1"/>
        <v>19849.642</v>
      </c>
      <c r="C994" s="148">
        <v>113609.4675</v>
      </c>
      <c r="D994" s="145">
        <v>124260.355</v>
      </c>
      <c r="E994" s="146">
        <v>122485.2071</v>
      </c>
      <c r="F994" s="148">
        <v>104733.7278</v>
      </c>
      <c r="G994" s="148">
        <v>149112.426</v>
      </c>
      <c r="H994" s="148">
        <v>177514.7929</v>
      </c>
      <c r="I994" s="146">
        <v>134911.2426</v>
      </c>
      <c r="J994" s="148">
        <v>147337.2781</v>
      </c>
      <c r="K994" s="148">
        <v>156213.0178</v>
      </c>
      <c r="L994" s="148">
        <v>152662.7219</v>
      </c>
      <c r="M994" s="148">
        <v>129585.7988</v>
      </c>
      <c r="N994" s="148">
        <v>115384.6154</v>
      </c>
      <c r="O994" s="148">
        <v>101183.432</v>
      </c>
      <c r="P994" s="148">
        <v>79881.65681</v>
      </c>
      <c r="Q994" s="146">
        <v>85207.10059</v>
      </c>
      <c r="R994" s="148">
        <v>92307.69231</v>
      </c>
      <c r="S994" s="148">
        <v>104733.7278</v>
      </c>
    </row>
    <row r="995">
      <c r="A995" s="145">
        <v>61.5</v>
      </c>
      <c r="B995" s="145">
        <f t="shared" si="1"/>
        <v>19864.5</v>
      </c>
      <c r="C995" s="148">
        <v>113609.4675</v>
      </c>
      <c r="D995" s="145">
        <v>124260.355</v>
      </c>
      <c r="E995" s="146">
        <v>122485.2071</v>
      </c>
      <c r="F995" s="148">
        <v>104733.7278</v>
      </c>
      <c r="G995" s="148">
        <v>149112.426</v>
      </c>
      <c r="H995" s="148">
        <v>177514.7929</v>
      </c>
      <c r="I995" s="146">
        <v>134911.2426</v>
      </c>
      <c r="J995" s="148">
        <v>147337.2781</v>
      </c>
      <c r="K995" s="148">
        <v>156213.0178</v>
      </c>
      <c r="L995" s="148">
        <v>152662.7219</v>
      </c>
      <c r="M995" s="148">
        <v>129585.7988</v>
      </c>
      <c r="N995" s="148">
        <v>115384.6154</v>
      </c>
      <c r="O995" s="148">
        <v>101183.432</v>
      </c>
      <c r="P995" s="148">
        <v>79881.65681</v>
      </c>
      <c r="Q995" s="146">
        <v>85207.10059</v>
      </c>
      <c r="R995" s="148">
        <v>92307.69231</v>
      </c>
      <c r="S995" s="148">
        <v>104733.7278</v>
      </c>
    </row>
    <row r="996">
      <c r="A996" s="145">
        <v>61.563</v>
      </c>
      <c r="B996" s="145">
        <f t="shared" si="1"/>
        <v>19884.849</v>
      </c>
      <c r="C996" s="148">
        <v>113609.4675</v>
      </c>
      <c r="D996" s="145">
        <v>124260.355</v>
      </c>
      <c r="E996" s="146">
        <v>122485.2071</v>
      </c>
      <c r="F996" s="148">
        <v>104733.7278</v>
      </c>
      <c r="G996" s="148">
        <v>149112.426</v>
      </c>
      <c r="H996" s="148">
        <v>177514.7929</v>
      </c>
      <c r="I996" s="146">
        <v>134911.2426</v>
      </c>
      <c r="J996" s="148">
        <v>147337.2781</v>
      </c>
      <c r="K996" s="148">
        <v>156213.0178</v>
      </c>
      <c r="L996" s="148">
        <v>152662.7219</v>
      </c>
      <c r="M996" s="148">
        <v>129585.7988</v>
      </c>
      <c r="N996" s="148">
        <v>115384.6154</v>
      </c>
      <c r="O996" s="148">
        <v>101183.432</v>
      </c>
      <c r="P996" s="148">
        <v>79881.65681</v>
      </c>
      <c r="Q996" s="146">
        <v>85207.10059</v>
      </c>
      <c r="R996" s="148">
        <v>92307.69231</v>
      </c>
      <c r="S996" s="148">
        <v>104733.7278</v>
      </c>
    </row>
    <row r="997">
      <c r="A997" s="145">
        <v>61.625</v>
      </c>
      <c r="B997" s="145">
        <f t="shared" si="1"/>
        <v>19904.875</v>
      </c>
      <c r="C997" s="148">
        <v>115384.6154</v>
      </c>
      <c r="D997" s="145">
        <v>124260.355</v>
      </c>
      <c r="E997" s="146">
        <v>122485.2071</v>
      </c>
      <c r="F997" s="148">
        <v>104733.7278</v>
      </c>
      <c r="G997" s="148">
        <v>149112.426</v>
      </c>
      <c r="H997" s="148">
        <v>177514.7929</v>
      </c>
      <c r="I997" s="146">
        <v>134911.2426</v>
      </c>
      <c r="J997" s="148">
        <v>147337.2781</v>
      </c>
      <c r="K997" s="148">
        <v>156213.0178</v>
      </c>
      <c r="L997" s="148">
        <v>152662.7219</v>
      </c>
      <c r="M997" s="148">
        <v>129585.7988</v>
      </c>
      <c r="N997" s="148">
        <v>115384.6154</v>
      </c>
      <c r="O997" s="148">
        <v>101183.432</v>
      </c>
      <c r="P997" s="148">
        <v>79881.65681</v>
      </c>
      <c r="Q997" s="146">
        <v>85207.10059</v>
      </c>
      <c r="R997" s="148">
        <v>94082.84024</v>
      </c>
      <c r="S997" s="148">
        <v>104733.7278</v>
      </c>
    </row>
    <row r="998">
      <c r="A998" s="145">
        <v>61.688</v>
      </c>
      <c r="B998" s="145">
        <f t="shared" si="1"/>
        <v>19925.224</v>
      </c>
      <c r="C998" s="148">
        <v>115384.6154</v>
      </c>
      <c r="D998" s="145">
        <v>124260.355</v>
      </c>
      <c r="E998" s="146">
        <v>122485.2071</v>
      </c>
      <c r="F998" s="148">
        <v>108284.0237</v>
      </c>
      <c r="G998" s="148">
        <v>149112.426</v>
      </c>
      <c r="H998" s="148">
        <v>177514.7929</v>
      </c>
      <c r="I998" s="146">
        <v>134911.2426</v>
      </c>
      <c r="J998" s="148">
        <v>147337.2781</v>
      </c>
      <c r="K998" s="148">
        <v>156213.0178</v>
      </c>
      <c r="L998" s="148">
        <v>152662.7219</v>
      </c>
      <c r="M998" s="148">
        <v>129585.7988</v>
      </c>
      <c r="N998" s="148">
        <v>115384.6154</v>
      </c>
      <c r="O998" s="148">
        <v>101183.432</v>
      </c>
      <c r="P998" s="148">
        <v>79881.65681</v>
      </c>
      <c r="Q998" s="146">
        <v>85207.10059</v>
      </c>
      <c r="R998" s="148">
        <v>94082.84024</v>
      </c>
      <c r="S998" s="148">
        <v>104733.7278</v>
      </c>
    </row>
    <row r="999">
      <c r="A999" s="145">
        <v>61.75</v>
      </c>
      <c r="B999" s="145">
        <f t="shared" si="1"/>
        <v>19945.25</v>
      </c>
      <c r="C999" s="148">
        <v>115384.6154</v>
      </c>
      <c r="D999" s="145">
        <v>124260.355</v>
      </c>
      <c r="E999" s="146">
        <v>122485.2071</v>
      </c>
      <c r="F999" s="148">
        <v>108284.0237</v>
      </c>
      <c r="G999" s="148">
        <v>150887.574</v>
      </c>
      <c r="H999" s="148">
        <v>177514.7929</v>
      </c>
      <c r="I999" s="146">
        <v>134911.2426</v>
      </c>
      <c r="J999" s="148">
        <v>147337.2781</v>
      </c>
      <c r="K999" s="148">
        <v>156213.0178</v>
      </c>
      <c r="L999" s="148">
        <v>152662.7219</v>
      </c>
      <c r="M999" s="148">
        <v>129585.7988</v>
      </c>
      <c r="N999" s="148">
        <v>115384.6154</v>
      </c>
      <c r="O999" s="148">
        <v>101183.432</v>
      </c>
      <c r="P999" s="148">
        <v>79881.65681</v>
      </c>
      <c r="Q999" s="146">
        <v>85207.10059</v>
      </c>
      <c r="R999" s="148">
        <v>94082.84024</v>
      </c>
      <c r="S999" s="148">
        <v>104733.7278</v>
      </c>
    </row>
    <row r="1000">
      <c r="A1000" s="145">
        <v>61.813</v>
      </c>
      <c r="B1000" s="145">
        <f t="shared" si="1"/>
        <v>19965.599</v>
      </c>
      <c r="C1000" s="148">
        <v>115384.6154</v>
      </c>
      <c r="D1000" s="145">
        <v>124260.355</v>
      </c>
      <c r="E1000" s="146">
        <v>122485.2071</v>
      </c>
      <c r="F1000" s="148">
        <v>108284.0237</v>
      </c>
      <c r="G1000" s="148">
        <v>150887.574</v>
      </c>
      <c r="H1000" s="148">
        <v>177514.7929</v>
      </c>
      <c r="I1000" s="146">
        <v>134911.2426</v>
      </c>
      <c r="J1000" s="148">
        <v>147337.2781</v>
      </c>
      <c r="K1000" s="148">
        <v>156213.0178</v>
      </c>
      <c r="L1000" s="148">
        <v>152662.7219</v>
      </c>
      <c r="M1000" s="148">
        <v>129585.7988</v>
      </c>
      <c r="N1000" s="148">
        <v>115384.6154</v>
      </c>
      <c r="O1000" s="148">
        <v>101183.432</v>
      </c>
      <c r="P1000" s="148">
        <v>79881.65681</v>
      </c>
      <c r="Q1000" s="146">
        <v>85207.10059</v>
      </c>
      <c r="R1000" s="148">
        <v>94082.84024</v>
      </c>
      <c r="S1000" s="148">
        <v>104733.7278</v>
      </c>
    </row>
    <row r="1001">
      <c r="A1001" s="145">
        <v>61.875</v>
      </c>
      <c r="B1001" s="145">
        <f t="shared" si="1"/>
        <v>19985.625</v>
      </c>
      <c r="C1001" s="148">
        <v>115384.6154</v>
      </c>
      <c r="D1001" s="145">
        <v>124260.355</v>
      </c>
      <c r="E1001" s="146">
        <v>122485.2071</v>
      </c>
      <c r="F1001" s="148">
        <v>108284.0237</v>
      </c>
      <c r="G1001" s="148">
        <v>150887.574</v>
      </c>
      <c r="H1001" s="148">
        <v>177514.7929</v>
      </c>
      <c r="I1001" s="146">
        <v>134911.2426</v>
      </c>
      <c r="J1001" s="148">
        <v>147337.2781</v>
      </c>
      <c r="K1001" s="148">
        <v>156213.0178</v>
      </c>
      <c r="L1001" s="148">
        <v>152662.7219</v>
      </c>
      <c r="M1001" s="148">
        <v>129585.7988</v>
      </c>
      <c r="N1001" s="148">
        <v>115384.6154</v>
      </c>
      <c r="O1001" s="148">
        <v>101183.432</v>
      </c>
      <c r="P1001" s="148">
        <v>79881.65681</v>
      </c>
      <c r="Q1001" s="146">
        <v>85207.10059</v>
      </c>
      <c r="R1001" s="148">
        <v>94082.84024</v>
      </c>
      <c r="S1001" s="148">
        <v>104733.7278</v>
      </c>
    </row>
    <row r="1002">
      <c r="A1002" s="145">
        <v>61.938</v>
      </c>
      <c r="B1002" s="145">
        <f t="shared" si="1"/>
        <v>20005.974</v>
      </c>
      <c r="C1002" s="148">
        <v>115384.6154</v>
      </c>
      <c r="D1002" s="145">
        <v>124260.355</v>
      </c>
      <c r="E1002" s="146">
        <v>122485.2071</v>
      </c>
      <c r="F1002" s="148">
        <v>108284.0237</v>
      </c>
      <c r="G1002" s="148">
        <v>150887.574</v>
      </c>
      <c r="H1002" s="148">
        <v>177514.7929</v>
      </c>
      <c r="I1002" s="146">
        <v>136686.3905</v>
      </c>
      <c r="J1002" s="148">
        <v>150887.574</v>
      </c>
      <c r="K1002" s="148">
        <v>156213.0178</v>
      </c>
      <c r="L1002" s="148">
        <v>152662.7219</v>
      </c>
      <c r="M1002" s="148">
        <v>129585.7988</v>
      </c>
      <c r="N1002" s="148">
        <v>115384.6154</v>
      </c>
      <c r="O1002" s="148">
        <v>101183.432</v>
      </c>
      <c r="P1002" s="148">
        <v>79881.65681</v>
      </c>
      <c r="Q1002" s="146">
        <v>86982.24852</v>
      </c>
      <c r="R1002" s="148">
        <v>94082.84024</v>
      </c>
      <c r="S1002" s="148">
        <v>104733.7278</v>
      </c>
    </row>
    <row r="1003">
      <c r="A1003" s="145">
        <v>62.0</v>
      </c>
      <c r="B1003" s="145">
        <f t="shared" si="1"/>
        <v>20026</v>
      </c>
      <c r="C1003" s="148">
        <v>115384.6154</v>
      </c>
      <c r="D1003" s="145">
        <v>124260.355</v>
      </c>
      <c r="E1003" s="146">
        <v>122485.2071</v>
      </c>
      <c r="F1003" s="148">
        <v>108284.0237</v>
      </c>
      <c r="G1003" s="148">
        <v>150887.574</v>
      </c>
      <c r="H1003" s="148">
        <v>177514.7929</v>
      </c>
      <c r="I1003" s="146">
        <v>136686.3905</v>
      </c>
      <c r="J1003" s="148">
        <v>150887.574</v>
      </c>
      <c r="K1003" s="148">
        <v>156213.0178</v>
      </c>
      <c r="L1003" s="148">
        <v>152662.7219</v>
      </c>
      <c r="M1003" s="148">
        <v>129585.7988</v>
      </c>
      <c r="N1003" s="148">
        <v>115384.6154</v>
      </c>
      <c r="O1003" s="148">
        <v>101183.432</v>
      </c>
      <c r="P1003" s="148">
        <v>79881.65681</v>
      </c>
      <c r="Q1003" s="146">
        <v>86982.24852</v>
      </c>
      <c r="R1003" s="148">
        <v>94082.84024</v>
      </c>
      <c r="S1003" s="148">
        <v>104733.7278</v>
      </c>
    </row>
    <row r="1004">
      <c r="A1004" s="145">
        <v>62.063</v>
      </c>
      <c r="B1004" s="145">
        <f t="shared" si="1"/>
        <v>20046.349</v>
      </c>
      <c r="C1004" s="148">
        <v>115384.6154</v>
      </c>
      <c r="D1004" s="145">
        <v>126035.503</v>
      </c>
      <c r="E1004" s="146">
        <v>124260.355</v>
      </c>
      <c r="F1004" s="148">
        <v>108284.0237</v>
      </c>
      <c r="G1004" s="148">
        <v>150887.574</v>
      </c>
      <c r="H1004" s="148">
        <v>177514.7929</v>
      </c>
      <c r="I1004" s="146">
        <v>136686.3905</v>
      </c>
      <c r="J1004" s="148">
        <v>150887.574</v>
      </c>
      <c r="K1004" s="148">
        <v>156213.0178</v>
      </c>
      <c r="L1004" s="148">
        <v>152662.7219</v>
      </c>
      <c r="M1004" s="148">
        <v>129585.7988</v>
      </c>
      <c r="N1004" s="148">
        <v>115384.6154</v>
      </c>
      <c r="O1004" s="148">
        <v>101183.432</v>
      </c>
      <c r="P1004" s="148">
        <v>79881.65681</v>
      </c>
      <c r="Q1004" s="146">
        <v>86982.24852</v>
      </c>
      <c r="R1004" s="148">
        <v>94082.84024</v>
      </c>
      <c r="S1004" s="148">
        <v>104733.7278</v>
      </c>
    </row>
    <row r="1005">
      <c r="A1005" s="145">
        <v>62.125</v>
      </c>
      <c r="B1005" s="145">
        <f t="shared" si="1"/>
        <v>20066.375</v>
      </c>
      <c r="C1005" s="148">
        <v>115384.6154</v>
      </c>
      <c r="D1005" s="145">
        <v>126035.503</v>
      </c>
      <c r="E1005" s="146">
        <v>124260.355</v>
      </c>
      <c r="F1005" s="148">
        <v>108284.0237</v>
      </c>
      <c r="G1005" s="148">
        <v>150887.574</v>
      </c>
      <c r="H1005" s="148">
        <v>177514.7929</v>
      </c>
      <c r="I1005" s="146">
        <v>138461.5385</v>
      </c>
      <c r="J1005" s="148">
        <v>150887.574</v>
      </c>
      <c r="K1005" s="148">
        <v>159763.3136</v>
      </c>
      <c r="L1005" s="148">
        <v>152662.7219</v>
      </c>
      <c r="M1005" s="148">
        <v>129585.7988</v>
      </c>
      <c r="N1005" s="148">
        <v>115384.6154</v>
      </c>
      <c r="O1005" s="148">
        <v>101183.432</v>
      </c>
      <c r="P1005" s="148">
        <v>79881.65681</v>
      </c>
      <c r="Q1005" s="146">
        <v>86982.24852</v>
      </c>
      <c r="R1005" s="148">
        <v>94082.84024</v>
      </c>
      <c r="S1005" s="148">
        <v>104733.7278</v>
      </c>
    </row>
    <row r="1006">
      <c r="A1006" s="145">
        <v>62.204</v>
      </c>
      <c r="B1006" s="145">
        <f t="shared" si="1"/>
        <v>20091.892</v>
      </c>
      <c r="C1006" s="148">
        <v>115384.6154</v>
      </c>
      <c r="D1006" s="145">
        <v>126035.503</v>
      </c>
      <c r="E1006" s="146">
        <v>124260.355</v>
      </c>
      <c r="F1006" s="148">
        <v>108284.0237</v>
      </c>
      <c r="G1006" s="148">
        <v>150887.574</v>
      </c>
      <c r="H1006" s="148">
        <v>177514.7929</v>
      </c>
      <c r="I1006" s="146">
        <v>138461.5385</v>
      </c>
      <c r="J1006" s="148">
        <v>150887.574</v>
      </c>
      <c r="K1006" s="148">
        <v>159763.3136</v>
      </c>
      <c r="L1006" s="148">
        <v>152662.7219</v>
      </c>
      <c r="M1006" s="148">
        <v>129585.7988</v>
      </c>
      <c r="N1006" s="148">
        <v>117159.7633</v>
      </c>
      <c r="O1006" s="148">
        <v>101183.432</v>
      </c>
      <c r="P1006" s="148">
        <v>79881.65681</v>
      </c>
      <c r="Q1006" s="146">
        <v>86982.24852</v>
      </c>
      <c r="R1006" s="148">
        <v>94082.84024</v>
      </c>
      <c r="S1006" s="148">
        <v>104733.7278</v>
      </c>
    </row>
    <row r="1007">
      <c r="A1007" s="145">
        <v>62.25</v>
      </c>
      <c r="B1007" s="145">
        <f t="shared" si="1"/>
        <v>20106.75</v>
      </c>
      <c r="C1007" s="148">
        <v>115384.6154</v>
      </c>
      <c r="D1007" s="145">
        <v>126035.503</v>
      </c>
      <c r="E1007" s="146">
        <v>124260.355</v>
      </c>
      <c r="F1007" s="148">
        <v>108284.0237</v>
      </c>
      <c r="G1007" s="148">
        <v>150887.574</v>
      </c>
      <c r="H1007" s="148">
        <v>177514.7929</v>
      </c>
      <c r="I1007" s="146">
        <v>138461.5385</v>
      </c>
      <c r="J1007" s="148">
        <v>150887.574</v>
      </c>
      <c r="K1007" s="148">
        <v>159763.3136</v>
      </c>
      <c r="L1007" s="148">
        <v>152662.7219</v>
      </c>
      <c r="M1007" s="148">
        <v>129585.7988</v>
      </c>
      <c r="N1007" s="148">
        <v>117159.7633</v>
      </c>
      <c r="O1007" s="148">
        <v>101183.432</v>
      </c>
      <c r="P1007" s="148">
        <v>81656.80473</v>
      </c>
      <c r="Q1007" s="146">
        <v>86982.24852</v>
      </c>
      <c r="R1007" s="148">
        <v>94082.84024</v>
      </c>
      <c r="S1007" s="148">
        <v>104733.7278</v>
      </c>
    </row>
    <row r="1008">
      <c r="A1008" s="145">
        <v>62.313</v>
      </c>
      <c r="B1008" s="145">
        <f t="shared" si="1"/>
        <v>20127.099</v>
      </c>
      <c r="C1008" s="148">
        <v>115384.6154</v>
      </c>
      <c r="D1008" s="145">
        <v>126035.503</v>
      </c>
      <c r="E1008" s="146">
        <v>124260.355</v>
      </c>
      <c r="F1008" s="148">
        <v>108284.0237</v>
      </c>
      <c r="G1008" s="148">
        <v>150887.574</v>
      </c>
      <c r="H1008" s="148">
        <v>177514.7929</v>
      </c>
      <c r="I1008" s="146">
        <v>138461.5385</v>
      </c>
      <c r="J1008" s="148">
        <v>150887.574</v>
      </c>
      <c r="K1008" s="148">
        <v>159763.3136</v>
      </c>
      <c r="L1008" s="148">
        <v>152662.7219</v>
      </c>
      <c r="M1008" s="148">
        <v>129585.7988</v>
      </c>
      <c r="N1008" s="148">
        <v>117159.7633</v>
      </c>
      <c r="O1008" s="148">
        <v>101183.432</v>
      </c>
      <c r="P1008" s="148">
        <v>81656.80473</v>
      </c>
      <c r="Q1008" s="146">
        <v>86982.24852</v>
      </c>
      <c r="R1008" s="148">
        <v>94082.84024</v>
      </c>
      <c r="S1008" s="148">
        <v>106508.8757</v>
      </c>
    </row>
    <row r="1009">
      <c r="A1009" s="145">
        <v>62.375</v>
      </c>
      <c r="B1009" s="145">
        <f t="shared" si="1"/>
        <v>20147.125</v>
      </c>
      <c r="C1009" s="148">
        <v>115384.6154</v>
      </c>
      <c r="D1009" s="145">
        <v>127810.6509</v>
      </c>
      <c r="E1009" s="146">
        <v>124260.355</v>
      </c>
      <c r="F1009" s="148">
        <v>110059.1716</v>
      </c>
      <c r="G1009" s="148">
        <v>150887.574</v>
      </c>
      <c r="H1009" s="148">
        <v>177514.7929</v>
      </c>
      <c r="I1009" s="146">
        <v>138461.5385</v>
      </c>
      <c r="J1009" s="148">
        <v>150887.574</v>
      </c>
      <c r="K1009" s="148">
        <v>159763.3136</v>
      </c>
      <c r="L1009" s="148">
        <v>152662.7219</v>
      </c>
      <c r="M1009" s="148">
        <v>129585.7988</v>
      </c>
      <c r="N1009" s="148">
        <v>117159.7633</v>
      </c>
      <c r="O1009" s="148">
        <v>101183.432</v>
      </c>
      <c r="P1009" s="148">
        <v>81656.80473</v>
      </c>
      <c r="Q1009" s="146">
        <v>86982.24852</v>
      </c>
      <c r="R1009" s="148">
        <v>94082.84024</v>
      </c>
      <c r="S1009" s="148">
        <v>106508.8757</v>
      </c>
    </row>
    <row r="1010">
      <c r="A1010" s="145">
        <v>62.438</v>
      </c>
      <c r="B1010" s="145">
        <f t="shared" si="1"/>
        <v>20167.474</v>
      </c>
      <c r="C1010" s="148">
        <v>115384.6154</v>
      </c>
      <c r="D1010" s="145">
        <v>127810.6509</v>
      </c>
      <c r="E1010" s="146">
        <v>124260.355</v>
      </c>
      <c r="F1010" s="148">
        <v>110059.1716</v>
      </c>
      <c r="G1010" s="148">
        <v>150887.574</v>
      </c>
      <c r="H1010" s="148">
        <v>177514.7929</v>
      </c>
      <c r="I1010" s="146">
        <v>138461.5385</v>
      </c>
      <c r="J1010" s="148">
        <v>150887.574</v>
      </c>
      <c r="K1010" s="148">
        <v>159763.3136</v>
      </c>
      <c r="L1010" s="148">
        <v>152662.7219</v>
      </c>
      <c r="M1010" s="148">
        <v>129585.7988</v>
      </c>
      <c r="N1010" s="148">
        <v>117159.7633</v>
      </c>
      <c r="O1010" s="148">
        <v>101183.432</v>
      </c>
      <c r="P1010" s="148">
        <v>81656.80473</v>
      </c>
      <c r="Q1010" s="146">
        <v>86982.24852</v>
      </c>
      <c r="R1010" s="148">
        <v>94082.84024</v>
      </c>
      <c r="S1010" s="148">
        <v>106508.8757</v>
      </c>
    </row>
    <row r="1011">
      <c r="A1011" s="145">
        <v>62.5</v>
      </c>
      <c r="B1011" s="145">
        <f t="shared" si="1"/>
        <v>20187.5</v>
      </c>
      <c r="C1011" s="148">
        <v>117159.7633</v>
      </c>
      <c r="D1011" s="145">
        <v>127810.6509</v>
      </c>
      <c r="E1011" s="146">
        <v>124260.355</v>
      </c>
      <c r="F1011" s="148">
        <v>110059.1716</v>
      </c>
      <c r="G1011" s="148">
        <v>150887.574</v>
      </c>
      <c r="H1011" s="148">
        <v>177514.7929</v>
      </c>
      <c r="I1011" s="146">
        <v>142011.8343</v>
      </c>
      <c r="J1011" s="148">
        <v>150887.574</v>
      </c>
      <c r="K1011" s="148">
        <v>159763.3136</v>
      </c>
      <c r="L1011" s="148">
        <v>152662.7219</v>
      </c>
      <c r="M1011" s="148">
        <v>129585.7988</v>
      </c>
      <c r="N1011" s="148">
        <v>117159.7633</v>
      </c>
      <c r="O1011" s="148">
        <v>101183.432</v>
      </c>
      <c r="P1011" s="148">
        <v>81656.80473</v>
      </c>
      <c r="Q1011" s="146">
        <v>86982.24852</v>
      </c>
      <c r="R1011" s="148">
        <v>94082.84024</v>
      </c>
      <c r="S1011" s="148">
        <v>106508.8757</v>
      </c>
    </row>
    <row r="1012">
      <c r="A1012" s="145">
        <v>62.563</v>
      </c>
      <c r="B1012" s="145">
        <f t="shared" si="1"/>
        <v>20207.849</v>
      </c>
      <c r="C1012" s="148">
        <v>117159.7633</v>
      </c>
      <c r="D1012" s="145">
        <v>127810.6509</v>
      </c>
      <c r="E1012" s="146">
        <v>124260.355</v>
      </c>
      <c r="F1012" s="148">
        <v>110059.1716</v>
      </c>
      <c r="G1012" s="148">
        <v>150887.574</v>
      </c>
      <c r="H1012" s="148">
        <v>177514.7929</v>
      </c>
      <c r="I1012" s="146">
        <v>142011.8343</v>
      </c>
      <c r="J1012" s="148">
        <v>150887.574</v>
      </c>
      <c r="K1012" s="148">
        <v>159763.3136</v>
      </c>
      <c r="L1012" s="148">
        <v>152662.7219</v>
      </c>
      <c r="M1012" s="148">
        <v>129585.7988</v>
      </c>
      <c r="N1012" s="148">
        <v>117159.7633</v>
      </c>
      <c r="O1012" s="148">
        <v>101183.432</v>
      </c>
      <c r="P1012" s="148">
        <v>81656.80473</v>
      </c>
      <c r="Q1012" s="146">
        <v>86982.24852</v>
      </c>
      <c r="R1012" s="148">
        <v>94082.84024</v>
      </c>
      <c r="S1012" s="148">
        <v>106508.8757</v>
      </c>
    </row>
    <row r="1013">
      <c r="A1013" s="145">
        <v>62.641</v>
      </c>
      <c r="B1013" s="145">
        <f t="shared" si="1"/>
        <v>20233.043</v>
      </c>
      <c r="C1013" s="148">
        <v>117159.7633</v>
      </c>
      <c r="D1013" s="145">
        <v>127810.6509</v>
      </c>
      <c r="E1013" s="146">
        <v>124260.355</v>
      </c>
      <c r="F1013" s="148">
        <v>110059.1716</v>
      </c>
      <c r="G1013" s="148">
        <v>150887.574</v>
      </c>
      <c r="H1013" s="148">
        <v>177514.7929</v>
      </c>
      <c r="I1013" s="146">
        <v>142011.8343</v>
      </c>
      <c r="J1013" s="148">
        <v>150887.574</v>
      </c>
      <c r="K1013" s="148">
        <v>159763.3136</v>
      </c>
      <c r="L1013" s="148">
        <v>152662.7219</v>
      </c>
      <c r="M1013" s="148">
        <v>129585.7988</v>
      </c>
      <c r="N1013" s="148">
        <v>117159.7633</v>
      </c>
      <c r="O1013" s="148">
        <v>101183.432</v>
      </c>
      <c r="P1013" s="148">
        <v>81656.80473</v>
      </c>
      <c r="Q1013" s="146">
        <v>86982.24852</v>
      </c>
      <c r="R1013" s="148">
        <v>94082.84024</v>
      </c>
      <c r="S1013" s="148">
        <v>106508.8757</v>
      </c>
    </row>
    <row r="1014">
      <c r="A1014" s="145">
        <v>62.688</v>
      </c>
      <c r="B1014" s="145">
        <f t="shared" si="1"/>
        <v>20248.224</v>
      </c>
      <c r="C1014" s="148">
        <v>117159.7633</v>
      </c>
      <c r="D1014" s="145">
        <v>127810.6509</v>
      </c>
      <c r="E1014" s="146">
        <v>124260.355</v>
      </c>
      <c r="F1014" s="148">
        <v>110059.1716</v>
      </c>
      <c r="G1014" s="148">
        <v>150887.574</v>
      </c>
      <c r="H1014" s="148">
        <v>177514.7929</v>
      </c>
      <c r="I1014" s="146">
        <v>142011.8343</v>
      </c>
      <c r="J1014" s="148">
        <v>150887.574</v>
      </c>
      <c r="K1014" s="148">
        <v>159763.3136</v>
      </c>
      <c r="L1014" s="148">
        <v>152662.7219</v>
      </c>
      <c r="M1014" s="148">
        <v>129585.7988</v>
      </c>
      <c r="N1014" s="148">
        <v>117159.7633</v>
      </c>
      <c r="O1014" s="148">
        <v>101183.432</v>
      </c>
      <c r="P1014" s="148">
        <v>81656.80473</v>
      </c>
      <c r="Q1014" s="146">
        <v>86982.24852</v>
      </c>
      <c r="R1014" s="148">
        <v>94082.84024</v>
      </c>
      <c r="S1014" s="148">
        <v>106508.8757</v>
      </c>
    </row>
    <row r="1015">
      <c r="A1015" s="145">
        <v>62.75</v>
      </c>
      <c r="B1015" s="145">
        <f t="shared" si="1"/>
        <v>20268.25</v>
      </c>
      <c r="C1015" s="148">
        <v>117159.7633</v>
      </c>
      <c r="D1015" s="145">
        <v>127810.6509</v>
      </c>
      <c r="E1015" s="146">
        <v>124260.355</v>
      </c>
      <c r="F1015" s="148">
        <v>110059.1716</v>
      </c>
      <c r="G1015" s="148">
        <v>150887.574</v>
      </c>
      <c r="H1015" s="148">
        <v>179289.9408</v>
      </c>
      <c r="I1015" s="146">
        <v>142011.8343</v>
      </c>
      <c r="J1015" s="148">
        <v>150887.574</v>
      </c>
      <c r="K1015" s="148">
        <v>159763.3136</v>
      </c>
      <c r="L1015" s="148">
        <v>152662.7219</v>
      </c>
      <c r="M1015" s="148">
        <v>129585.7988</v>
      </c>
      <c r="N1015" s="148">
        <v>117159.7633</v>
      </c>
      <c r="O1015" s="148">
        <v>101183.432</v>
      </c>
      <c r="P1015" s="148">
        <v>81656.80473</v>
      </c>
      <c r="Q1015" s="146">
        <v>86982.24852</v>
      </c>
      <c r="R1015" s="148">
        <v>94082.84024</v>
      </c>
      <c r="S1015" s="148">
        <v>106508.8757</v>
      </c>
    </row>
    <row r="1016">
      <c r="A1016" s="145">
        <v>62.813</v>
      </c>
      <c r="B1016" s="145">
        <f t="shared" si="1"/>
        <v>20288.599</v>
      </c>
      <c r="C1016" s="148">
        <v>117159.7633</v>
      </c>
      <c r="D1016" s="145">
        <v>127810.6509</v>
      </c>
      <c r="E1016" s="146">
        <v>124260.355</v>
      </c>
      <c r="F1016" s="148">
        <v>110059.1716</v>
      </c>
      <c r="G1016" s="148">
        <v>150887.574</v>
      </c>
      <c r="H1016" s="148">
        <v>179289.9408</v>
      </c>
      <c r="I1016" s="146">
        <v>142011.8343</v>
      </c>
      <c r="J1016" s="148">
        <v>150887.574</v>
      </c>
      <c r="K1016" s="148">
        <v>159763.3136</v>
      </c>
      <c r="L1016" s="148">
        <v>152662.7219</v>
      </c>
      <c r="M1016" s="148">
        <v>129585.7988</v>
      </c>
      <c r="N1016" s="148">
        <v>117159.7633</v>
      </c>
      <c r="O1016" s="148">
        <v>101183.432</v>
      </c>
      <c r="P1016" s="148">
        <v>81656.80473</v>
      </c>
      <c r="Q1016" s="146">
        <v>86982.24852</v>
      </c>
      <c r="R1016" s="148">
        <v>94082.84024</v>
      </c>
      <c r="S1016" s="148">
        <v>106508.8757</v>
      </c>
    </row>
    <row r="1017">
      <c r="A1017" s="145">
        <v>62.875</v>
      </c>
      <c r="B1017" s="145">
        <f t="shared" si="1"/>
        <v>20308.625</v>
      </c>
      <c r="C1017" s="148">
        <v>117159.7633</v>
      </c>
      <c r="D1017" s="145">
        <v>127810.6509</v>
      </c>
      <c r="E1017" s="146">
        <v>124260.355</v>
      </c>
      <c r="F1017" s="148">
        <v>110059.1716</v>
      </c>
      <c r="G1017" s="148">
        <v>150887.574</v>
      </c>
      <c r="H1017" s="148">
        <v>179289.9408</v>
      </c>
      <c r="I1017" s="146">
        <v>142011.8343</v>
      </c>
      <c r="J1017" s="148">
        <v>150887.574</v>
      </c>
      <c r="K1017" s="148">
        <v>159763.3136</v>
      </c>
      <c r="L1017" s="148">
        <v>152662.7219</v>
      </c>
      <c r="M1017" s="148">
        <v>131360.9467</v>
      </c>
      <c r="N1017" s="148">
        <v>117159.7633</v>
      </c>
      <c r="O1017" s="148">
        <v>102958.5799</v>
      </c>
      <c r="P1017" s="148">
        <v>81656.80473</v>
      </c>
      <c r="Q1017" s="146">
        <v>86982.24852</v>
      </c>
      <c r="R1017" s="148">
        <v>94082.84024</v>
      </c>
      <c r="S1017" s="148">
        <v>106508.8757</v>
      </c>
    </row>
    <row r="1018">
      <c r="A1018" s="145">
        <v>62.938</v>
      </c>
      <c r="B1018" s="145">
        <f t="shared" si="1"/>
        <v>20328.974</v>
      </c>
      <c r="C1018" s="148">
        <v>117159.7633</v>
      </c>
      <c r="D1018" s="145">
        <v>127810.6509</v>
      </c>
      <c r="E1018" s="146">
        <v>124260.355</v>
      </c>
      <c r="F1018" s="148">
        <v>110059.1716</v>
      </c>
      <c r="G1018" s="148">
        <v>150887.574</v>
      </c>
      <c r="H1018" s="148">
        <v>179289.9408</v>
      </c>
      <c r="I1018" s="146">
        <v>142011.8343</v>
      </c>
      <c r="J1018" s="148">
        <v>150887.574</v>
      </c>
      <c r="K1018" s="148">
        <v>159763.3136</v>
      </c>
      <c r="L1018" s="148">
        <v>152662.7219</v>
      </c>
      <c r="M1018" s="148">
        <v>131360.9467</v>
      </c>
      <c r="N1018" s="148">
        <v>117159.7633</v>
      </c>
      <c r="O1018" s="148">
        <v>102958.5799</v>
      </c>
      <c r="P1018" s="148">
        <v>81656.80473</v>
      </c>
      <c r="Q1018" s="146">
        <v>86982.24852</v>
      </c>
      <c r="R1018" s="148">
        <v>94082.84024</v>
      </c>
      <c r="S1018" s="148">
        <v>106508.8757</v>
      </c>
    </row>
    <row r="1019">
      <c r="A1019" s="145">
        <v>63.0</v>
      </c>
      <c r="B1019" s="145">
        <f t="shared" si="1"/>
        <v>20349</v>
      </c>
      <c r="C1019" s="148">
        <v>117159.7633</v>
      </c>
      <c r="D1019" s="145">
        <v>127810.6509</v>
      </c>
      <c r="E1019" s="146">
        <v>124260.355</v>
      </c>
      <c r="F1019" s="148">
        <v>110059.1716</v>
      </c>
      <c r="G1019" s="148">
        <v>154437.8698</v>
      </c>
      <c r="H1019" s="148">
        <v>179289.9408</v>
      </c>
      <c r="I1019" s="146">
        <v>142011.8343</v>
      </c>
      <c r="J1019" s="148">
        <v>150887.574</v>
      </c>
      <c r="K1019" s="148">
        <v>159763.3136</v>
      </c>
      <c r="L1019" s="148">
        <v>152662.7219</v>
      </c>
      <c r="M1019" s="148">
        <v>131360.9467</v>
      </c>
      <c r="N1019" s="148">
        <v>117159.7633</v>
      </c>
      <c r="O1019" s="148">
        <v>102958.5799</v>
      </c>
      <c r="P1019" s="148">
        <v>81656.80473</v>
      </c>
      <c r="Q1019" s="146">
        <v>86982.24852</v>
      </c>
      <c r="R1019" s="148">
        <v>94082.84024</v>
      </c>
      <c r="S1019" s="148">
        <v>106508.8757</v>
      </c>
    </row>
    <row r="1020">
      <c r="A1020" s="145">
        <v>63.063</v>
      </c>
      <c r="B1020" s="145">
        <f t="shared" si="1"/>
        <v>20369.349</v>
      </c>
      <c r="C1020" s="148">
        <v>117159.7633</v>
      </c>
      <c r="D1020" s="145">
        <v>127810.6509</v>
      </c>
      <c r="E1020" s="146">
        <v>124260.355</v>
      </c>
      <c r="F1020" s="148">
        <v>110059.1716</v>
      </c>
      <c r="G1020" s="148">
        <v>154437.8698</v>
      </c>
      <c r="H1020" s="148">
        <v>179289.9408</v>
      </c>
      <c r="I1020" s="146">
        <v>142011.8343</v>
      </c>
      <c r="J1020" s="148">
        <v>150887.574</v>
      </c>
      <c r="K1020" s="148">
        <v>159763.3136</v>
      </c>
      <c r="L1020" s="148">
        <v>152662.7219</v>
      </c>
      <c r="M1020" s="148">
        <v>131360.9467</v>
      </c>
      <c r="N1020" s="148">
        <v>117159.7633</v>
      </c>
      <c r="O1020" s="148">
        <v>102958.5799</v>
      </c>
      <c r="P1020" s="148">
        <v>81656.80473</v>
      </c>
      <c r="Q1020" s="146">
        <v>86982.24852</v>
      </c>
      <c r="R1020" s="148">
        <v>94082.84024</v>
      </c>
      <c r="S1020" s="148">
        <v>106508.8757</v>
      </c>
    </row>
    <row r="1021">
      <c r="A1021" s="145">
        <v>63.125</v>
      </c>
      <c r="B1021" s="145">
        <f t="shared" si="1"/>
        <v>20389.375</v>
      </c>
      <c r="C1021" s="148">
        <v>117159.7633</v>
      </c>
      <c r="D1021" s="145">
        <v>127810.6509</v>
      </c>
      <c r="E1021" s="146">
        <v>124260.355</v>
      </c>
      <c r="F1021" s="148">
        <v>110059.1716</v>
      </c>
      <c r="G1021" s="148">
        <v>154437.8698</v>
      </c>
      <c r="H1021" s="148">
        <v>179289.9408</v>
      </c>
      <c r="I1021" s="146">
        <v>142011.8343</v>
      </c>
      <c r="J1021" s="148">
        <v>150887.574</v>
      </c>
      <c r="K1021" s="148">
        <v>159763.3136</v>
      </c>
      <c r="L1021" s="148">
        <v>152662.7219</v>
      </c>
      <c r="M1021" s="148">
        <v>131360.9467</v>
      </c>
      <c r="N1021" s="148">
        <v>117159.7633</v>
      </c>
      <c r="O1021" s="148">
        <v>102958.5799</v>
      </c>
      <c r="P1021" s="148">
        <v>81656.80473</v>
      </c>
      <c r="Q1021" s="146">
        <v>86982.24852</v>
      </c>
      <c r="R1021" s="148">
        <v>94082.84024</v>
      </c>
      <c r="S1021" s="148">
        <v>106508.8757</v>
      </c>
    </row>
    <row r="1022">
      <c r="A1022" s="145">
        <v>63.188</v>
      </c>
      <c r="B1022" s="145">
        <f t="shared" si="1"/>
        <v>20409.724</v>
      </c>
      <c r="C1022" s="148">
        <v>117159.7633</v>
      </c>
      <c r="D1022" s="145">
        <v>127810.6509</v>
      </c>
      <c r="E1022" s="146">
        <v>124260.355</v>
      </c>
      <c r="F1022" s="148">
        <v>110059.1716</v>
      </c>
      <c r="G1022" s="148">
        <v>154437.8698</v>
      </c>
      <c r="H1022" s="148">
        <v>179289.9408</v>
      </c>
      <c r="I1022" s="146">
        <v>142011.8343</v>
      </c>
      <c r="J1022" s="148">
        <v>150887.574</v>
      </c>
      <c r="K1022" s="148">
        <v>159763.3136</v>
      </c>
      <c r="L1022" s="148">
        <v>152662.7219</v>
      </c>
      <c r="M1022" s="148">
        <v>131360.9467</v>
      </c>
      <c r="N1022" s="148">
        <v>117159.7633</v>
      </c>
      <c r="O1022" s="148">
        <v>102958.5799</v>
      </c>
      <c r="P1022" s="148">
        <v>81656.80473</v>
      </c>
      <c r="Q1022" s="146">
        <v>86982.24852</v>
      </c>
      <c r="R1022" s="148">
        <v>94082.84024</v>
      </c>
      <c r="S1022" s="148">
        <v>106508.8757</v>
      </c>
    </row>
    <row r="1023">
      <c r="A1023" s="145">
        <v>63.25</v>
      </c>
      <c r="B1023" s="145">
        <f t="shared" si="1"/>
        <v>20429.75</v>
      </c>
      <c r="C1023" s="148">
        <v>117159.7633</v>
      </c>
      <c r="D1023" s="145">
        <v>127810.6509</v>
      </c>
      <c r="E1023" s="146">
        <v>124260.355</v>
      </c>
      <c r="F1023" s="148">
        <v>110059.1716</v>
      </c>
      <c r="G1023" s="148">
        <v>154437.8698</v>
      </c>
      <c r="H1023" s="148">
        <v>179289.9408</v>
      </c>
      <c r="I1023" s="146">
        <v>142011.8343</v>
      </c>
      <c r="J1023" s="148">
        <v>150887.574</v>
      </c>
      <c r="K1023" s="148">
        <v>159763.3136</v>
      </c>
      <c r="L1023" s="148">
        <v>152662.7219</v>
      </c>
      <c r="M1023" s="148">
        <v>131360.9467</v>
      </c>
      <c r="N1023" s="148">
        <v>117159.7633</v>
      </c>
      <c r="O1023" s="148">
        <v>102958.5799</v>
      </c>
      <c r="P1023" s="148">
        <v>83431.95266</v>
      </c>
      <c r="Q1023" s="146">
        <v>86982.24852</v>
      </c>
      <c r="R1023" s="148">
        <v>94082.84024</v>
      </c>
      <c r="S1023" s="148">
        <v>108284.0237</v>
      </c>
    </row>
    <row r="1024">
      <c r="A1024" s="145">
        <v>63.313</v>
      </c>
      <c r="B1024" s="145">
        <f t="shared" si="1"/>
        <v>20450.099</v>
      </c>
      <c r="C1024" s="148">
        <v>117159.7633</v>
      </c>
      <c r="D1024" s="145">
        <v>127810.6509</v>
      </c>
      <c r="E1024" s="146">
        <v>126035.503</v>
      </c>
      <c r="F1024" s="148">
        <v>110059.1716</v>
      </c>
      <c r="G1024" s="148">
        <v>154437.8698</v>
      </c>
      <c r="H1024" s="148">
        <v>179289.9408</v>
      </c>
      <c r="I1024" s="146">
        <v>142011.8343</v>
      </c>
      <c r="J1024" s="148">
        <v>150887.574</v>
      </c>
      <c r="K1024" s="148">
        <v>159763.3136</v>
      </c>
      <c r="L1024" s="148">
        <v>152662.7219</v>
      </c>
      <c r="M1024" s="148">
        <v>131360.9467</v>
      </c>
      <c r="N1024" s="148">
        <v>118934.9112</v>
      </c>
      <c r="O1024" s="148">
        <v>102958.5799</v>
      </c>
      <c r="P1024" s="148">
        <v>83431.95266</v>
      </c>
      <c r="Q1024" s="146">
        <v>88757.39645</v>
      </c>
      <c r="R1024" s="148">
        <v>94082.84024</v>
      </c>
      <c r="S1024" s="148">
        <v>108284.0237</v>
      </c>
    </row>
    <row r="1025">
      <c r="A1025" s="145">
        <v>63.375</v>
      </c>
      <c r="B1025" s="145">
        <f t="shared" si="1"/>
        <v>20470.125</v>
      </c>
      <c r="C1025" s="148">
        <v>118934.9112</v>
      </c>
      <c r="D1025" s="145">
        <v>127810.6509</v>
      </c>
      <c r="E1025" s="146"/>
      <c r="F1025" s="148">
        <v>110059.1716</v>
      </c>
      <c r="G1025" s="148">
        <v>154437.8698</v>
      </c>
      <c r="H1025" s="148">
        <v>179289.9408</v>
      </c>
      <c r="I1025" s="146">
        <v>142011.8343</v>
      </c>
      <c r="J1025" s="148">
        <v>152662.7219</v>
      </c>
      <c r="K1025" s="148">
        <v>159763.3136</v>
      </c>
      <c r="L1025" s="148">
        <v>156213.0178</v>
      </c>
      <c r="M1025" s="148">
        <v>131360.9467</v>
      </c>
      <c r="N1025" s="148">
        <v>118934.9112</v>
      </c>
      <c r="O1025" s="148">
        <v>102958.5799</v>
      </c>
      <c r="P1025" s="148">
        <v>83431.95266</v>
      </c>
      <c r="Q1025" s="146">
        <v>88757.39645</v>
      </c>
      <c r="R1025" s="148">
        <v>94082.84024</v>
      </c>
      <c r="S1025" s="148">
        <v>108284.0237</v>
      </c>
    </row>
    <row r="1026">
      <c r="A1026" s="145">
        <v>63.438</v>
      </c>
      <c r="B1026" s="145">
        <f t="shared" si="1"/>
        <v>20490.474</v>
      </c>
      <c r="C1026" s="148">
        <v>118934.9112</v>
      </c>
      <c r="D1026" s="145">
        <v>127810.6509</v>
      </c>
      <c r="E1026" s="146"/>
      <c r="F1026" s="148">
        <v>110059.1716</v>
      </c>
      <c r="G1026" s="148">
        <v>154437.8698</v>
      </c>
      <c r="H1026" s="148">
        <v>179289.9408</v>
      </c>
      <c r="I1026" s="146">
        <v>142011.8343</v>
      </c>
      <c r="J1026" s="148">
        <v>152662.7219</v>
      </c>
      <c r="K1026" s="148">
        <v>159763.3136</v>
      </c>
      <c r="L1026" s="148">
        <v>156213.0178</v>
      </c>
      <c r="M1026" s="148">
        <v>131360.9467</v>
      </c>
      <c r="N1026" s="148">
        <v>118934.9112</v>
      </c>
      <c r="O1026" s="148">
        <v>102958.5799</v>
      </c>
      <c r="P1026" s="148">
        <v>83431.95266</v>
      </c>
      <c r="Q1026" s="146">
        <v>88757.39645</v>
      </c>
      <c r="R1026" s="148">
        <v>94082.84024</v>
      </c>
      <c r="S1026" s="148">
        <v>108284.0237</v>
      </c>
    </row>
    <row r="1027">
      <c r="A1027" s="145">
        <v>63.5</v>
      </c>
      <c r="B1027" s="145">
        <f t="shared" si="1"/>
        <v>20510.5</v>
      </c>
      <c r="C1027" s="148">
        <v>118934.9112</v>
      </c>
      <c r="D1027" s="145">
        <v>127810.6509</v>
      </c>
      <c r="E1027" s="146"/>
      <c r="F1027" s="148">
        <v>110059.1716</v>
      </c>
      <c r="G1027" s="148">
        <v>154437.8698</v>
      </c>
      <c r="H1027" s="148">
        <v>179289.9408</v>
      </c>
      <c r="I1027" s="146">
        <v>143786.9822</v>
      </c>
      <c r="J1027" s="148">
        <v>152662.7219</v>
      </c>
      <c r="K1027" s="148">
        <v>159763.3136</v>
      </c>
      <c r="L1027" s="148">
        <v>156213.0178</v>
      </c>
      <c r="M1027" s="148">
        <v>131360.9467</v>
      </c>
      <c r="N1027" s="148">
        <v>118934.9112</v>
      </c>
      <c r="O1027" s="148">
        <v>102958.5799</v>
      </c>
      <c r="P1027" s="148">
        <v>83431.95266</v>
      </c>
      <c r="Q1027" s="146">
        <v>88757.39645</v>
      </c>
      <c r="R1027" s="148">
        <v>94082.84024</v>
      </c>
      <c r="S1027" s="148">
        <v>108284.0237</v>
      </c>
    </row>
    <row r="1028">
      <c r="A1028" s="145">
        <v>63.563</v>
      </c>
      <c r="B1028" s="145">
        <f t="shared" si="1"/>
        <v>20530.849</v>
      </c>
      <c r="C1028" s="148">
        <v>118934.9112</v>
      </c>
      <c r="D1028" s="145">
        <v>127810.6509</v>
      </c>
      <c r="E1028" s="146"/>
      <c r="F1028" s="148">
        <v>110059.1716</v>
      </c>
      <c r="G1028" s="148">
        <v>154437.8698</v>
      </c>
      <c r="H1028" s="148">
        <v>179289.9408</v>
      </c>
      <c r="I1028" s="146">
        <v>143786.9822</v>
      </c>
      <c r="J1028" s="148">
        <v>152662.7219</v>
      </c>
      <c r="K1028" s="148">
        <v>159763.3136</v>
      </c>
      <c r="L1028" s="148">
        <v>156213.0178</v>
      </c>
      <c r="M1028" s="148">
        <v>131360.9467</v>
      </c>
      <c r="N1028" s="148">
        <v>118934.9112</v>
      </c>
      <c r="O1028" s="148">
        <v>102958.5799</v>
      </c>
      <c r="P1028" s="148">
        <v>83431.95266</v>
      </c>
      <c r="Q1028" s="146">
        <v>88757.39645</v>
      </c>
      <c r="R1028" s="148">
        <v>94082.84024</v>
      </c>
      <c r="S1028" s="148">
        <v>108284.0237</v>
      </c>
    </row>
    <row r="1029">
      <c r="A1029" s="145">
        <v>63.625</v>
      </c>
      <c r="B1029" s="145">
        <f t="shared" si="1"/>
        <v>20550.875</v>
      </c>
      <c r="C1029" s="148">
        <v>118934.9112</v>
      </c>
      <c r="D1029" s="145">
        <v>127810.6509</v>
      </c>
      <c r="E1029" s="146"/>
      <c r="F1029" s="148">
        <v>111834.3195</v>
      </c>
      <c r="G1029" s="148">
        <v>154437.8698</v>
      </c>
      <c r="H1029" s="148">
        <v>181065.0888</v>
      </c>
      <c r="I1029" s="146">
        <v>143786.9822</v>
      </c>
      <c r="J1029" s="148">
        <v>152662.7219</v>
      </c>
      <c r="K1029" s="148">
        <v>159763.3136</v>
      </c>
      <c r="L1029" s="148">
        <v>156213.0178</v>
      </c>
      <c r="M1029" s="148">
        <v>131360.9467</v>
      </c>
      <c r="N1029" s="148">
        <v>118934.9112</v>
      </c>
      <c r="O1029" s="148">
        <v>102958.5799</v>
      </c>
      <c r="P1029" s="148">
        <v>83431.95266</v>
      </c>
      <c r="Q1029" s="146">
        <v>88757.39645</v>
      </c>
      <c r="R1029" s="148">
        <v>94082.84024</v>
      </c>
      <c r="S1029" s="148">
        <v>108284.0237</v>
      </c>
    </row>
    <row r="1030">
      <c r="A1030" s="145">
        <v>63.688</v>
      </c>
      <c r="B1030" s="145">
        <f t="shared" si="1"/>
        <v>20571.224</v>
      </c>
      <c r="C1030" s="148">
        <v>118934.9112</v>
      </c>
      <c r="D1030" s="145">
        <v>127810.6509</v>
      </c>
      <c r="E1030" s="146"/>
      <c r="F1030" s="148">
        <v>111834.3195</v>
      </c>
      <c r="G1030" s="148">
        <v>154437.8698</v>
      </c>
      <c r="H1030" s="148">
        <v>184615.3846</v>
      </c>
      <c r="I1030" s="146">
        <v>143786.9822</v>
      </c>
      <c r="J1030" s="148">
        <v>152662.7219</v>
      </c>
      <c r="K1030" s="148">
        <v>159763.3136</v>
      </c>
      <c r="L1030" s="148">
        <v>156213.0178</v>
      </c>
      <c r="M1030" s="148">
        <v>131360.9467</v>
      </c>
      <c r="N1030" s="148">
        <v>118934.9112</v>
      </c>
      <c r="O1030" s="148">
        <v>102958.5799</v>
      </c>
      <c r="P1030" s="148">
        <v>83431.95266</v>
      </c>
      <c r="Q1030" s="146">
        <v>88757.39645</v>
      </c>
      <c r="R1030" s="148">
        <v>94082.84024</v>
      </c>
      <c r="S1030" s="148">
        <v>108284.0237</v>
      </c>
    </row>
    <row r="1031">
      <c r="A1031" s="145">
        <v>63.766</v>
      </c>
      <c r="B1031" s="145">
        <f t="shared" si="1"/>
        <v>20596.418</v>
      </c>
      <c r="C1031" s="148">
        <v>118934.9112</v>
      </c>
      <c r="D1031" s="145">
        <v>129585.7988</v>
      </c>
      <c r="E1031" s="146"/>
      <c r="F1031" s="148">
        <v>111834.3195</v>
      </c>
      <c r="G1031" s="148">
        <v>154437.8698</v>
      </c>
      <c r="H1031" s="148">
        <v>184615.3846</v>
      </c>
      <c r="I1031" s="146">
        <v>143786.9822</v>
      </c>
      <c r="J1031" s="148">
        <v>152662.7219</v>
      </c>
      <c r="K1031" s="148">
        <v>159763.3136</v>
      </c>
      <c r="L1031" s="148">
        <v>156213.0178</v>
      </c>
      <c r="M1031" s="148">
        <v>131360.9467</v>
      </c>
      <c r="N1031" s="148">
        <v>118934.9112</v>
      </c>
      <c r="O1031" s="148">
        <v>102958.5799</v>
      </c>
      <c r="P1031" s="148">
        <v>83431.95266</v>
      </c>
      <c r="Q1031" s="146">
        <v>88757.39645</v>
      </c>
      <c r="R1031" s="148">
        <v>94082.84024</v>
      </c>
      <c r="S1031" s="148">
        <v>108284.0237</v>
      </c>
    </row>
    <row r="1032">
      <c r="A1032" s="145">
        <v>63.813</v>
      </c>
      <c r="B1032" s="145">
        <f t="shared" si="1"/>
        <v>20611.599</v>
      </c>
      <c r="C1032" s="148">
        <v>118934.9112</v>
      </c>
      <c r="D1032" s="145">
        <v>129585.7988</v>
      </c>
      <c r="E1032" s="146"/>
      <c r="F1032" s="148">
        <v>111834.3195</v>
      </c>
      <c r="G1032" s="148">
        <v>154437.8698</v>
      </c>
      <c r="H1032" s="148">
        <v>184615.3846</v>
      </c>
      <c r="I1032" s="146">
        <v>143786.9822</v>
      </c>
      <c r="J1032" s="148">
        <v>152662.7219</v>
      </c>
      <c r="K1032" s="148">
        <v>159763.3136</v>
      </c>
      <c r="L1032" s="148">
        <v>156213.0178</v>
      </c>
      <c r="M1032" s="148">
        <v>131360.9467</v>
      </c>
      <c r="N1032" s="148">
        <v>118934.9112</v>
      </c>
      <c r="O1032" s="148">
        <v>102958.5799</v>
      </c>
      <c r="P1032" s="148">
        <v>83431.95266</v>
      </c>
      <c r="Q1032" s="146">
        <v>88757.39645</v>
      </c>
      <c r="R1032" s="148">
        <v>94082.84024</v>
      </c>
      <c r="S1032" s="148">
        <v>108284.0237</v>
      </c>
    </row>
    <row r="1033">
      <c r="A1033" s="145">
        <v>63.875</v>
      </c>
      <c r="B1033" s="145">
        <f t="shared" si="1"/>
        <v>20631.625</v>
      </c>
      <c r="C1033" s="148">
        <v>118934.9112</v>
      </c>
      <c r="D1033" s="145">
        <v>129585.7988</v>
      </c>
      <c r="E1033" s="146"/>
      <c r="F1033" s="148">
        <v>111834.3195</v>
      </c>
      <c r="G1033" s="148">
        <v>154437.8698</v>
      </c>
      <c r="H1033" s="148">
        <v>184615.3846</v>
      </c>
      <c r="I1033" s="146">
        <v>143786.9822</v>
      </c>
      <c r="J1033" s="148">
        <v>152662.7219</v>
      </c>
      <c r="K1033" s="148">
        <v>159763.3136</v>
      </c>
      <c r="L1033" s="148">
        <v>156213.0178</v>
      </c>
      <c r="M1033" s="148">
        <v>131360.9467</v>
      </c>
      <c r="N1033" s="148">
        <v>118934.9112</v>
      </c>
      <c r="O1033" s="148">
        <v>102958.5799</v>
      </c>
      <c r="P1033" s="148">
        <v>85207.10059</v>
      </c>
      <c r="Q1033" s="146">
        <v>88757.39645</v>
      </c>
      <c r="R1033" s="148">
        <v>94082.84024</v>
      </c>
      <c r="S1033" s="148">
        <v>108284.0237</v>
      </c>
    </row>
    <row r="1034">
      <c r="A1034" s="145">
        <v>63.938</v>
      </c>
      <c r="B1034" s="145">
        <f t="shared" si="1"/>
        <v>20651.974</v>
      </c>
      <c r="C1034" s="148">
        <v>118934.9112</v>
      </c>
      <c r="D1034" s="145">
        <v>129585.7988</v>
      </c>
      <c r="E1034" s="146"/>
      <c r="F1034" s="148">
        <v>111834.3195</v>
      </c>
      <c r="G1034" s="148">
        <v>154437.8698</v>
      </c>
      <c r="H1034" s="148">
        <v>184615.3846</v>
      </c>
      <c r="I1034" s="146">
        <v>143786.9822</v>
      </c>
      <c r="J1034" s="148">
        <v>154437.8698</v>
      </c>
      <c r="K1034" s="148">
        <v>159763.3136</v>
      </c>
      <c r="L1034" s="148">
        <v>156213.0178</v>
      </c>
      <c r="M1034" s="148">
        <v>131360.9467</v>
      </c>
      <c r="N1034" s="148">
        <v>118934.9112</v>
      </c>
      <c r="O1034" s="148">
        <v>102958.5799</v>
      </c>
      <c r="P1034" s="148">
        <v>85207.10059</v>
      </c>
      <c r="Q1034" s="146">
        <v>88757.39645</v>
      </c>
      <c r="R1034" s="148">
        <v>94082.84024</v>
      </c>
      <c r="S1034" s="148">
        <v>108284.0237</v>
      </c>
    </row>
    <row r="1035">
      <c r="A1035" s="145">
        <v>64.0</v>
      </c>
      <c r="B1035" s="145">
        <f t="shared" si="1"/>
        <v>20672</v>
      </c>
      <c r="C1035" s="148">
        <v>118934.9112</v>
      </c>
      <c r="D1035" s="145">
        <v>129585.7988</v>
      </c>
      <c r="E1035" s="146"/>
      <c r="F1035" s="148">
        <v>111834.3195</v>
      </c>
      <c r="G1035" s="148">
        <v>156213.0178</v>
      </c>
      <c r="H1035" s="148">
        <v>184615.3846</v>
      </c>
      <c r="I1035" s="146">
        <v>143786.9822</v>
      </c>
      <c r="J1035" s="148">
        <v>154437.8698</v>
      </c>
      <c r="K1035" s="148">
        <v>159763.3136</v>
      </c>
      <c r="L1035" s="148">
        <v>156213.0178</v>
      </c>
      <c r="M1035" s="148">
        <v>131360.9467</v>
      </c>
      <c r="N1035" s="148">
        <v>118934.9112</v>
      </c>
      <c r="O1035" s="148">
        <v>102958.5799</v>
      </c>
      <c r="P1035" s="148">
        <v>85207.10059</v>
      </c>
      <c r="Q1035" s="146">
        <v>88757.39645</v>
      </c>
      <c r="R1035" s="148">
        <v>95857.98817</v>
      </c>
      <c r="S1035" s="148">
        <v>108284.0237</v>
      </c>
    </row>
    <row r="1036">
      <c r="A1036" s="145">
        <v>64.063</v>
      </c>
      <c r="B1036" s="145">
        <f t="shared" si="1"/>
        <v>20692.349</v>
      </c>
      <c r="C1036" s="148">
        <v>118934.9112</v>
      </c>
      <c r="D1036" s="145">
        <v>129585.7988</v>
      </c>
      <c r="E1036" s="146"/>
      <c r="F1036" s="148">
        <v>111834.3195</v>
      </c>
      <c r="G1036" s="148">
        <v>156213.0178</v>
      </c>
      <c r="H1036" s="148">
        <v>184615.3846</v>
      </c>
      <c r="I1036" s="146">
        <v>143786.9822</v>
      </c>
      <c r="J1036" s="148">
        <v>154437.8698</v>
      </c>
      <c r="K1036" s="148">
        <v>159763.3136</v>
      </c>
      <c r="L1036" s="148">
        <v>156213.0178</v>
      </c>
      <c r="M1036" s="148">
        <v>131360.9467</v>
      </c>
      <c r="N1036" s="148">
        <v>118934.9112</v>
      </c>
      <c r="O1036" s="148">
        <v>102958.5799</v>
      </c>
      <c r="P1036" s="148">
        <v>85207.10059</v>
      </c>
      <c r="Q1036" s="146">
        <v>90532.54438</v>
      </c>
      <c r="R1036" s="148">
        <v>95857.98817</v>
      </c>
      <c r="S1036" s="148">
        <v>110059.1716</v>
      </c>
    </row>
    <row r="1037">
      <c r="A1037" s="145">
        <v>64.125</v>
      </c>
      <c r="B1037" s="145">
        <f t="shared" si="1"/>
        <v>20712.375</v>
      </c>
      <c r="C1037" s="148">
        <v>118934.9112</v>
      </c>
      <c r="D1037" s="145">
        <v>129585.7988</v>
      </c>
      <c r="E1037" s="146"/>
      <c r="F1037" s="148">
        <v>111834.3195</v>
      </c>
      <c r="G1037" s="148">
        <v>161538.4615</v>
      </c>
      <c r="H1037" s="148">
        <v>184615.3846</v>
      </c>
      <c r="I1037" s="146">
        <v>143786.9822</v>
      </c>
      <c r="J1037" s="148">
        <v>154437.8698</v>
      </c>
      <c r="K1037" s="148">
        <v>159763.3136</v>
      </c>
      <c r="L1037" s="148">
        <v>156213.0178</v>
      </c>
      <c r="M1037" s="148">
        <v>131360.9467</v>
      </c>
      <c r="N1037" s="148">
        <v>118934.9112</v>
      </c>
      <c r="O1037" s="148">
        <v>102958.5799</v>
      </c>
      <c r="P1037" s="148">
        <v>85207.10059</v>
      </c>
      <c r="Q1037" s="146">
        <v>90532.54438</v>
      </c>
      <c r="R1037" s="148">
        <v>95857.98817</v>
      </c>
      <c r="S1037" s="148">
        <v>110059.1716</v>
      </c>
    </row>
    <row r="1038">
      <c r="A1038" s="145">
        <v>64.188</v>
      </c>
      <c r="B1038" s="145">
        <f t="shared" si="1"/>
        <v>20732.724</v>
      </c>
      <c r="C1038" s="148">
        <v>118934.9112</v>
      </c>
      <c r="D1038" s="145">
        <v>129585.7988</v>
      </c>
      <c r="E1038" s="146"/>
      <c r="F1038" s="148">
        <v>111834.3195</v>
      </c>
      <c r="G1038" s="148">
        <v>161538.4615</v>
      </c>
      <c r="H1038" s="148">
        <v>184615.3846</v>
      </c>
      <c r="I1038" s="146">
        <v>143786.9822</v>
      </c>
      <c r="J1038" s="148">
        <v>154437.8698</v>
      </c>
      <c r="K1038" s="148">
        <v>159763.3136</v>
      </c>
      <c r="L1038" s="148">
        <v>156213.0178</v>
      </c>
      <c r="M1038" s="148">
        <v>131360.9467</v>
      </c>
      <c r="N1038" s="148">
        <v>118934.9112</v>
      </c>
      <c r="O1038" s="148">
        <v>102958.5799</v>
      </c>
      <c r="P1038" s="148">
        <v>85207.10059</v>
      </c>
      <c r="Q1038" s="146">
        <v>90532.54438</v>
      </c>
      <c r="R1038" s="148">
        <v>95857.98817</v>
      </c>
      <c r="S1038" s="148">
        <v>110059.1716</v>
      </c>
    </row>
    <row r="1039">
      <c r="A1039" s="145">
        <v>64.25</v>
      </c>
      <c r="B1039" s="145">
        <f t="shared" si="1"/>
        <v>20752.75</v>
      </c>
      <c r="C1039" s="148">
        <v>118934.9112</v>
      </c>
      <c r="D1039" s="145">
        <v>131360.9467</v>
      </c>
      <c r="E1039" s="146"/>
      <c r="F1039" s="148">
        <v>111834.3195</v>
      </c>
      <c r="G1039" s="148">
        <v>161538.4615</v>
      </c>
      <c r="H1039" s="148">
        <v>184615.3846</v>
      </c>
      <c r="I1039" s="146">
        <v>143786.9822</v>
      </c>
      <c r="J1039" s="148">
        <v>156213.0178</v>
      </c>
      <c r="K1039" s="148">
        <v>159763.3136</v>
      </c>
      <c r="L1039" s="148">
        <v>156213.0178</v>
      </c>
      <c r="M1039" s="148">
        <v>131360.9467</v>
      </c>
      <c r="N1039" s="148">
        <v>118934.9112</v>
      </c>
      <c r="O1039" s="148">
        <v>102958.5799</v>
      </c>
      <c r="P1039" s="148">
        <v>85207.10059</v>
      </c>
      <c r="Q1039" s="146">
        <v>90532.54438</v>
      </c>
      <c r="R1039" s="148">
        <v>95857.98817</v>
      </c>
      <c r="S1039" s="148">
        <v>110059.1716</v>
      </c>
    </row>
    <row r="1040">
      <c r="A1040" s="145">
        <v>64.313</v>
      </c>
      <c r="B1040" s="145">
        <f t="shared" si="1"/>
        <v>20773.099</v>
      </c>
      <c r="C1040" s="148">
        <v>118934.9112</v>
      </c>
      <c r="D1040" s="145">
        <v>131360.9467</v>
      </c>
      <c r="E1040" s="146"/>
      <c r="F1040" s="148">
        <v>115384.6154</v>
      </c>
      <c r="G1040" s="148">
        <v>161538.4615</v>
      </c>
      <c r="H1040" s="148">
        <v>184615.3846</v>
      </c>
      <c r="I1040" s="146">
        <v>143786.9822</v>
      </c>
      <c r="J1040" s="148">
        <v>156213.0178</v>
      </c>
      <c r="K1040" s="148">
        <v>159763.3136</v>
      </c>
      <c r="L1040" s="148">
        <v>156213.0178</v>
      </c>
      <c r="M1040" s="148">
        <v>131360.9467</v>
      </c>
      <c r="N1040" s="148">
        <v>118934.9112</v>
      </c>
      <c r="O1040" s="148">
        <v>102958.5799</v>
      </c>
      <c r="P1040" s="148">
        <v>85207.10059</v>
      </c>
      <c r="Q1040" s="146">
        <v>90532.54438</v>
      </c>
      <c r="R1040" s="148">
        <v>95857.98817</v>
      </c>
      <c r="S1040" s="148">
        <v>110059.1716</v>
      </c>
    </row>
    <row r="1041">
      <c r="A1041" s="145">
        <v>64.375</v>
      </c>
      <c r="B1041" s="145">
        <f t="shared" si="1"/>
        <v>20793.125</v>
      </c>
      <c r="C1041" s="148">
        <v>118934.9112</v>
      </c>
      <c r="D1041" s="145">
        <v>131360.9467</v>
      </c>
      <c r="E1041" s="146"/>
      <c r="F1041" s="148">
        <v>115384.6154</v>
      </c>
      <c r="G1041" s="148">
        <v>161538.4615</v>
      </c>
      <c r="H1041" s="148">
        <v>184615.3846</v>
      </c>
      <c r="I1041" s="146">
        <v>143786.9822</v>
      </c>
      <c r="J1041" s="148">
        <v>156213.0178</v>
      </c>
      <c r="K1041" s="148">
        <v>170414.2012</v>
      </c>
      <c r="L1041" s="148">
        <v>156213.0178</v>
      </c>
      <c r="M1041" s="148">
        <v>131360.9467</v>
      </c>
      <c r="N1041" s="148">
        <v>118934.9112</v>
      </c>
      <c r="O1041" s="148">
        <v>102958.5799</v>
      </c>
      <c r="P1041" s="148">
        <v>85207.10059</v>
      </c>
      <c r="Q1041" s="146">
        <v>90532.54438</v>
      </c>
      <c r="R1041" s="148">
        <v>95857.98817</v>
      </c>
      <c r="S1041" s="148">
        <v>110059.1716</v>
      </c>
    </row>
    <row r="1042">
      <c r="A1042" s="145">
        <v>64.438</v>
      </c>
      <c r="B1042" s="145">
        <f t="shared" si="1"/>
        <v>20813.474</v>
      </c>
      <c r="C1042" s="148">
        <v>118934.9112</v>
      </c>
      <c r="D1042" s="145">
        <v>131360.9467</v>
      </c>
      <c r="E1042" s="146"/>
      <c r="F1042" s="148">
        <v>115384.6154</v>
      </c>
      <c r="G1042" s="148">
        <v>161538.4615</v>
      </c>
      <c r="H1042" s="148">
        <v>184615.3846</v>
      </c>
      <c r="I1042" s="146">
        <v>143786.9822</v>
      </c>
      <c r="J1042" s="148">
        <v>156213.0178</v>
      </c>
      <c r="K1042" s="148">
        <v>170414.2012</v>
      </c>
      <c r="L1042" s="148">
        <v>156213.0178</v>
      </c>
      <c r="M1042" s="148">
        <v>131360.9467</v>
      </c>
      <c r="N1042" s="148">
        <v>118934.9112</v>
      </c>
      <c r="O1042" s="148">
        <v>104733.7278</v>
      </c>
      <c r="P1042" s="148">
        <v>85207.10059</v>
      </c>
      <c r="Q1042" s="146">
        <v>90532.54438</v>
      </c>
      <c r="R1042" s="148">
        <v>95857.98817</v>
      </c>
      <c r="S1042" s="148">
        <v>110059.1716</v>
      </c>
    </row>
    <row r="1043">
      <c r="A1043" s="145">
        <v>64.5</v>
      </c>
      <c r="B1043" s="145">
        <f t="shared" si="1"/>
        <v>20833.5</v>
      </c>
      <c r="C1043" s="148">
        <v>118934.9112</v>
      </c>
      <c r="D1043" s="145">
        <v>131360.9467</v>
      </c>
      <c r="E1043" s="146"/>
      <c r="F1043" s="148">
        <v>115384.6154</v>
      </c>
      <c r="G1043" s="148">
        <v>161538.4615</v>
      </c>
      <c r="H1043" s="148">
        <v>184615.3846</v>
      </c>
      <c r="I1043" s="146">
        <v>143786.9822</v>
      </c>
      <c r="J1043" s="148">
        <v>156213.0178</v>
      </c>
      <c r="K1043" s="148">
        <v>170414.2012</v>
      </c>
      <c r="L1043" s="148">
        <v>156213.0178</v>
      </c>
      <c r="M1043" s="148">
        <v>131360.9467</v>
      </c>
      <c r="N1043" s="148">
        <v>118934.9112</v>
      </c>
      <c r="O1043" s="148">
        <v>104733.7278</v>
      </c>
      <c r="P1043" s="148">
        <v>85207.10059</v>
      </c>
      <c r="Q1043" s="146">
        <v>90532.54438</v>
      </c>
      <c r="R1043" s="148">
        <v>97633.1361</v>
      </c>
      <c r="S1043" s="148">
        <v>110059.1716</v>
      </c>
    </row>
    <row r="1044">
      <c r="A1044" s="145">
        <v>64.563</v>
      </c>
      <c r="B1044" s="145">
        <f t="shared" si="1"/>
        <v>20853.849</v>
      </c>
      <c r="C1044" s="148">
        <v>118934.9112</v>
      </c>
      <c r="D1044" s="145">
        <v>131360.9467</v>
      </c>
      <c r="E1044" s="146"/>
      <c r="F1044" s="148">
        <v>115384.6154</v>
      </c>
      <c r="G1044" s="148">
        <v>161538.4615</v>
      </c>
      <c r="H1044" s="148">
        <v>184615.3846</v>
      </c>
      <c r="I1044" s="146">
        <v>143786.9822</v>
      </c>
      <c r="J1044" s="148">
        <v>156213.0178</v>
      </c>
      <c r="K1044" s="148">
        <v>172189.3491</v>
      </c>
      <c r="L1044" s="148">
        <v>156213.0178</v>
      </c>
      <c r="M1044" s="148">
        <v>131360.9467</v>
      </c>
      <c r="N1044" s="148">
        <v>118934.9112</v>
      </c>
      <c r="O1044" s="148">
        <v>104733.7278</v>
      </c>
      <c r="P1044" s="148">
        <v>85207.10059</v>
      </c>
      <c r="Q1044" s="146">
        <v>90532.54438</v>
      </c>
      <c r="R1044" s="148">
        <v>97633.1361</v>
      </c>
      <c r="S1044" s="148">
        <v>110059.1716</v>
      </c>
    </row>
    <row r="1045">
      <c r="A1045" s="145">
        <v>64.625</v>
      </c>
      <c r="B1045" s="145">
        <f t="shared" si="1"/>
        <v>20873.875</v>
      </c>
      <c r="C1045" s="148">
        <v>118934.9112</v>
      </c>
      <c r="D1045" s="145">
        <v>131360.9467</v>
      </c>
      <c r="E1045" s="146"/>
      <c r="F1045" s="148">
        <v>115384.6154</v>
      </c>
      <c r="G1045" s="148">
        <v>161538.4615</v>
      </c>
      <c r="H1045" s="148">
        <v>184615.3846</v>
      </c>
      <c r="I1045" s="146">
        <v>143786.9822</v>
      </c>
      <c r="J1045" s="148">
        <v>156213.0178</v>
      </c>
      <c r="K1045" s="148">
        <v>172189.3491</v>
      </c>
      <c r="L1045" s="148">
        <v>156213.0178</v>
      </c>
      <c r="M1045" s="148">
        <v>131360.9467</v>
      </c>
      <c r="N1045" s="148">
        <v>118934.9112</v>
      </c>
      <c r="O1045" s="148">
        <v>104733.7278</v>
      </c>
      <c r="P1045" s="148">
        <v>85207.10059</v>
      </c>
      <c r="Q1045" s="146">
        <v>90532.54438</v>
      </c>
      <c r="R1045" s="148">
        <v>97633.1361</v>
      </c>
      <c r="S1045" s="148">
        <v>110059.1716</v>
      </c>
    </row>
    <row r="1046">
      <c r="A1046" s="145">
        <v>64.688</v>
      </c>
      <c r="B1046" s="145">
        <f t="shared" si="1"/>
        <v>20894.224</v>
      </c>
      <c r="C1046" s="148">
        <v>118934.9112</v>
      </c>
      <c r="D1046" s="145">
        <v>131360.9467</v>
      </c>
      <c r="E1046" s="146"/>
      <c r="F1046" s="148">
        <v>115384.6154</v>
      </c>
      <c r="G1046" s="148">
        <v>161538.4615</v>
      </c>
      <c r="H1046" s="148">
        <v>184615.3846</v>
      </c>
      <c r="I1046" s="146">
        <v>143786.9822</v>
      </c>
      <c r="J1046" s="148">
        <v>156213.0178</v>
      </c>
      <c r="K1046" s="148">
        <v>172189.3491</v>
      </c>
      <c r="L1046" s="148">
        <v>156213.0178</v>
      </c>
      <c r="M1046" s="148">
        <v>131360.9467</v>
      </c>
      <c r="N1046" s="148">
        <v>118934.9112</v>
      </c>
      <c r="O1046" s="148">
        <v>104733.7278</v>
      </c>
      <c r="P1046" s="148">
        <v>85207.10059</v>
      </c>
      <c r="Q1046" s="146">
        <v>90532.54438</v>
      </c>
      <c r="R1046" s="148">
        <v>97633.1361</v>
      </c>
      <c r="S1046" s="148">
        <v>110059.1716</v>
      </c>
    </row>
    <row r="1047">
      <c r="A1047" s="145">
        <v>64.75</v>
      </c>
      <c r="B1047" s="145">
        <f t="shared" si="1"/>
        <v>20914.25</v>
      </c>
      <c r="C1047" s="148">
        <v>118934.9112</v>
      </c>
      <c r="D1047" s="145">
        <v>131360.9467</v>
      </c>
      <c r="E1047" s="146"/>
      <c r="F1047" s="148">
        <v>115384.6154</v>
      </c>
      <c r="G1047" s="148">
        <v>161538.4615</v>
      </c>
      <c r="H1047" s="148">
        <v>184615.3846</v>
      </c>
      <c r="I1047" s="146">
        <v>143786.9822</v>
      </c>
      <c r="J1047" s="148">
        <v>156213.0178</v>
      </c>
      <c r="K1047" s="148">
        <v>172189.3491</v>
      </c>
      <c r="L1047" s="148">
        <v>159763.3136</v>
      </c>
      <c r="M1047" s="148">
        <v>131360.9467</v>
      </c>
      <c r="N1047" s="148">
        <v>118934.9112</v>
      </c>
      <c r="O1047" s="148">
        <v>104733.7278</v>
      </c>
      <c r="P1047" s="148">
        <v>85207.10059</v>
      </c>
      <c r="Q1047" s="146">
        <v>90532.54438</v>
      </c>
      <c r="R1047" s="148">
        <v>97633.1361</v>
      </c>
      <c r="S1047" s="148">
        <v>110059.1716</v>
      </c>
    </row>
    <row r="1048">
      <c r="A1048" s="145">
        <v>64.813</v>
      </c>
      <c r="B1048" s="145">
        <f t="shared" si="1"/>
        <v>20934.599</v>
      </c>
      <c r="C1048" s="148">
        <v>118934.9112</v>
      </c>
      <c r="D1048" s="145">
        <v>131360.9467</v>
      </c>
      <c r="E1048" s="146"/>
      <c r="F1048" s="148">
        <v>115384.6154</v>
      </c>
      <c r="G1048" s="148">
        <v>161538.4615</v>
      </c>
      <c r="H1048" s="148">
        <v>184615.3846</v>
      </c>
      <c r="I1048" s="146">
        <v>143786.9822</v>
      </c>
      <c r="J1048" s="148">
        <v>156213.0178</v>
      </c>
      <c r="K1048" s="148">
        <v>172189.3491</v>
      </c>
      <c r="L1048" s="148">
        <v>159763.3136</v>
      </c>
      <c r="M1048" s="148">
        <v>131360.9467</v>
      </c>
      <c r="N1048" s="148">
        <v>118934.9112</v>
      </c>
      <c r="O1048" s="148">
        <v>106508.8757</v>
      </c>
      <c r="P1048" s="148">
        <v>85207.10059</v>
      </c>
      <c r="Q1048" s="146">
        <v>90532.54438</v>
      </c>
      <c r="R1048" s="148">
        <v>97633.1361</v>
      </c>
      <c r="S1048" s="148">
        <v>110059.1716</v>
      </c>
    </row>
    <row r="1049">
      <c r="A1049" s="145">
        <v>64.875</v>
      </c>
      <c r="B1049" s="145">
        <f t="shared" si="1"/>
        <v>20954.625</v>
      </c>
      <c r="C1049" s="148">
        <v>118934.9112</v>
      </c>
      <c r="D1049" s="145">
        <v>133136.0947</v>
      </c>
      <c r="E1049" s="146"/>
      <c r="F1049" s="148">
        <v>115384.6154</v>
      </c>
      <c r="G1049" s="148">
        <v>161538.4615</v>
      </c>
      <c r="H1049" s="148">
        <v>184615.3846</v>
      </c>
      <c r="I1049" s="146">
        <v>143786.9822</v>
      </c>
      <c r="J1049" s="148">
        <v>156213.0178</v>
      </c>
      <c r="K1049" s="148">
        <v>172189.3491</v>
      </c>
      <c r="L1049" s="148">
        <v>159763.3136</v>
      </c>
      <c r="M1049" s="148">
        <v>131360.9467</v>
      </c>
      <c r="N1049" s="148">
        <v>118934.9112</v>
      </c>
      <c r="O1049" s="148">
        <v>106508.8757</v>
      </c>
      <c r="P1049" s="148">
        <v>85207.10059</v>
      </c>
      <c r="Q1049" s="146">
        <v>90532.54438</v>
      </c>
      <c r="R1049" s="148">
        <v>97633.1361</v>
      </c>
      <c r="S1049" s="148">
        <v>110059.1716</v>
      </c>
    </row>
    <row r="1050">
      <c r="A1050" s="145">
        <v>64.954</v>
      </c>
      <c r="B1050" s="145">
        <f t="shared" si="1"/>
        <v>20980.142</v>
      </c>
      <c r="C1050" s="148">
        <v>118934.9112</v>
      </c>
      <c r="D1050" s="145">
        <v>133136.0947</v>
      </c>
      <c r="E1050" s="146"/>
      <c r="F1050" s="148">
        <v>115384.6154</v>
      </c>
      <c r="G1050" s="148">
        <v>161538.4615</v>
      </c>
      <c r="H1050" s="148">
        <v>184615.3846</v>
      </c>
      <c r="I1050" s="146">
        <v>143786.9822</v>
      </c>
      <c r="J1050" s="148">
        <v>156213.0178</v>
      </c>
      <c r="K1050" s="148">
        <v>172189.3491</v>
      </c>
      <c r="L1050" s="148">
        <v>159763.3136</v>
      </c>
      <c r="M1050" s="148">
        <v>131360.9467</v>
      </c>
      <c r="N1050" s="148">
        <v>118934.9112</v>
      </c>
      <c r="O1050" s="148">
        <v>106508.8757</v>
      </c>
      <c r="P1050" s="148">
        <v>85207.10059</v>
      </c>
      <c r="Q1050" s="146">
        <v>90532.54438</v>
      </c>
      <c r="R1050" s="148">
        <v>97633.1361</v>
      </c>
      <c r="S1050" s="148">
        <v>110059.1716</v>
      </c>
    </row>
    <row r="1051">
      <c r="A1051" s="145">
        <v>65.0</v>
      </c>
      <c r="B1051" s="145">
        <f t="shared" si="1"/>
        <v>20995</v>
      </c>
      <c r="C1051" s="148">
        <v>118934.9112</v>
      </c>
      <c r="D1051" s="145">
        <v>133136.0947</v>
      </c>
      <c r="E1051" s="146"/>
      <c r="F1051" s="148">
        <v>115384.6154</v>
      </c>
      <c r="G1051" s="148">
        <v>161538.4615</v>
      </c>
      <c r="H1051" s="148">
        <v>184615.3846</v>
      </c>
      <c r="I1051" s="146">
        <v>143786.9822</v>
      </c>
      <c r="J1051" s="148">
        <v>156213.0178</v>
      </c>
      <c r="K1051" s="148">
        <v>172189.3491</v>
      </c>
      <c r="L1051" s="148">
        <v>159763.3136</v>
      </c>
      <c r="M1051" s="148">
        <v>131360.9467</v>
      </c>
      <c r="N1051" s="148">
        <v>118934.9112</v>
      </c>
      <c r="O1051" s="148">
        <v>106508.8757</v>
      </c>
      <c r="P1051" s="148">
        <v>85207.10059</v>
      </c>
      <c r="Q1051" s="146">
        <v>90532.54438</v>
      </c>
      <c r="R1051" s="148">
        <v>97633.1361</v>
      </c>
      <c r="S1051" s="148">
        <v>110059.1716</v>
      </c>
    </row>
    <row r="1052">
      <c r="A1052" s="145">
        <v>65.063</v>
      </c>
      <c r="B1052" s="145">
        <f t="shared" si="1"/>
        <v>21015.349</v>
      </c>
      <c r="C1052" s="148">
        <v>118934.9112</v>
      </c>
      <c r="D1052" s="145">
        <v>133136.0947</v>
      </c>
      <c r="E1052" s="146"/>
      <c r="F1052" s="148">
        <v>115384.6154</v>
      </c>
      <c r="G1052" s="148">
        <v>161538.4615</v>
      </c>
      <c r="H1052" s="148">
        <v>184615.3846</v>
      </c>
      <c r="I1052" s="146">
        <v>145562.1302</v>
      </c>
      <c r="J1052" s="148">
        <v>156213.0178</v>
      </c>
      <c r="K1052" s="148">
        <v>172189.3491</v>
      </c>
      <c r="L1052" s="148">
        <v>159763.3136</v>
      </c>
      <c r="M1052" s="148">
        <v>131360.9467</v>
      </c>
      <c r="N1052" s="148">
        <v>118934.9112</v>
      </c>
      <c r="O1052" s="148">
        <v>106508.8757</v>
      </c>
      <c r="P1052" s="148">
        <v>85207.10059</v>
      </c>
      <c r="Q1052" s="146">
        <v>90532.54438</v>
      </c>
      <c r="R1052" s="148">
        <v>97633.1361</v>
      </c>
      <c r="S1052" s="148">
        <v>110059.1716</v>
      </c>
    </row>
    <row r="1053">
      <c r="A1053" s="145">
        <v>65.125</v>
      </c>
      <c r="B1053" s="145">
        <f t="shared" si="1"/>
        <v>21035.375</v>
      </c>
      <c r="C1053" s="148">
        <v>120710.0592</v>
      </c>
      <c r="D1053" s="145">
        <v>133136.0947</v>
      </c>
      <c r="E1053" s="146"/>
      <c r="F1053" s="148">
        <v>115384.6154</v>
      </c>
      <c r="G1053" s="148">
        <v>161538.4615</v>
      </c>
      <c r="H1053" s="148">
        <v>184615.3846</v>
      </c>
      <c r="I1053" s="146">
        <v>145562.1302</v>
      </c>
      <c r="J1053" s="148">
        <v>156213.0178</v>
      </c>
      <c r="K1053" s="148">
        <v>172189.3491</v>
      </c>
      <c r="L1053" s="148">
        <v>159763.3136</v>
      </c>
      <c r="M1053" s="148">
        <v>131360.9467</v>
      </c>
      <c r="N1053" s="148">
        <v>118934.9112</v>
      </c>
      <c r="O1053" s="148">
        <v>106508.8757</v>
      </c>
      <c r="P1053" s="148">
        <v>85207.10059</v>
      </c>
      <c r="Q1053" s="146">
        <v>90532.54438</v>
      </c>
      <c r="R1053" s="148">
        <v>97633.1361</v>
      </c>
      <c r="S1053" s="148">
        <v>110059.1716</v>
      </c>
    </row>
    <row r="1054">
      <c r="A1054" s="145">
        <v>65.188</v>
      </c>
      <c r="B1054" s="145">
        <f t="shared" si="1"/>
        <v>21055.724</v>
      </c>
      <c r="C1054" s="148">
        <v>120710.0592</v>
      </c>
      <c r="D1054" s="145">
        <v>133136.0947</v>
      </c>
      <c r="E1054" s="146"/>
      <c r="F1054" s="148">
        <v>115384.6154</v>
      </c>
      <c r="G1054" s="148">
        <v>161538.4615</v>
      </c>
      <c r="H1054" s="148">
        <v>184615.3846</v>
      </c>
      <c r="I1054" s="146">
        <v>145562.1302</v>
      </c>
      <c r="J1054" s="148">
        <v>156213.0178</v>
      </c>
      <c r="K1054" s="148">
        <v>172189.3491</v>
      </c>
      <c r="L1054" s="148">
        <v>159763.3136</v>
      </c>
      <c r="M1054" s="148">
        <v>131360.9467</v>
      </c>
      <c r="N1054" s="148">
        <v>120710.0592</v>
      </c>
      <c r="O1054" s="148">
        <v>106508.8757</v>
      </c>
      <c r="P1054" s="148">
        <v>85207.10059</v>
      </c>
      <c r="Q1054" s="146">
        <v>90532.54438</v>
      </c>
      <c r="R1054" s="148">
        <v>97633.1361</v>
      </c>
      <c r="S1054" s="148">
        <v>110059.1716</v>
      </c>
    </row>
    <row r="1055">
      <c r="A1055" s="145">
        <v>65.25</v>
      </c>
      <c r="B1055" s="145">
        <f t="shared" si="1"/>
        <v>21075.75</v>
      </c>
      <c r="C1055" s="148">
        <v>120710.0592</v>
      </c>
      <c r="D1055" s="145">
        <v>133136.0947</v>
      </c>
      <c r="E1055" s="146"/>
      <c r="F1055" s="148">
        <v>115384.6154</v>
      </c>
      <c r="G1055" s="148">
        <v>161538.4615</v>
      </c>
      <c r="H1055" s="148">
        <v>184615.3846</v>
      </c>
      <c r="I1055" s="146">
        <v>145562.1302</v>
      </c>
      <c r="J1055" s="148">
        <v>156213.0178</v>
      </c>
      <c r="K1055" s="148">
        <v>172189.3491</v>
      </c>
      <c r="L1055" s="148">
        <v>159763.3136</v>
      </c>
      <c r="M1055" s="148">
        <v>131360.9467</v>
      </c>
      <c r="N1055" s="148">
        <v>120710.0592</v>
      </c>
      <c r="O1055" s="148">
        <v>106508.8757</v>
      </c>
      <c r="P1055" s="148">
        <v>85207.10059</v>
      </c>
      <c r="Q1055" s="146">
        <v>90532.54438</v>
      </c>
      <c r="R1055" s="148">
        <v>97633.1361</v>
      </c>
      <c r="S1055" s="148">
        <v>110059.1716</v>
      </c>
    </row>
    <row r="1056">
      <c r="A1056" s="145">
        <v>65.313</v>
      </c>
      <c r="B1056" s="145">
        <f t="shared" si="1"/>
        <v>21096.099</v>
      </c>
      <c r="C1056" s="148">
        <v>120710.0592</v>
      </c>
      <c r="D1056" s="145">
        <v>133136.0947</v>
      </c>
      <c r="E1056" s="146"/>
      <c r="F1056" s="148">
        <v>115384.6154</v>
      </c>
      <c r="G1056" s="148">
        <v>163313.6095</v>
      </c>
      <c r="H1056" s="148">
        <v>184615.3846</v>
      </c>
      <c r="I1056" s="146">
        <v>145562.1302</v>
      </c>
      <c r="J1056" s="148">
        <v>156213.0178</v>
      </c>
      <c r="K1056" s="148">
        <v>172189.3491</v>
      </c>
      <c r="L1056" s="148">
        <v>159763.3136</v>
      </c>
      <c r="M1056" s="148">
        <v>131360.9467</v>
      </c>
      <c r="N1056" s="148">
        <v>120710.0592</v>
      </c>
      <c r="O1056" s="148">
        <v>106508.8757</v>
      </c>
      <c r="P1056" s="148">
        <v>85207.10059</v>
      </c>
      <c r="Q1056" s="146">
        <v>90532.54438</v>
      </c>
      <c r="R1056" s="148">
        <v>97633.1361</v>
      </c>
      <c r="S1056" s="148">
        <v>110059.1716</v>
      </c>
    </row>
    <row r="1057">
      <c r="A1057" s="145">
        <v>65.375</v>
      </c>
      <c r="B1057" s="145">
        <f t="shared" si="1"/>
        <v>21116.125</v>
      </c>
      <c r="C1057" s="148">
        <v>120710.0592</v>
      </c>
      <c r="D1057" s="145">
        <v>133136.0947</v>
      </c>
      <c r="E1057" s="146"/>
      <c r="F1057" s="148">
        <v>115384.6154</v>
      </c>
      <c r="G1057" s="148">
        <v>163313.6095</v>
      </c>
      <c r="H1057" s="148">
        <v>184615.3846</v>
      </c>
      <c r="I1057" s="146">
        <v>145562.1302</v>
      </c>
      <c r="J1057" s="148">
        <v>156213.0178</v>
      </c>
      <c r="K1057" s="148">
        <v>172189.3491</v>
      </c>
      <c r="L1057" s="148">
        <v>159763.3136</v>
      </c>
      <c r="M1057" s="148">
        <v>131360.9467</v>
      </c>
      <c r="N1057" s="148">
        <v>120710.0592</v>
      </c>
      <c r="O1057" s="148">
        <v>106508.8757</v>
      </c>
      <c r="P1057" s="148">
        <v>85207.10059</v>
      </c>
      <c r="Q1057" s="146">
        <v>90532.54438</v>
      </c>
      <c r="R1057" s="148">
        <v>97633.1361</v>
      </c>
      <c r="S1057" s="148">
        <v>110059.1716</v>
      </c>
    </row>
    <row r="1058">
      <c r="A1058" s="145">
        <v>65.438</v>
      </c>
      <c r="B1058" s="145">
        <f t="shared" si="1"/>
        <v>21136.474</v>
      </c>
      <c r="C1058" s="148">
        <v>120710.0592</v>
      </c>
      <c r="D1058" s="145">
        <v>133136.0947</v>
      </c>
      <c r="E1058" s="146"/>
      <c r="F1058" s="148">
        <v>115384.6154</v>
      </c>
      <c r="G1058" s="148">
        <v>163313.6095</v>
      </c>
      <c r="H1058" s="148">
        <v>184615.3846</v>
      </c>
      <c r="I1058" s="146">
        <v>145562.1302</v>
      </c>
      <c r="J1058" s="148">
        <v>159763.3136</v>
      </c>
      <c r="K1058" s="148">
        <v>172189.3491</v>
      </c>
      <c r="L1058" s="148">
        <v>159763.3136</v>
      </c>
      <c r="M1058" s="148">
        <v>131360.9467</v>
      </c>
      <c r="N1058" s="148">
        <v>120710.0592</v>
      </c>
      <c r="O1058" s="148">
        <v>106508.8757</v>
      </c>
      <c r="P1058" s="148">
        <v>85207.10059</v>
      </c>
      <c r="Q1058" s="146">
        <v>90532.54438</v>
      </c>
      <c r="R1058" s="148">
        <v>97633.1361</v>
      </c>
      <c r="S1058" s="148">
        <v>110059.1716</v>
      </c>
    </row>
    <row r="1059">
      <c r="A1059" s="145">
        <v>65.516</v>
      </c>
      <c r="B1059" s="145">
        <f t="shared" si="1"/>
        <v>21161.668</v>
      </c>
      <c r="C1059" s="148">
        <v>120710.0592</v>
      </c>
      <c r="D1059" s="145">
        <v>133136.0947</v>
      </c>
      <c r="E1059" s="146"/>
      <c r="F1059" s="148">
        <v>115384.6154</v>
      </c>
      <c r="G1059" s="148">
        <v>163313.6095</v>
      </c>
      <c r="H1059" s="148">
        <v>184615.3846</v>
      </c>
      <c r="I1059" s="146">
        <v>145562.1302</v>
      </c>
      <c r="J1059" s="148">
        <v>159763.3136</v>
      </c>
      <c r="K1059" s="148">
        <v>172189.3491</v>
      </c>
      <c r="L1059" s="148">
        <v>159763.3136</v>
      </c>
      <c r="M1059" s="148">
        <v>131360.9467</v>
      </c>
      <c r="N1059" s="148">
        <v>120710.0592</v>
      </c>
      <c r="O1059" s="148">
        <v>106508.8757</v>
      </c>
      <c r="P1059" s="148">
        <v>85207.10059</v>
      </c>
      <c r="Q1059" s="146">
        <v>90532.54438</v>
      </c>
      <c r="R1059" s="148">
        <v>97633.1361</v>
      </c>
      <c r="S1059" s="148">
        <v>110059.1716</v>
      </c>
    </row>
    <row r="1060">
      <c r="A1060" s="145">
        <v>65.563</v>
      </c>
      <c r="B1060" s="145">
        <f t="shared" si="1"/>
        <v>21176.849</v>
      </c>
      <c r="C1060" s="148">
        <v>120710.0592</v>
      </c>
      <c r="D1060" s="145">
        <v>133136.0947</v>
      </c>
      <c r="E1060" s="146"/>
      <c r="F1060" s="148">
        <v>115384.6154</v>
      </c>
      <c r="G1060" s="148">
        <v>163313.6095</v>
      </c>
      <c r="H1060" s="148">
        <v>184615.3846</v>
      </c>
      <c r="I1060" s="146">
        <v>145562.1302</v>
      </c>
      <c r="J1060" s="148">
        <v>159763.3136</v>
      </c>
      <c r="K1060" s="148">
        <v>172189.3491</v>
      </c>
      <c r="L1060" s="148">
        <v>159763.3136</v>
      </c>
      <c r="M1060" s="148">
        <v>131360.9467</v>
      </c>
      <c r="N1060" s="148">
        <v>120710.0592</v>
      </c>
      <c r="O1060" s="148">
        <v>106508.8757</v>
      </c>
      <c r="P1060" s="148">
        <v>85207.10059</v>
      </c>
      <c r="Q1060" s="146">
        <v>90532.54438</v>
      </c>
      <c r="R1060" s="148">
        <v>97633.1361</v>
      </c>
      <c r="S1060" s="148">
        <v>110059.1716</v>
      </c>
    </row>
    <row r="1061">
      <c r="A1061" s="145">
        <v>65.625</v>
      </c>
      <c r="B1061" s="145">
        <f t="shared" si="1"/>
        <v>21196.875</v>
      </c>
      <c r="C1061" s="148">
        <v>120710.0592</v>
      </c>
      <c r="D1061" s="145">
        <v>133136.0947</v>
      </c>
      <c r="E1061" s="146"/>
      <c r="F1061" s="148">
        <v>115384.6154</v>
      </c>
      <c r="G1061" s="148">
        <v>163313.6095</v>
      </c>
      <c r="H1061" s="148">
        <v>184615.3846</v>
      </c>
      <c r="I1061" s="146">
        <v>145562.1302</v>
      </c>
      <c r="J1061" s="148">
        <v>159763.3136</v>
      </c>
      <c r="K1061" s="148">
        <v>172189.3491</v>
      </c>
      <c r="L1061" s="148">
        <v>159763.3136</v>
      </c>
      <c r="M1061" s="148">
        <v>131360.9467</v>
      </c>
      <c r="N1061" s="148">
        <v>120710.0592</v>
      </c>
      <c r="O1061" s="148">
        <v>108284.0237</v>
      </c>
      <c r="P1061" s="148">
        <v>85207.10059</v>
      </c>
      <c r="Q1061" s="146">
        <v>90532.54438</v>
      </c>
      <c r="R1061" s="148">
        <v>97633.1361</v>
      </c>
      <c r="S1061" s="148">
        <v>110059.1716</v>
      </c>
    </row>
    <row r="1062">
      <c r="A1062" s="145">
        <v>65.688</v>
      </c>
      <c r="B1062" s="145">
        <f t="shared" si="1"/>
        <v>21217.224</v>
      </c>
      <c r="C1062" s="148">
        <v>120710.0592</v>
      </c>
      <c r="D1062" s="145">
        <v>133136.0947</v>
      </c>
      <c r="E1062" s="146"/>
      <c r="F1062" s="148">
        <v>115384.6154</v>
      </c>
      <c r="G1062" s="148">
        <v>163313.6095</v>
      </c>
      <c r="H1062" s="148">
        <v>184615.3846</v>
      </c>
      <c r="I1062" s="146">
        <v>145562.1302</v>
      </c>
      <c r="J1062" s="148">
        <v>159763.3136</v>
      </c>
      <c r="K1062" s="148">
        <v>172189.3491</v>
      </c>
      <c r="L1062" s="148">
        <v>159763.3136</v>
      </c>
      <c r="M1062" s="148">
        <v>131360.9467</v>
      </c>
      <c r="N1062" s="148">
        <v>120710.0592</v>
      </c>
      <c r="O1062" s="148">
        <v>108284.0237</v>
      </c>
      <c r="P1062" s="148">
        <v>85207.10059</v>
      </c>
      <c r="Q1062" s="146">
        <v>90532.54438</v>
      </c>
      <c r="R1062" s="148">
        <v>97633.1361</v>
      </c>
      <c r="S1062" s="148">
        <v>110059.1716</v>
      </c>
    </row>
    <row r="1063">
      <c r="A1063" s="145">
        <v>65.766</v>
      </c>
      <c r="B1063" s="145">
        <f t="shared" si="1"/>
        <v>21242.418</v>
      </c>
      <c r="C1063" s="148">
        <v>120710.0592</v>
      </c>
      <c r="D1063" s="145">
        <v>133136.0947</v>
      </c>
      <c r="E1063" s="146"/>
      <c r="F1063" s="148">
        <v>117159.7633</v>
      </c>
      <c r="G1063" s="148">
        <v>163313.6095</v>
      </c>
      <c r="H1063" s="148">
        <v>184615.3846</v>
      </c>
      <c r="I1063" s="146">
        <v>145562.1302</v>
      </c>
      <c r="J1063" s="148">
        <v>159763.3136</v>
      </c>
      <c r="K1063" s="148">
        <v>172189.3491</v>
      </c>
      <c r="L1063" s="148">
        <v>159763.3136</v>
      </c>
      <c r="M1063" s="148">
        <v>131360.9467</v>
      </c>
      <c r="N1063" s="148">
        <v>120710.0592</v>
      </c>
      <c r="O1063" s="148">
        <v>108284.0237</v>
      </c>
      <c r="P1063" s="148">
        <v>85207.10059</v>
      </c>
      <c r="Q1063" s="146">
        <v>90532.54438</v>
      </c>
      <c r="R1063" s="148">
        <v>97633.1361</v>
      </c>
      <c r="S1063" s="148">
        <v>110059.1716</v>
      </c>
    </row>
    <row r="1064">
      <c r="A1064" s="145">
        <v>65.813</v>
      </c>
      <c r="B1064" s="145">
        <f t="shared" si="1"/>
        <v>21257.599</v>
      </c>
      <c r="C1064" s="148">
        <v>122485.2071</v>
      </c>
      <c r="D1064" s="145">
        <v>133136.0947</v>
      </c>
      <c r="E1064" s="146"/>
      <c r="F1064" s="148">
        <v>117159.7633</v>
      </c>
      <c r="G1064" s="148">
        <v>163313.6095</v>
      </c>
      <c r="H1064" s="148">
        <v>184615.3846</v>
      </c>
      <c r="I1064" s="146">
        <v>145562.1302</v>
      </c>
      <c r="J1064" s="148">
        <v>159763.3136</v>
      </c>
      <c r="K1064" s="148">
        <v>172189.3491</v>
      </c>
      <c r="L1064" s="148">
        <v>159763.3136</v>
      </c>
      <c r="M1064" s="148">
        <v>131360.9467</v>
      </c>
      <c r="N1064" s="148">
        <v>120710.0592</v>
      </c>
      <c r="O1064" s="148">
        <v>108284.0237</v>
      </c>
      <c r="P1064" s="148">
        <v>85207.10059</v>
      </c>
      <c r="Q1064" s="146">
        <v>90532.54438</v>
      </c>
      <c r="R1064" s="148">
        <v>97633.1361</v>
      </c>
      <c r="S1064" s="148">
        <v>110059.1716</v>
      </c>
    </row>
    <row r="1065">
      <c r="A1065" s="145">
        <v>65.875</v>
      </c>
      <c r="B1065" s="145">
        <f t="shared" si="1"/>
        <v>21277.625</v>
      </c>
      <c r="C1065" s="148">
        <v>122485.2071</v>
      </c>
      <c r="D1065" s="145">
        <v>134911.2426</v>
      </c>
      <c r="E1065" s="146"/>
      <c r="F1065" s="148">
        <v>118934.9112</v>
      </c>
      <c r="G1065" s="148">
        <v>163313.6095</v>
      </c>
      <c r="H1065" s="148">
        <v>184615.3846</v>
      </c>
      <c r="I1065" s="146">
        <v>145562.1302</v>
      </c>
      <c r="J1065" s="148">
        <v>159763.3136</v>
      </c>
      <c r="K1065" s="148">
        <v>172189.3491</v>
      </c>
      <c r="L1065" s="148">
        <v>159763.3136</v>
      </c>
      <c r="M1065" s="148">
        <v>131360.9467</v>
      </c>
      <c r="N1065" s="148">
        <v>120710.0592</v>
      </c>
      <c r="O1065" s="148">
        <v>108284.0237</v>
      </c>
      <c r="P1065" s="148">
        <v>85207.10059</v>
      </c>
      <c r="Q1065" s="146">
        <v>90532.54438</v>
      </c>
      <c r="R1065" s="148">
        <v>97633.1361</v>
      </c>
      <c r="S1065" s="148">
        <v>110059.1716</v>
      </c>
    </row>
    <row r="1066">
      <c r="A1066" s="145">
        <v>65.938</v>
      </c>
      <c r="B1066" s="145">
        <f t="shared" si="1"/>
        <v>21297.974</v>
      </c>
      <c r="C1066" s="148">
        <v>122485.2071</v>
      </c>
      <c r="D1066" s="145">
        <v>134911.2426</v>
      </c>
      <c r="E1066" s="146"/>
      <c r="F1066" s="148">
        <v>118934.9112</v>
      </c>
      <c r="G1066" s="148">
        <v>163313.6095</v>
      </c>
      <c r="H1066" s="148">
        <v>184615.3846</v>
      </c>
      <c r="I1066" s="146">
        <v>145562.1302</v>
      </c>
      <c r="J1066" s="148">
        <v>159763.3136</v>
      </c>
      <c r="K1066" s="148">
        <v>175739.645</v>
      </c>
      <c r="L1066" s="148">
        <v>159763.3136</v>
      </c>
      <c r="M1066" s="148">
        <v>131360.9467</v>
      </c>
      <c r="N1066" s="148">
        <v>120710.0592</v>
      </c>
      <c r="O1066" s="148">
        <v>108284.0237</v>
      </c>
      <c r="P1066" s="148">
        <v>85207.10059</v>
      </c>
      <c r="Q1066" s="146">
        <v>90532.54438</v>
      </c>
      <c r="R1066" s="148">
        <v>97633.1361</v>
      </c>
      <c r="S1066" s="148">
        <v>110059.1716</v>
      </c>
    </row>
    <row r="1067">
      <c r="A1067" s="145">
        <v>66.016</v>
      </c>
      <c r="B1067" s="145">
        <f t="shared" si="1"/>
        <v>21323.168</v>
      </c>
      <c r="C1067" s="148">
        <v>122485.2071</v>
      </c>
      <c r="D1067" s="145">
        <v>134911.2426</v>
      </c>
      <c r="E1067" s="146"/>
      <c r="F1067" s="148">
        <v>118934.9112</v>
      </c>
      <c r="G1067" s="148">
        <v>163313.6095</v>
      </c>
      <c r="H1067" s="148">
        <v>184615.3846</v>
      </c>
      <c r="I1067" s="146">
        <v>145562.1302</v>
      </c>
      <c r="J1067" s="148">
        <v>159763.3136</v>
      </c>
      <c r="K1067" s="148">
        <v>175739.645</v>
      </c>
      <c r="L1067" s="148">
        <v>159763.3136</v>
      </c>
      <c r="M1067" s="148">
        <v>131360.9467</v>
      </c>
      <c r="N1067" s="148">
        <v>120710.0592</v>
      </c>
      <c r="O1067" s="148">
        <v>108284.0237</v>
      </c>
      <c r="P1067" s="148">
        <v>85207.10059</v>
      </c>
      <c r="Q1067" s="146">
        <v>90532.54438</v>
      </c>
      <c r="R1067" s="148">
        <v>97633.1361</v>
      </c>
      <c r="S1067" s="148">
        <v>110059.1716</v>
      </c>
    </row>
    <row r="1068">
      <c r="A1068" s="145">
        <v>66.063</v>
      </c>
      <c r="B1068" s="145">
        <f t="shared" si="1"/>
        <v>21338.349</v>
      </c>
      <c r="C1068" s="148">
        <v>122485.2071</v>
      </c>
      <c r="D1068" s="145">
        <v>134911.2426</v>
      </c>
      <c r="E1068" s="146"/>
      <c r="F1068" s="148">
        <v>118934.9112</v>
      </c>
      <c r="G1068" s="148">
        <v>163313.6095</v>
      </c>
      <c r="H1068" s="148">
        <v>186390.5325</v>
      </c>
      <c r="I1068" s="146">
        <v>145562.1302</v>
      </c>
      <c r="J1068" s="148">
        <v>159763.3136</v>
      </c>
      <c r="K1068" s="148">
        <v>175739.645</v>
      </c>
      <c r="L1068" s="148">
        <v>159763.3136</v>
      </c>
      <c r="M1068" s="148">
        <v>131360.9467</v>
      </c>
      <c r="N1068" s="148">
        <v>120710.0592</v>
      </c>
      <c r="O1068" s="148">
        <v>108284.0237</v>
      </c>
      <c r="P1068" s="148">
        <v>85207.10059</v>
      </c>
      <c r="Q1068" s="146">
        <v>92307.69231</v>
      </c>
      <c r="R1068" s="148">
        <v>97633.1361</v>
      </c>
      <c r="S1068" s="148">
        <v>110059.1716</v>
      </c>
    </row>
    <row r="1069">
      <c r="A1069" s="145">
        <v>66.125</v>
      </c>
      <c r="B1069" s="145">
        <f t="shared" si="1"/>
        <v>21358.375</v>
      </c>
      <c r="C1069" s="148">
        <v>122485.2071</v>
      </c>
      <c r="D1069" s="145">
        <v>134911.2426</v>
      </c>
      <c r="E1069" s="146"/>
      <c r="F1069" s="148">
        <v>118934.9112</v>
      </c>
      <c r="G1069" s="148">
        <v>163313.6095</v>
      </c>
      <c r="H1069" s="148">
        <v>186390.5325</v>
      </c>
      <c r="I1069" s="146">
        <v>145562.1302</v>
      </c>
      <c r="J1069" s="148">
        <v>159763.3136</v>
      </c>
      <c r="K1069" s="148">
        <v>175739.645</v>
      </c>
      <c r="L1069" s="148">
        <v>161538.4615</v>
      </c>
      <c r="M1069" s="148">
        <v>131360.9467</v>
      </c>
      <c r="N1069" s="148">
        <v>120710.0592</v>
      </c>
      <c r="O1069" s="148">
        <v>108284.0237</v>
      </c>
      <c r="P1069" s="148">
        <v>85207.10059</v>
      </c>
      <c r="Q1069" s="146">
        <v>92307.69231</v>
      </c>
      <c r="R1069" s="148">
        <v>97633.1361</v>
      </c>
      <c r="S1069" s="148">
        <v>110059.1716</v>
      </c>
    </row>
    <row r="1070">
      <c r="A1070" s="145">
        <v>66.204</v>
      </c>
      <c r="B1070" s="145">
        <f t="shared" si="1"/>
        <v>21383.892</v>
      </c>
      <c r="C1070" s="148">
        <v>122485.2071</v>
      </c>
      <c r="D1070" s="145">
        <v>134911.2426</v>
      </c>
      <c r="E1070" s="146"/>
      <c r="F1070" s="148">
        <v>118934.9112</v>
      </c>
      <c r="G1070" s="148">
        <v>163313.6095</v>
      </c>
      <c r="H1070" s="148">
        <v>186390.5325</v>
      </c>
      <c r="I1070" s="146">
        <v>147337.2781</v>
      </c>
      <c r="J1070" s="148">
        <v>159763.3136</v>
      </c>
      <c r="K1070" s="148">
        <v>175739.645</v>
      </c>
      <c r="L1070" s="148">
        <v>161538.4615</v>
      </c>
      <c r="M1070" s="148">
        <v>131360.9467</v>
      </c>
      <c r="N1070" s="148">
        <v>120710.0592</v>
      </c>
      <c r="O1070" s="148">
        <v>108284.0237</v>
      </c>
      <c r="P1070" s="148">
        <v>85207.10059</v>
      </c>
      <c r="Q1070" s="146">
        <v>92307.69231</v>
      </c>
      <c r="R1070" s="148">
        <v>99408.28402</v>
      </c>
      <c r="S1070" s="148">
        <v>110059.1716</v>
      </c>
    </row>
    <row r="1071">
      <c r="A1071" s="145">
        <v>66.25</v>
      </c>
      <c r="B1071" s="145">
        <f t="shared" si="1"/>
        <v>21398.75</v>
      </c>
      <c r="C1071" s="148">
        <v>122485.2071</v>
      </c>
      <c r="D1071" s="145">
        <v>134911.2426</v>
      </c>
      <c r="E1071" s="146"/>
      <c r="F1071" s="148">
        <v>118934.9112</v>
      </c>
      <c r="G1071" s="148">
        <v>163313.6095</v>
      </c>
      <c r="H1071" s="148">
        <v>186390.5325</v>
      </c>
      <c r="I1071" s="146">
        <v>147337.2781</v>
      </c>
      <c r="J1071" s="148">
        <v>159763.3136</v>
      </c>
      <c r="K1071" s="148">
        <v>175739.645</v>
      </c>
      <c r="L1071" s="148">
        <v>161538.4615</v>
      </c>
      <c r="M1071" s="148">
        <v>138461.5385</v>
      </c>
      <c r="N1071" s="148">
        <v>120710.0592</v>
      </c>
      <c r="O1071" s="148">
        <v>108284.0237</v>
      </c>
      <c r="P1071" s="148">
        <v>85207.10059</v>
      </c>
      <c r="Q1071" s="146">
        <v>92307.69231</v>
      </c>
      <c r="R1071" s="148">
        <v>99408.28402</v>
      </c>
      <c r="S1071" s="148">
        <v>110059.1716</v>
      </c>
    </row>
    <row r="1072">
      <c r="A1072" s="145">
        <v>66.313</v>
      </c>
      <c r="B1072" s="145">
        <f t="shared" si="1"/>
        <v>21419.099</v>
      </c>
      <c r="C1072" s="148">
        <v>122485.2071</v>
      </c>
      <c r="D1072" s="145">
        <v>134911.2426</v>
      </c>
      <c r="E1072" s="146"/>
      <c r="F1072" s="148">
        <v>118934.9112</v>
      </c>
      <c r="G1072" s="148">
        <v>163313.6095</v>
      </c>
      <c r="H1072" s="148">
        <v>186390.5325</v>
      </c>
      <c r="I1072" s="146">
        <v>147337.2781</v>
      </c>
      <c r="J1072" s="148">
        <v>159763.3136</v>
      </c>
      <c r="K1072" s="148">
        <v>175739.645</v>
      </c>
      <c r="L1072" s="148">
        <v>161538.4615</v>
      </c>
      <c r="M1072" s="148">
        <v>138461.5385</v>
      </c>
      <c r="N1072" s="148">
        <v>120710.0592</v>
      </c>
      <c r="O1072" s="148">
        <v>108284.0237</v>
      </c>
      <c r="P1072" s="148">
        <v>85207.10059</v>
      </c>
      <c r="Q1072" s="146">
        <v>92307.69231</v>
      </c>
      <c r="R1072" s="148">
        <v>99408.28402</v>
      </c>
      <c r="S1072" s="148">
        <v>110059.1716</v>
      </c>
    </row>
    <row r="1073">
      <c r="A1073" s="145">
        <v>66.375</v>
      </c>
      <c r="B1073" s="145">
        <f t="shared" si="1"/>
        <v>21439.125</v>
      </c>
      <c r="C1073" s="148">
        <v>122485.2071</v>
      </c>
      <c r="D1073" s="145">
        <v>134911.2426</v>
      </c>
      <c r="E1073" s="146"/>
      <c r="F1073" s="148">
        <v>118934.9112</v>
      </c>
      <c r="G1073" s="148">
        <v>163313.6095</v>
      </c>
      <c r="H1073" s="148">
        <v>186390.5325</v>
      </c>
      <c r="I1073" s="146">
        <v>147337.2781</v>
      </c>
      <c r="J1073" s="148">
        <v>159763.3136</v>
      </c>
      <c r="K1073" s="148">
        <v>175739.645</v>
      </c>
      <c r="L1073" s="148">
        <v>161538.4615</v>
      </c>
      <c r="M1073" s="148">
        <v>138461.5385</v>
      </c>
      <c r="N1073" s="148">
        <v>120710.0592</v>
      </c>
      <c r="O1073" s="148">
        <v>108284.0237</v>
      </c>
      <c r="P1073" s="148">
        <v>85207.10059</v>
      </c>
      <c r="Q1073" s="146">
        <v>92307.69231</v>
      </c>
      <c r="R1073" s="148">
        <v>99408.28402</v>
      </c>
      <c r="S1073" s="148">
        <v>110059.1716</v>
      </c>
    </row>
    <row r="1074">
      <c r="A1074" s="145">
        <v>66.438</v>
      </c>
      <c r="B1074" s="145">
        <f t="shared" si="1"/>
        <v>21459.474</v>
      </c>
      <c r="C1074" s="148">
        <v>122485.2071</v>
      </c>
      <c r="D1074" s="145">
        <v>134911.2426</v>
      </c>
      <c r="E1074" s="146"/>
      <c r="F1074" s="148">
        <v>118934.9112</v>
      </c>
      <c r="G1074" s="148">
        <v>163313.6095</v>
      </c>
      <c r="H1074" s="148">
        <v>186390.5325</v>
      </c>
      <c r="I1074" s="146">
        <v>147337.2781</v>
      </c>
      <c r="J1074" s="148">
        <v>159763.3136</v>
      </c>
      <c r="K1074" s="148">
        <v>175739.645</v>
      </c>
      <c r="L1074" s="148">
        <v>161538.4615</v>
      </c>
      <c r="M1074" s="148">
        <v>138461.5385</v>
      </c>
      <c r="N1074" s="148">
        <v>120710.0592</v>
      </c>
      <c r="O1074" s="148">
        <v>108284.0237</v>
      </c>
      <c r="P1074" s="148">
        <v>85207.10059</v>
      </c>
      <c r="Q1074" s="146">
        <v>92307.69231</v>
      </c>
      <c r="R1074" s="148">
        <v>99408.28402</v>
      </c>
      <c r="S1074" s="148">
        <v>110059.1716</v>
      </c>
    </row>
    <row r="1075">
      <c r="A1075" s="145">
        <v>66.5</v>
      </c>
      <c r="B1075" s="145">
        <f t="shared" si="1"/>
        <v>21479.5</v>
      </c>
      <c r="C1075" s="148">
        <v>122485.2071</v>
      </c>
      <c r="D1075" s="145">
        <v>134911.2426</v>
      </c>
      <c r="E1075" s="146"/>
      <c r="F1075" s="148">
        <v>118934.9112</v>
      </c>
      <c r="G1075" s="148">
        <v>163313.6095</v>
      </c>
      <c r="H1075" s="148">
        <v>186390.5325</v>
      </c>
      <c r="I1075" s="146">
        <v>147337.2781</v>
      </c>
      <c r="J1075" s="148">
        <v>159763.3136</v>
      </c>
      <c r="K1075" s="148">
        <v>175739.645</v>
      </c>
      <c r="L1075" s="148">
        <v>161538.4615</v>
      </c>
      <c r="M1075" s="148">
        <v>138461.5385</v>
      </c>
      <c r="N1075" s="148">
        <v>120710.0592</v>
      </c>
      <c r="O1075" s="148">
        <v>108284.0237</v>
      </c>
      <c r="P1075" s="148">
        <v>85207.10059</v>
      </c>
      <c r="Q1075" s="146">
        <v>92307.69231</v>
      </c>
      <c r="R1075" s="148">
        <v>99408.28402</v>
      </c>
      <c r="S1075" s="148">
        <v>110059.1716</v>
      </c>
    </row>
    <row r="1076">
      <c r="A1076" s="145">
        <v>66.563</v>
      </c>
      <c r="B1076" s="145">
        <f t="shared" si="1"/>
        <v>21499.849</v>
      </c>
      <c r="C1076" s="148">
        <v>122485.2071</v>
      </c>
      <c r="D1076" s="145">
        <v>134911.2426</v>
      </c>
      <c r="E1076" s="146"/>
      <c r="F1076" s="148">
        <v>118934.9112</v>
      </c>
      <c r="G1076" s="148">
        <v>163313.6095</v>
      </c>
      <c r="H1076" s="148">
        <v>186390.5325</v>
      </c>
      <c r="I1076" s="146">
        <v>147337.2781</v>
      </c>
      <c r="J1076" s="148">
        <v>159763.3136</v>
      </c>
      <c r="K1076" s="148">
        <v>175739.645</v>
      </c>
      <c r="L1076" s="148">
        <v>161538.4615</v>
      </c>
      <c r="M1076" s="148">
        <v>138461.5385</v>
      </c>
      <c r="N1076" s="148">
        <v>122485.2071</v>
      </c>
      <c r="O1076" s="148">
        <v>108284.0237</v>
      </c>
      <c r="P1076" s="148">
        <v>85207.10059</v>
      </c>
      <c r="Q1076" s="146">
        <v>92307.69231</v>
      </c>
      <c r="R1076" s="148">
        <v>99408.28402</v>
      </c>
      <c r="S1076" s="148">
        <v>110059.1716</v>
      </c>
    </row>
    <row r="1077">
      <c r="A1077" s="145">
        <v>66.641</v>
      </c>
      <c r="B1077" s="145">
        <f t="shared" si="1"/>
        <v>21525.043</v>
      </c>
      <c r="C1077" s="148">
        <v>122485.2071</v>
      </c>
      <c r="D1077" s="145">
        <v>134911.2426</v>
      </c>
      <c r="E1077" s="146"/>
      <c r="F1077" s="148">
        <v>118934.9112</v>
      </c>
      <c r="G1077" s="148">
        <v>163313.6095</v>
      </c>
      <c r="H1077" s="148">
        <v>186390.5325</v>
      </c>
      <c r="I1077" s="146">
        <v>147337.2781</v>
      </c>
      <c r="J1077" s="148">
        <v>159763.3136</v>
      </c>
      <c r="K1077" s="148">
        <v>175739.645</v>
      </c>
      <c r="L1077" s="148">
        <v>161538.4615</v>
      </c>
      <c r="M1077" s="148">
        <v>138461.5385</v>
      </c>
      <c r="N1077" s="148">
        <v>122485.2071</v>
      </c>
      <c r="O1077" s="148">
        <v>108284.0237</v>
      </c>
      <c r="P1077" s="148">
        <v>85207.10059</v>
      </c>
      <c r="Q1077" s="146">
        <v>92307.69231</v>
      </c>
      <c r="R1077" s="148">
        <v>99408.28402</v>
      </c>
      <c r="S1077" s="148">
        <v>110059.1716</v>
      </c>
    </row>
    <row r="1078">
      <c r="A1078" s="145">
        <v>66.688</v>
      </c>
      <c r="B1078" s="145">
        <f t="shared" si="1"/>
        <v>21540.224</v>
      </c>
      <c r="C1078" s="148">
        <v>122485.2071</v>
      </c>
      <c r="D1078" s="145">
        <v>134911.2426</v>
      </c>
      <c r="E1078" s="146"/>
      <c r="F1078" s="148">
        <v>118934.9112</v>
      </c>
      <c r="G1078" s="148">
        <v>165088.7574</v>
      </c>
      <c r="H1078" s="148">
        <v>186390.5325</v>
      </c>
      <c r="I1078" s="146">
        <v>147337.2781</v>
      </c>
      <c r="J1078" s="148">
        <v>159763.3136</v>
      </c>
      <c r="K1078" s="148">
        <v>175739.645</v>
      </c>
      <c r="L1078" s="148">
        <v>161538.4615</v>
      </c>
      <c r="M1078" s="148">
        <v>138461.5385</v>
      </c>
      <c r="N1078" s="148">
        <v>122485.2071</v>
      </c>
      <c r="O1078" s="148">
        <v>108284.0237</v>
      </c>
      <c r="P1078" s="148">
        <v>85207.10059</v>
      </c>
      <c r="Q1078" s="146">
        <v>92307.69231</v>
      </c>
      <c r="R1078" s="148">
        <v>99408.28402</v>
      </c>
      <c r="S1078" s="148">
        <v>110059.1716</v>
      </c>
    </row>
    <row r="1079">
      <c r="A1079" s="145">
        <v>66.75</v>
      </c>
      <c r="B1079" s="145">
        <f t="shared" si="1"/>
        <v>21560.25</v>
      </c>
      <c r="C1079" s="148">
        <v>122485.2071</v>
      </c>
      <c r="D1079" s="145">
        <v>134911.2426</v>
      </c>
      <c r="E1079" s="146"/>
      <c r="F1079" s="148">
        <v>120710.0592</v>
      </c>
      <c r="G1079" s="148">
        <v>165088.7574</v>
      </c>
      <c r="H1079" s="148">
        <v>186390.5325</v>
      </c>
      <c r="I1079" s="146">
        <v>147337.2781</v>
      </c>
      <c r="J1079" s="148">
        <v>159763.3136</v>
      </c>
      <c r="K1079" s="148">
        <v>175739.645</v>
      </c>
      <c r="L1079" s="148">
        <v>161538.4615</v>
      </c>
      <c r="M1079" s="148">
        <v>138461.5385</v>
      </c>
      <c r="N1079" s="148">
        <v>122485.2071</v>
      </c>
      <c r="O1079" s="148">
        <v>108284.0237</v>
      </c>
      <c r="P1079" s="148">
        <v>85207.10059</v>
      </c>
      <c r="Q1079" s="146">
        <v>92307.69231</v>
      </c>
      <c r="R1079" s="148">
        <v>99408.28402</v>
      </c>
      <c r="S1079" s="148">
        <v>110059.1716</v>
      </c>
    </row>
    <row r="1080">
      <c r="A1080" s="145">
        <v>66.813</v>
      </c>
      <c r="B1080" s="145">
        <f t="shared" si="1"/>
        <v>21580.599</v>
      </c>
      <c r="C1080" s="148">
        <v>122485.2071</v>
      </c>
      <c r="D1080" s="145">
        <v>134911.2426</v>
      </c>
      <c r="E1080" s="146"/>
      <c r="F1080" s="148">
        <v>120710.0592</v>
      </c>
      <c r="G1080" s="148">
        <v>165088.7574</v>
      </c>
      <c r="H1080" s="148">
        <v>186390.5325</v>
      </c>
      <c r="I1080" s="146">
        <v>147337.2781</v>
      </c>
      <c r="J1080" s="148">
        <v>161538.4615</v>
      </c>
      <c r="K1080" s="148">
        <v>175739.645</v>
      </c>
      <c r="L1080" s="148">
        <v>161538.4615</v>
      </c>
      <c r="M1080" s="148">
        <v>140236.6864</v>
      </c>
      <c r="N1080" s="148">
        <v>122485.2071</v>
      </c>
      <c r="O1080" s="148">
        <v>108284.0237</v>
      </c>
      <c r="P1080" s="148">
        <v>85207.10059</v>
      </c>
      <c r="Q1080" s="146">
        <v>92307.69231</v>
      </c>
      <c r="R1080" s="148">
        <v>99408.28402</v>
      </c>
      <c r="S1080" s="148">
        <v>110059.1716</v>
      </c>
    </row>
    <row r="1081">
      <c r="A1081" s="145">
        <v>66.875</v>
      </c>
      <c r="B1081" s="145">
        <f t="shared" si="1"/>
        <v>21600.625</v>
      </c>
      <c r="C1081" s="148">
        <v>122485.2071</v>
      </c>
      <c r="D1081" s="145">
        <v>134911.2426</v>
      </c>
      <c r="E1081" s="146"/>
      <c r="F1081" s="148">
        <v>120710.0592</v>
      </c>
      <c r="G1081" s="148">
        <v>165088.7574</v>
      </c>
      <c r="H1081" s="148">
        <v>186390.5325</v>
      </c>
      <c r="I1081" s="146">
        <v>147337.2781</v>
      </c>
      <c r="J1081" s="148">
        <v>161538.4615</v>
      </c>
      <c r="K1081" s="148">
        <v>175739.645</v>
      </c>
      <c r="L1081" s="148">
        <v>161538.4615</v>
      </c>
      <c r="M1081" s="148"/>
      <c r="N1081" s="148">
        <v>122485.2071</v>
      </c>
      <c r="O1081" s="148">
        <v>108284.0237</v>
      </c>
      <c r="P1081" s="148">
        <v>86982.24852</v>
      </c>
      <c r="Q1081" s="146">
        <v>92307.69231</v>
      </c>
      <c r="R1081" s="148">
        <v>99408.28402</v>
      </c>
      <c r="S1081" s="148">
        <v>110059.1716</v>
      </c>
    </row>
    <row r="1082">
      <c r="A1082" s="145">
        <v>66.938</v>
      </c>
      <c r="B1082" s="145">
        <f t="shared" si="1"/>
        <v>21620.974</v>
      </c>
      <c r="C1082" s="148">
        <v>124260.355</v>
      </c>
      <c r="D1082" s="145">
        <v>134911.2426</v>
      </c>
      <c r="E1082" s="146"/>
      <c r="F1082" s="148">
        <v>120710.0592</v>
      </c>
      <c r="G1082" s="148">
        <v>165088.7574</v>
      </c>
      <c r="H1082" s="148">
        <v>186390.5325</v>
      </c>
      <c r="I1082" s="146">
        <v>147337.2781</v>
      </c>
      <c r="J1082" s="148">
        <v>161538.4615</v>
      </c>
      <c r="K1082" s="148">
        <v>175739.645</v>
      </c>
      <c r="L1082" s="148">
        <v>161538.4615</v>
      </c>
      <c r="M1082" s="148"/>
      <c r="N1082" s="148">
        <v>122485.2071</v>
      </c>
      <c r="O1082" s="148">
        <v>108284.0237</v>
      </c>
      <c r="P1082" s="148">
        <v>86982.24852</v>
      </c>
      <c r="Q1082" s="146">
        <v>92307.69231</v>
      </c>
      <c r="R1082" s="148">
        <v>99408.28402</v>
      </c>
      <c r="S1082" s="148">
        <v>110059.1716</v>
      </c>
    </row>
    <row r="1083">
      <c r="A1083" s="145">
        <v>67.0</v>
      </c>
      <c r="B1083" s="145">
        <f t="shared" si="1"/>
        <v>21641</v>
      </c>
      <c r="C1083" s="148">
        <v>124260.355</v>
      </c>
      <c r="D1083" s="145">
        <v>134911.2426</v>
      </c>
      <c r="E1083" s="146"/>
      <c r="F1083" s="148">
        <v>120710.0592</v>
      </c>
      <c r="G1083" s="148">
        <v>165088.7574</v>
      </c>
      <c r="H1083" s="148">
        <v>186390.5325</v>
      </c>
      <c r="I1083" s="146">
        <v>147337.2781</v>
      </c>
      <c r="J1083" s="148">
        <v>161538.4615</v>
      </c>
      <c r="K1083" s="148">
        <v>175739.645</v>
      </c>
      <c r="L1083" s="148">
        <v>161538.4615</v>
      </c>
      <c r="M1083" s="148"/>
      <c r="N1083" s="148">
        <v>122485.2071</v>
      </c>
      <c r="O1083" s="148">
        <v>108284.0237</v>
      </c>
      <c r="P1083" s="148">
        <v>86982.24852</v>
      </c>
      <c r="Q1083" s="146">
        <v>92307.69231</v>
      </c>
      <c r="R1083" s="148">
        <v>99408.28402</v>
      </c>
      <c r="S1083" s="148">
        <v>110059.1716</v>
      </c>
    </row>
    <row r="1084">
      <c r="A1084" s="145">
        <v>67.063</v>
      </c>
      <c r="B1084" s="145">
        <f t="shared" si="1"/>
        <v>21661.349</v>
      </c>
      <c r="C1084" s="148">
        <v>124260.355</v>
      </c>
      <c r="D1084" s="145">
        <v>134911.2426</v>
      </c>
      <c r="E1084" s="146"/>
      <c r="F1084" s="148">
        <v>122485.2071</v>
      </c>
      <c r="G1084" s="148">
        <v>165088.7574</v>
      </c>
      <c r="H1084" s="148">
        <v>188165.6805</v>
      </c>
      <c r="I1084" s="146">
        <v>147337.2781</v>
      </c>
      <c r="J1084" s="148">
        <v>161538.4615</v>
      </c>
      <c r="K1084" s="148">
        <v>175739.645</v>
      </c>
      <c r="L1084" s="148">
        <v>161538.4615</v>
      </c>
      <c r="M1084" s="148"/>
      <c r="N1084" s="148">
        <v>122485.2071</v>
      </c>
      <c r="O1084" s="148">
        <v>108284.0237</v>
      </c>
      <c r="P1084" s="148">
        <v>86982.24852</v>
      </c>
      <c r="Q1084" s="146">
        <v>92307.69231</v>
      </c>
      <c r="R1084" s="148">
        <v>101183.432</v>
      </c>
      <c r="S1084" s="148">
        <v>110059.1716</v>
      </c>
    </row>
    <row r="1085">
      <c r="A1085" s="145">
        <v>67.141</v>
      </c>
      <c r="B1085" s="145">
        <f t="shared" si="1"/>
        <v>21686.543</v>
      </c>
      <c r="C1085" s="148">
        <v>124260.355</v>
      </c>
      <c r="D1085" s="145">
        <v>134911.2426</v>
      </c>
      <c r="E1085" s="146"/>
      <c r="F1085" s="148">
        <v>122485.2071</v>
      </c>
      <c r="G1085" s="148">
        <v>165088.7574</v>
      </c>
      <c r="H1085" s="148">
        <v>188165.6805</v>
      </c>
      <c r="I1085" s="146">
        <v>147337.2781</v>
      </c>
      <c r="J1085" s="148">
        <v>161538.4615</v>
      </c>
      <c r="K1085" s="148">
        <v>175739.645</v>
      </c>
      <c r="L1085" s="148">
        <v>161538.4615</v>
      </c>
      <c r="M1085" s="148"/>
      <c r="N1085" s="148">
        <v>122485.2071</v>
      </c>
      <c r="O1085" s="148">
        <v>108284.0237</v>
      </c>
      <c r="P1085" s="148">
        <v>86982.24852</v>
      </c>
      <c r="Q1085" s="146">
        <v>92307.69231</v>
      </c>
      <c r="R1085" s="148">
        <v>101183.432</v>
      </c>
      <c r="S1085" s="148">
        <v>110059.1716</v>
      </c>
    </row>
    <row r="1086">
      <c r="A1086" s="145">
        <v>67.188</v>
      </c>
      <c r="B1086" s="145">
        <f t="shared" si="1"/>
        <v>21701.724</v>
      </c>
      <c r="C1086" s="148">
        <v>124260.355</v>
      </c>
      <c r="D1086" s="145">
        <v>134911.2426</v>
      </c>
      <c r="E1086" s="146"/>
      <c r="F1086" s="148">
        <v>126035.503</v>
      </c>
      <c r="G1086" s="148">
        <v>165088.7574</v>
      </c>
      <c r="H1086" s="148">
        <v>188165.6805</v>
      </c>
      <c r="I1086" s="146">
        <v>147337.2781</v>
      </c>
      <c r="J1086" s="148">
        <v>161538.4615</v>
      </c>
      <c r="K1086" s="148">
        <v>177514.7929</v>
      </c>
      <c r="L1086" s="148">
        <v>161538.4615</v>
      </c>
      <c r="M1086" s="148"/>
      <c r="N1086" s="148">
        <v>122485.2071</v>
      </c>
      <c r="O1086" s="148">
        <v>110059.1716</v>
      </c>
      <c r="P1086" s="148">
        <v>86982.24852</v>
      </c>
      <c r="Q1086" s="146">
        <v>92307.69231</v>
      </c>
      <c r="R1086" s="148">
        <v>101183.432</v>
      </c>
      <c r="S1086" s="148">
        <v>110059.1716</v>
      </c>
    </row>
    <row r="1087">
      <c r="A1087" s="145">
        <v>67.25</v>
      </c>
      <c r="B1087" s="145">
        <f t="shared" si="1"/>
        <v>21721.75</v>
      </c>
      <c r="C1087" s="148">
        <v>124260.355</v>
      </c>
      <c r="D1087" s="145">
        <v>134911.2426</v>
      </c>
      <c r="E1087" s="146"/>
      <c r="F1087" s="148">
        <v>126035.503</v>
      </c>
      <c r="G1087" s="148">
        <v>165088.7574</v>
      </c>
      <c r="H1087" s="148">
        <v>188165.6805</v>
      </c>
      <c r="I1087" s="146">
        <v>147337.2781</v>
      </c>
      <c r="J1087" s="148">
        <v>161538.4615</v>
      </c>
      <c r="K1087" s="148">
        <v>177514.7929</v>
      </c>
      <c r="L1087" s="148">
        <v>161538.4615</v>
      </c>
      <c r="M1087" s="148"/>
      <c r="N1087" s="148">
        <v>122485.2071</v>
      </c>
      <c r="O1087" s="148">
        <v>110059.1716</v>
      </c>
      <c r="P1087" s="148">
        <v>86982.24852</v>
      </c>
      <c r="Q1087" s="146">
        <v>94082.84024</v>
      </c>
      <c r="R1087" s="148">
        <v>101183.432</v>
      </c>
      <c r="S1087" s="148">
        <v>110059.1716</v>
      </c>
    </row>
    <row r="1088">
      <c r="A1088" s="145">
        <v>67.313</v>
      </c>
      <c r="B1088" s="145">
        <f t="shared" si="1"/>
        <v>21742.099</v>
      </c>
      <c r="C1088" s="148">
        <v>124260.355</v>
      </c>
      <c r="D1088" s="145">
        <v>134911.2426</v>
      </c>
      <c r="E1088" s="146"/>
      <c r="F1088" s="148">
        <v>126035.503</v>
      </c>
      <c r="G1088" s="148">
        <v>165088.7574</v>
      </c>
      <c r="H1088" s="148">
        <v>188165.6805</v>
      </c>
      <c r="I1088" s="146">
        <v>147337.2781</v>
      </c>
      <c r="J1088" s="148">
        <v>161538.4615</v>
      </c>
      <c r="K1088" s="148">
        <v>177514.7929</v>
      </c>
      <c r="L1088" s="148">
        <v>161538.4615</v>
      </c>
      <c r="M1088" s="148"/>
      <c r="N1088" s="148">
        <v>122485.2071</v>
      </c>
      <c r="O1088" s="148">
        <v>110059.1716</v>
      </c>
      <c r="P1088" s="148">
        <v>86982.24852</v>
      </c>
      <c r="Q1088" s="146">
        <v>94082.84024</v>
      </c>
      <c r="R1088" s="148">
        <v>101183.432</v>
      </c>
      <c r="S1088" s="148">
        <v>110059.1716</v>
      </c>
    </row>
    <row r="1089">
      <c r="A1089" s="145">
        <v>67.375</v>
      </c>
      <c r="B1089" s="145">
        <f t="shared" si="1"/>
        <v>21762.125</v>
      </c>
      <c r="C1089" s="148">
        <v>124260.355</v>
      </c>
      <c r="D1089" s="145">
        <v>134911.2426</v>
      </c>
      <c r="E1089" s="146"/>
      <c r="F1089" s="148">
        <v>126035.503</v>
      </c>
      <c r="G1089" s="148">
        <v>165088.7574</v>
      </c>
      <c r="H1089" s="148">
        <v>188165.6805</v>
      </c>
      <c r="I1089" s="146">
        <v>147337.2781</v>
      </c>
      <c r="J1089" s="148">
        <v>161538.4615</v>
      </c>
      <c r="K1089" s="148">
        <v>177514.7929</v>
      </c>
      <c r="L1089" s="148">
        <v>161538.4615</v>
      </c>
      <c r="M1089" s="148"/>
      <c r="N1089" s="148">
        <v>124260.355</v>
      </c>
      <c r="O1089" s="148">
        <v>110059.1716</v>
      </c>
      <c r="P1089" s="148">
        <v>86982.24852</v>
      </c>
      <c r="Q1089" s="146">
        <v>94082.84024</v>
      </c>
      <c r="R1089" s="148">
        <v>101183.432</v>
      </c>
      <c r="S1089" s="148">
        <v>110059.1716</v>
      </c>
    </row>
    <row r="1090">
      <c r="A1090" s="145">
        <v>67.438</v>
      </c>
      <c r="B1090" s="145">
        <f t="shared" si="1"/>
        <v>21782.474</v>
      </c>
      <c r="C1090" s="148">
        <v>124260.355</v>
      </c>
      <c r="D1090" s="145">
        <v>134911.2426</v>
      </c>
      <c r="E1090" s="146"/>
      <c r="F1090" s="148">
        <v>126035.503</v>
      </c>
      <c r="G1090" s="148">
        <v>165088.7574</v>
      </c>
      <c r="H1090" s="148">
        <v>188165.6805</v>
      </c>
      <c r="I1090" s="146">
        <v>147337.2781</v>
      </c>
      <c r="J1090" s="148">
        <v>161538.4615</v>
      </c>
      <c r="K1090" s="148">
        <v>177514.7929</v>
      </c>
      <c r="L1090" s="148">
        <v>161538.4615</v>
      </c>
      <c r="M1090" s="148"/>
      <c r="N1090" s="148">
        <v>124260.355</v>
      </c>
      <c r="O1090" s="148">
        <v>110059.1716</v>
      </c>
      <c r="P1090" s="148">
        <v>86982.24852</v>
      </c>
      <c r="Q1090" s="146">
        <v>94082.84024</v>
      </c>
      <c r="R1090" s="148">
        <v>101183.432</v>
      </c>
      <c r="S1090" s="148">
        <v>110059.1716</v>
      </c>
    </row>
    <row r="1091">
      <c r="A1091" s="145">
        <v>67.516</v>
      </c>
      <c r="B1091" s="145">
        <f t="shared" si="1"/>
        <v>21807.668</v>
      </c>
      <c r="C1091" s="148">
        <v>124260.355</v>
      </c>
      <c r="D1091" s="145">
        <v>134911.2426</v>
      </c>
      <c r="E1091" s="146"/>
      <c r="F1091" s="148">
        <v>126035.503</v>
      </c>
      <c r="G1091" s="148">
        <v>165088.7574</v>
      </c>
      <c r="H1091" s="148">
        <v>188165.6805</v>
      </c>
      <c r="I1091" s="146">
        <v>147337.2781</v>
      </c>
      <c r="J1091" s="148">
        <v>161538.4615</v>
      </c>
      <c r="K1091" s="148">
        <v>177514.7929</v>
      </c>
      <c r="L1091" s="148">
        <v>161538.4615</v>
      </c>
      <c r="M1091" s="148"/>
      <c r="N1091" s="148">
        <v>124260.355</v>
      </c>
      <c r="O1091" s="148">
        <v>110059.1716</v>
      </c>
      <c r="P1091" s="148">
        <v>86982.24852</v>
      </c>
      <c r="Q1091" s="146">
        <v>94082.84024</v>
      </c>
      <c r="R1091" s="148">
        <v>101183.432</v>
      </c>
      <c r="S1091" s="148">
        <v>110059.1716</v>
      </c>
    </row>
    <row r="1092">
      <c r="A1092" s="145">
        <v>67.563</v>
      </c>
      <c r="B1092" s="145">
        <f t="shared" si="1"/>
        <v>21822.849</v>
      </c>
      <c r="C1092" s="148">
        <v>124260.355</v>
      </c>
      <c r="D1092" s="145">
        <v>134911.2426</v>
      </c>
      <c r="E1092" s="146"/>
      <c r="F1092" s="148">
        <v>126035.503</v>
      </c>
      <c r="G1092" s="148">
        <v>165088.7574</v>
      </c>
      <c r="H1092" s="148">
        <v>188165.6805</v>
      </c>
      <c r="I1092" s="146">
        <v>147337.2781</v>
      </c>
      <c r="J1092" s="148">
        <v>161538.4615</v>
      </c>
      <c r="K1092" s="148">
        <v>177514.7929</v>
      </c>
      <c r="L1092" s="148">
        <v>161538.4615</v>
      </c>
      <c r="M1092" s="148"/>
      <c r="N1092" s="148">
        <v>124260.355</v>
      </c>
      <c r="O1092" s="148">
        <v>110059.1716</v>
      </c>
      <c r="P1092" s="148">
        <v>86982.24852</v>
      </c>
      <c r="Q1092" s="146">
        <v>94082.84024</v>
      </c>
      <c r="R1092" s="148">
        <v>101183.432</v>
      </c>
      <c r="S1092" s="148">
        <v>110059.1716</v>
      </c>
    </row>
    <row r="1093">
      <c r="A1093" s="145">
        <v>67.625</v>
      </c>
      <c r="B1093" s="145">
        <f t="shared" si="1"/>
        <v>21842.875</v>
      </c>
      <c r="C1093" s="148">
        <v>124260.355</v>
      </c>
      <c r="D1093" s="145">
        <v>134911.2426</v>
      </c>
      <c r="E1093" s="146"/>
      <c r="F1093" s="148">
        <v>126035.503</v>
      </c>
      <c r="G1093" s="148">
        <v>165088.7574</v>
      </c>
      <c r="H1093" s="148">
        <v>189940.8284</v>
      </c>
      <c r="I1093" s="146">
        <v>147337.2781</v>
      </c>
      <c r="J1093" s="148">
        <v>161538.4615</v>
      </c>
      <c r="K1093" s="148">
        <v>177514.7929</v>
      </c>
      <c r="L1093" s="148">
        <v>161538.4615</v>
      </c>
      <c r="M1093" s="148"/>
      <c r="N1093" s="148">
        <v>124260.355</v>
      </c>
      <c r="O1093" s="148">
        <v>110059.1716</v>
      </c>
      <c r="P1093" s="148">
        <v>86982.24852</v>
      </c>
      <c r="Q1093" s="146">
        <v>94082.84024</v>
      </c>
      <c r="R1093" s="148">
        <v>101183.432</v>
      </c>
      <c r="S1093" s="148">
        <v>110059.1716</v>
      </c>
    </row>
    <row r="1094">
      <c r="A1094" s="145">
        <v>67.704</v>
      </c>
      <c r="B1094" s="145">
        <f t="shared" si="1"/>
        <v>21868.392</v>
      </c>
      <c r="C1094" s="148">
        <v>124260.355</v>
      </c>
      <c r="D1094" s="145">
        <v>136686.3905</v>
      </c>
      <c r="E1094" s="146"/>
      <c r="F1094" s="148">
        <v>126035.503</v>
      </c>
      <c r="G1094" s="148">
        <v>165088.7574</v>
      </c>
      <c r="H1094" s="148">
        <v>189940.8284</v>
      </c>
      <c r="I1094" s="146">
        <v>152662.7219</v>
      </c>
      <c r="J1094" s="148">
        <v>161538.4615</v>
      </c>
      <c r="K1094" s="148">
        <v>177514.7929</v>
      </c>
      <c r="L1094" s="148">
        <v>161538.4615</v>
      </c>
      <c r="M1094" s="148"/>
      <c r="N1094" s="148">
        <v>124260.355</v>
      </c>
      <c r="O1094" s="148">
        <v>110059.1716</v>
      </c>
      <c r="P1094" s="148">
        <v>86982.24852</v>
      </c>
      <c r="Q1094" s="146">
        <v>94082.84024</v>
      </c>
      <c r="R1094" s="148">
        <v>101183.432</v>
      </c>
      <c r="S1094" s="148">
        <v>110059.1716</v>
      </c>
    </row>
    <row r="1095">
      <c r="A1095" s="145">
        <v>67.75</v>
      </c>
      <c r="B1095" s="145">
        <f t="shared" si="1"/>
        <v>21883.25</v>
      </c>
      <c r="C1095" s="148">
        <v>124260.355</v>
      </c>
      <c r="D1095" s="145">
        <v>136686.3905</v>
      </c>
      <c r="E1095" s="146"/>
      <c r="F1095" s="148">
        <v>126035.503</v>
      </c>
      <c r="G1095" s="148">
        <v>165088.7574</v>
      </c>
      <c r="H1095" s="148">
        <v>189940.8284</v>
      </c>
      <c r="I1095" s="146">
        <v>152662.7219</v>
      </c>
      <c r="J1095" s="148">
        <v>161538.4615</v>
      </c>
      <c r="K1095" s="148">
        <v>177514.7929</v>
      </c>
      <c r="L1095" s="148">
        <v>161538.4615</v>
      </c>
      <c r="M1095" s="148"/>
      <c r="N1095" s="148">
        <v>124260.355</v>
      </c>
      <c r="O1095" s="148">
        <v>110059.1716</v>
      </c>
      <c r="P1095" s="148">
        <v>86982.24852</v>
      </c>
      <c r="Q1095" s="146">
        <v>94082.84024</v>
      </c>
      <c r="R1095" s="148">
        <v>101183.432</v>
      </c>
      <c r="S1095" s="148">
        <v>110059.1716</v>
      </c>
    </row>
    <row r="1096">
      <c r="A1096" s="145">
        <v>67.813</v>
      </c>
      <c r="B1096" s="145">
        <f t="shared" si="1"/>
        <v>21903.599</v>
      </c>
      <c r="C1096" s="148">
        <v>124260.355</v>
      </c>
      <c r="D1096" s="145">
        <v>138461.5385</v>
      </c>
      <c r="E1096" s="146"/>
      <c r="F1096" s="148">
        <v>126035.503</v>
      </c>
      <c r="G1096" s="148">
        <v>165088.7574</v>
      </c>
      <c r="H1096" s="148">
        <v>189940.8284</v>
      </c>
      <c r="I1096" s="146">
        <v>152662.7219</v>
      </c>
      <c r="J1096" s="148">
        <v>161538.4615</v>
      </c>
      <c r="K1096" s="148">
        <v>177514.7929</v>
      </c>
      <c r="L1096" s="148">
        <v>161538.4615</v>
      </c>
      <c r="M1096" s="148"/>
      <c r="N1096" s="148">
        <v>124260.355</v>
      </c>
      <c r="O1096" s="148">
        <v>110059.1716</v>
      </c>
      <c r="P1096" s="148">
        <v>86982.24852</v>
      </c>
      <c r="Q1096" s="146">
        <v>94082.84024</v>
      </c>
      <c r="R1096" s="148">
        <v>101183.432</v>
      </c>
      <c r="S1096" s="148">
        <v>110059.1716</v>
      </c>
    </row>
    <row r="1097">
      <c r="A1097" s="145">
        <v>67.875</v>
      </c>
      <c r="B1097" s="145">
        <f t="shared" si="1"/>
        <v>21923.625</v>
      </c>
      <c r="C1097" s="148">
        <v>124260.355</v>
      </c>
      <c r="D1097" s="145">
        <v>138461.5385</v>
      </c>
      <c r="E1097" s="146"/>
      <c r="F1097" s="148">
        <v>126035.503</v>
      </c>
      <c r="G1097" s="148">
        <v>165088.7574</v>
      </c>
      <c r="H1097" s="148">
        <v>189940.8284</v>
      </c>
      <c r="I1097" s="146">
        <v>152662.7219</v>
      </c>
      <c r="J1097" s="148">
        <v>161538.4615</v>
      </c>
      <c r="K1097" s="148">
        <v>177514.7929</v>
      </c>
      <c r="L1097" s="148">
        <v>161538.4615</v>
      </c>
      <c r="M1097" s="148"/>
      <c r="N1097" s="148">
        <v>124260.355</v>
      </c>
      <c r="O1097" s="148">
        <v>110059.1716</v>
      </c>
      <c r="P1097" s="148">
        <v>86982.24852</v>
      </c>
      <c r="Q1097" s="146">
        <v>94082.84024</v>
      </c>
      <c r="R1097" s="148">
        <v>101183.432</v>
      </c>
      <c r="S1097" s="148">
        <v>110059.1716</v>
      </c>
    </row>
    <row r="1098">
      <c r="A1098" s="145">
        <v>67.938</v>
      </c>
      <c r="B1098" s="145">
        <f t="shared" si="1"/>
        <v>21943.974</v>
      </c>
      <c r="C1098" s="148">
        <v>126035.503</v>
      </c>
      <c r="D1098" s="145">
        <v>138461.5385</v>
      </c>
      <c r="E1098" s="146"/>
      <c r="F1098" s="148">
        <v>126035.503</v>
      </c>
      <c r="G1098" s="148">
        <v>165088.7574</v>
      </c>
      <c r="H1098" s="148">
        <v>189940.8284</v>
      </c>
      <c r="I1098" s="146">
        <v>152662.7219</v>
      </c>
      <c r="J1098" s="148">
        <v>161538.4615</v>
      </c>
      <c r="K1098" s="148">
        <v>177514.7929</v>
      </c>
      <c r="L1098" s="148">
        <v>161538.4615</v>
      </c>
      <c r="M1098" s="148"/>
      <c r="N1098" s="148">
        <v>124260.355</v>
      </c>
      <c r="O1098" s="148">
        <v>110059.1716</v>
      </c>
      <c r="P1098" s="148">
        <v>86982.24852</v>
      </c>
      <c r="Q1098" s="146">
        <v>94082.84024</v>
      </c>
      <c r="R1098" s="148">
        <v>101183.432</v>
      </c>
      <c r="S1098" s="148">
        <v>110059.1716</v>
      </c>
    </row>
    <row r="1099">
      <c r="A1099" s="145">
        <v>68.0</v>
      </c>
      <c r="B1099" s="145">
        <f t="shared" si="1"/>
        <v>21964</v>
      </c>
      <c r="C1099" s="148">
        <v>126035.503</v>
      </c>
      <c r="D1099" s="145">
        <v>138461.5385</v>
      </c>
      <c r="E1099" s="146"/>
      <c r="F1099" s="148">
        <v>126035.503</v>
      </c>
      <c r="G1099" s="148">
        <v>165088.7574</v>
      </c>
      <c r="H1099" s="148">
        <v>191715.9763</v>
      </c>
      <c r="I1099" s="146">
        <v>152662.7219</v>
      </c>
      <c r="J1099" s="148">
        <v>161538.4615</v>
      </c>
      <c r="K1099" s="148">
        <v>177514.7929</v>
      </c>
      <c r="L1099" s="148">
        <v>161538.4615</v>
      </c>
      <c r="M1099" s="148"/>
      <c r="N1099" s="148">
        <v>124260.355</v>
      </c>
      <c r="O1099" s="148">
        <v>110059.1716</v>
      </c>
      <c r="P1099" s="148">
        <v>86982.24852</v>
      </c>
      <c r="Q1099" s="146">
        <v>94082.84024</v>
      </c>
      <c r="R1099" s="148">
        <v>101183.432</v>
      </c>
      <c r="S1099" s="148">
        <v>110059.1716</v>
      </c>
    </row>
    <row r="1100">
      <c r="A1100" s="145">
        <v>68.063</v>
      </c>
      <c r="B1100" s="145">
        <f t="shared" si="1"/>
        <v>21984.349</v>
      </c>
      <c r="C1100" s="148">
        <v>126035.503</v>
      </c>
      <c r="D1100" s="145">
        <v>138461.5385</v>
      </c>
      <c r="E1100" s="146"/>
      <c r="F1100" s="148">
        <v>126035.503</v>
      </c>
      <c r="G1100" s="148">
        <v>165088.7574</v>
      </c>
      <c r="H1100" s="148">
        <v>191715.9763</v>
      </c>
      <c r="I1100" s="146">
        <v>152662.7219</v>
      </c>
      <c r="J1100" s="148">
        <v>161538.4615</v>
      </c>
      <c r="K1100" s="148">
        <v>177514.7929</v>
      </c>
      <c r="L1100" s="148">
        <v>161538.4615</v>
      </c>
      <c r="M1100" s="148"/>
      <c r="N1100" s="148">
        <v>124260.355</v>
      </c>
      <c r="O1100" s="148">
        <v>110059.1716</v>
      </c>
      <c r="P1100" s="148">
        <v>86982.24852</v>
      </c>
      <c r="Q1100" s="146">
        <v>94082.84024</v>
      </c>
      <c r="R1100" s="148">
        <v>101183.432</v>
      </c>
      <c r="S1100" s="148">
        <v>110059.1716</v>
      </c>
    </row>
    <row r="1101">
      <c r="A1101" s="145">
        <v>68.141</v>
      </c>
      <c r="B1101" s="145">
        <f t="shared" si="1"/>
        <v>22009.543</v>
      </c>
      <c r="C1101" s="148">
        <v>126035.503</v>
      </c>
      <c r="D1101" s="145">
        <v>138461.5385</v>
      </c>
      <c r="E1101" s="146"/>
      <c r="F1101" s="148">
        <v>126035.503</v>
      </c>
      <c r="G1101" s="148">
        <v>165088.7574</v>
      </c>
      <c r="H1101" s="148">
        <v>191715.9763</v>
      </c>
      <c r="I1101" s="146">
        <v>152662.7219</v>
      </c>
      <c r="J1101" s="148">
        <v>165088.7574</v>
      </c>
      <c r="K1101" s="148">
        <v>177514.7929</v>
      </c>
      <c r="L1101" s="148">
        <v>161538.4615</v>
      </c>
      <c r="M1101" s="148"/>
      <c r="N1101" s="148">
        <v>124260.355</v>
      </c>
      <c r="O1101" s="148">
        <v>110059.1716</v>
      </c>
      <c r="P1101" s="148">
        <v>86982.24852</v>
      </c>
      <c r="Q1101" s="146">
        <v>94082.84024</v>
      </c>
      <c r="R1101" s="148">
        <v>101183.432</v>
      </c>
      <c r="S1101" s="148">
        <v>110059.1716</v>
      </c>
    </row>
    <row r="1102">
      <c r="A1102" s="145">
        <v>68.188</v>
      </c>
      <c r="B1102" s="145">
        <f t="shared" si="1"/>
        <v>22024.724</v>
      </c>
      <c r="C1102" s="148">
        <v>126035.503</v>
      </c>
      <c r="D1102" s="145">
        <v>138461.5385</v>
      </c>
      <c r="E1102" s="146"/>
      <c r="F1102" s="148">
        <v>126035.503</v>
      </c>
      <c r="G1102" s="148">
        <v>165088.7574</v>
      </c>
      <c r="H1102" s="148">
        <v>191715.9763</v>
      </c>
      <c r="I1102" s="146">
        <v>152662.7219</v>
      </c>
      <c r="J1102" s="148">
        <v>165088.7574</v>
      </c>
      <c r="K1102" s="148">
        <v>177514.7929</v>
      </c>
      <c r="L1102" s="148">
        <v>161538.4615</v>
      </c>
      <c r="M1102" s="148"/>
      <c r="N1102" s="148">
        <v>124260.355</v>
      </c>
      <c r="O1102" s="148">
        <v>110059.1716</v>
      </c>
      <c r="P1102" s="148">
        <v>86982.24852</v>
      </c>
      <c r="Q1102" s="146">
        <v>94082.84024</v>
      </c>
      <c r="R1102" s="148">
        <v>101183.432</v>
      </c>
      <c r="S1102" s="148">
        <v>110059.1716</v>
      </c>
    </row>
    <row r="1103">
      <c r="A1103" s="145">
        <v>68.25</v>
      </c>
      <c r="B1103" s="145">
        <f t="shared" si="1"/>
        <v>22044.75</v>
      </c>
      <c r="C1103" s="148">
        <v>126035.503</v>
      </c>
      <c r="D1103" s="145">
        <v>138461.5385</v>
      </c>
      <c r="E1103" s="146"/>
      <c r="F1103" s="148">
        <v>126035.503</v>
      </c>
      <c r="G1103" s="148">
        <v>165088.7574</v>
      </c>
      <c r="H1103" s="148">
        <v>191715.9763</v>
      </c>
      <c r="I1103" s="146">
        <v>152662.7219</v>
      </c>
      <c r="J1103" s="148">
        <v>165088.7574</v>
      </c>
      <c r="K1103" s="148">
        <v>177514.7929</v>
      </c>
      <c r="L1103" s="148">
        <v>161538.4615</v>
      </c>
      <c r="M1103" s="148"/>
      <c r="N1103" s="148">
        <v>124260.355</v>
      </c>
      <c r="O1103" s="148">
        <v>110059.1716</v>
      </c>
      <c r="P1103" s="148">
        <v>86982.24852</v>
      </c>
      <c r="Q1103" s="146">
        <v>94082.84024</v>
      </c>
      <c r="R1103" s="148">
        <v>101183.432</v>
      </c>
      <c r="S1103" s="148">
        <v>110059.1716</v>
      </c>
    </row>
    <row r="1104">
      <c r="A1104" s="145">
        <v>68.313</v>
      </c>
      <c r="B1104" s="145">
        <f t="shared" si="1"/>
        <v>22065.099</v>
      </c>
      <c r="C1104" s="148">
        <v>126035.503</v>
      </c>
      <c r="D1104" s="145">
        <v>138461.5385</v>
      </c>
      <c r="E1104" s="146"/>
      <c r="F1104" s="148">
        <v>126035.503</v>
      </c>
      <c r="G1104" s="148">
        <v>165088.7574</v>
      </c>
      <c r="H1104" s="148">
        <v>191715.9763</v>
      </c>
      <c r="I1104" s="146">
        <v>152662.7219</v>
      </c>
      <c r="J1104" s="148">
        <v>165088.7574</v>
      </c>
      <c r="K1104" s="148">
        <v>177514.7929</v>
      </c>
      <c r="L1104" s="148">
        <v>161538.4615</v>
      </c>
      <c r="M1104" s="148"/>
      <c r="N1104" s="148">
        <v>124260.355</v>
      </c>
      <c r="O1104" s="148">
        <v>111834.3195</v>
      </c>
      <c r="P1104" s="148">
        <v>86982.24852</v>
      </c>
      <c r="Q1104" s="146">
        <v>94082.84024</v>
      </c>
      <c r="R1104" s="148">
        <v>101183.432</v>
      </c>
      <c r="S1104" s="148">
        <v>110059.1716</v>
      </c>
    </row>
    <row r="1105">
      <c r="A1105" s="145">
        <v>68.375</v>
      </c>
      <c r="B1105" s="145">
        <f t="shared" si="1"/>
        <v>22085.125</v>
      </c>
      <c r="C1105" s="148">
        <v>126035.503</v>
      </c>
      <c r="D1105" s="145">
        <v>140236.6864</v>
      </c>
      <c r="E1105" s="146"/>
      <c r="F1105" s="148">
        <v>127810.6509</v>
      </c>
      <c r="G1105" s="148">
        <v>165088.7574</v>
      </c>
      <c r="H1105" s="148">
        <v>191715.9763</v>
      </c>
      <c r="I1105" s="146">
        <v>152662.7219</v>
      </c>
      <c r="J1105" s="148">
        <v>165088.7574</v>
      </c>
      <c r="K1105" s="148">
        <v>177514.7929</v>
      </c>
      <c r="L1105" s="148">
        <v>161538.4615</v>
      </c>
      <c r="M1105" s="148"/>
      <c r="N1105" s="148">
        <v>124260.355</v>
      </c>
      <c r="O1105" s="148">
        <v>111834.3195</v>
      </c>
      <c r="P1105" s="148">
        <v>86982.24852</v>
      </c>
      <c r="Q1105" s="146">
        <v>94082.84024</v>
      </c>
      <c r="R1105" s="148">
        <v>101183.432</v>
      </c>
      <c r="S1105" s="148">
        <v>110059.1716</v>
      </c>
    </row>
    <row r="1106">
      <c r="A1106" s="145">
        <v>68.438</v>
      </c>
      <c r="B1106" s="145">
        <f t="shared" si="1"/>
        <v>22105.474</v>
      </c>
      <c r="C1106" s="148">
        <v>126035.503</v>
      </c>
      <c r="D1106" s="145">
        <v>140236.6864</v>
      </c>
      <c r="E1106" s="146"/>
      <c r="F1106" s="148">
        <v>127810.6509</v>
      </c>
      <c r="G1106" s="148">
        <v>166863.9053</v>
      </c>
      <c r="H1106" s="148">
        <v>191715.9763</v>
      </c>
      <c r="I1106" s="146">
        <v>152662.7219</v>
      </c>
      <c r="J1106" s="148">
        <v>165088.7574</v>
      </c>
      <c r="K1106" s="148">
        <v>177514.7929</v>
      </c>
      <c r="L1106" s="148">
        <v>161538.4615</v>
      </c>
      <c r="M1106" s="148"/>
      <c r="N1106" s="148">
        <v>124260.355</v>
      </c>
      <c r="O1106" s="148">
        <v>111834.3195</v>
      </c>
      <c r="P1106" s="148">
        <v>86982.24852</v>
      </c>
      <c r="Q1106" s="146">
        <v>94082.84024</v>
      </c>
      <c r="R1106" s="148">
        <v>101183.432</v>
      </c>
      <c r="S1106" s="148">
        <v>110059.1716</v>
      </c>
    </row>
    <row r="1107">
      <c r="A1107" s="145">
        <v>68.516</v>
      </c>
      <c r="B1107" s="145">
        <f t="shared" si="1"/>
        <v>22130.668</v>
      </c>
      <c r="C1107" s="148">
        <v>126035.503</v>
      </c>
      <c r="D1107" s="145">
        <v>142011.8343</v>
      </c>
      <c r="E1107" s="146"/>
      <c r="F1107" s="148">
        <v>127810.6509</v>
      </c>
      <c r="G1107" s="148">
        <v>166863.9053</v>
      </c>
      <c r="H1107" s="148">
        <v>191715.9763</v>
      </c>
      <c r="I1107" s="146">
        <v>152662.7219</v>
      </c>
      <c r="J1107" s="148">
        <v>165088.7574</v>
      </c>
      <c r="K1107" s="148">
        <v>177514.7929</v>
      </c>
      <c r="L1107" s="148">
        <v>161538.4615</v>
      </c>
      <c r="M1107" s="148"/>
      <c r="N1107" s="148">
        <v>124260.355</v>
      </c>
      <c r="O1107" s="148">
        <v>111834.3195</v>
      </c>
      <c r="P1107" s="148">
        <v>86982.24852</v>
      </c>
      <c r="Q1107" s="146">
        <v>94082.84024</v>
      </c>
      <c r="R1107" s="148">
        <v>101183.432</v>
      </c>
      <c r="S1107" s="148">
        <v>110059.1716</v>
      </c>
    </row>
    <row r="1108">
      <c r="A1108" s="145">
        <v>68.563</v>
      </c>
      <c r="B1108" s="145">
        <f t="shared" si="1"/>
        <v>22145.849</v>
      </c>
      <c r="C1108" s="148">
        <v>126035.503</v>
      </c>
      <c r="D1108" s="145">
        <v>142011.8343</v>
      </c>
      <c r="E1108" s="146"/>
      <c r="F1108" s="148">
        <v>129585.7988</v>
      </c>
      <c r="G1108" s="148">
        <v>166863.9053</v>
      </c>
      <c r="H1108" s="148">
        <v>191715.9763</v>
      </c>
      <c r="I1108" s="146">
        <v>152662.7219</v>
      </c>
      <c r="J1108" s="148">
        <v>165088.7574</v>
      </c>
      <c r="K1108" s="148">
        <v>177514.7929</v>
      </c>
      <c r="L1108" s="148">
        <v>161538.4615</v>
      </c>
      <c r="M1108" s="148"/>
      <c r="N1108" s="148">
        <v>124260.355</v>
      </c>
      <c r="O1108" s="148">
        <v>111834.3195</v>
      </c>
      <c r="P1108" s="148">
        <v>86982.24852</v>
      </c>
      <c r="Q1108" s="146">
        <v>94082.84024</v>
      </c>
      <c r="R1108" s="148">
        <v>101183.432</v>
      </c>
      <c r="S1108" s="148">
        <v>110059.1716</v>
      </c>
    </row>
    <row r="1109">
      <c r="A1109" s="145">
        <v>68.625</v>
      </c>
      <c r="B1109" s="145">
        <f t="shared" si="1"/>
        <v>22165.875</v>
      </c>
      <c r="C1109" s="148">
        <v>126035.503</v>
      </c>
      <c r="D1109" s="145">
        <v>142011.8343</v>
      </c>
      <c r="E1109" s="146"/>
      <c r="F1109" s="148"/>
      <c r="G1109" s="148">
        <v>166863.9053</v>
      </c>
      <c r="H1109" s="148">
        <v>191715.9763</v>
      </c>
      <c r="I1109" s="146">
        <v>152662.7219</v>
      </c>
      <c r="J1109" s="148">
        <v>165088.7574</v>
      </c>
      <c r="K1109" s="148">
        <v>177514.7929</v>
      </c>
      <c r="L1109" s="148">
        <v>161538.4615</v>
      </c>
      <c r="M1109" s="148"/>
      <c r="N1109" s="148">
        <v>124260.355</v>
      </c>
      <c r="O1109" s="148">
        <v>111834.3195</v>
      </c>
      <c r="P1109" s="148">
        <v>86982.24852</v>
      </c>
      <c r="Q1109" s="146">
        <v>94082.84024</v>
      </c>
      <c r="R1109" s="148">
        <v>101183.432</v>
      </c>
      <c r="S1109" s="148">
        <v>110059.1716</v>
      </c>
    </row>
    <row r="1110">
      <c r="A1110" s="145">
        <v>68.688</v>
      </c>
      <c r="B1110" s="145">
        <f t="shared" si="1"/>
        <v>22186.224</v>
      </c>
      <c r="C1110" s="148">
        <v>126035.503</v>
      </c>
      <c r="D1110" s="145">
        <v>142011.8343</v>
      </c>
      <c r="E1110" s="146"/>
      <c r="F1110" s="148"/>
      <c r="G1110" s="148">
        <v>166863.9053</v>
      </c>
      <c r="H1110" s="148">
        <v>191715.9763</v>
      </c>
      <c r="I1110" s="146">
        <v>152662.7219</v>
      </c>
      <c r="J1110" s="148">
        <v>165088.7574</v>
      </c>
      <c r="K1110" s="148">
        <v>177514.7929</v>
      </c>
      <c r="L1110" s="148">
        <v>161538.4615</v>
      </c>
      <c r="M1110" s="148"/>
      <c r="N1110" s="148">
        <v>124260.355</v>
      </c>
      <c r="O1110" s="148">
        <v>111834.3195</v>
      </c>
      <c r="P1110" s="148">
        <v>86982.24852</v>
      </c>
      <c r="Q1110" s="146">
        <v>95857.98817</v>
      </c>
      <c r="R1110" s="148">
        <v>101183.432</v>
      </c>
      <c r="S1110" s="148">
        <v>110059.1716</v>
      </c>
    </row>
    <row r="1111">
      <c r="A1111" s="145">
        <v>68.75</v>
      </c>
      <c r="B1111" s="145">
        <f t="shared" si="1"/>
        <v>22206.25</v>
      </c>
      <c r="C1111" s="148">
        <v>126035.503</v>
      </c>
      <c r="D1111" s="145">
        <v>142011.8343</v>
      </c>
      <c r="E1111" s="146"/>
      <c r="F1111" s="148"/>
      <c r="G1111" s="148">
        <v>166863.9053</v>
      </c>
      <c r="H1111" s="148">
        <v>193491.1243</v>
      </c>
      <c r="I1111" s="146">
        <v>152662.7219</v>
      </c>
      <c r="J1111" s="148">
        <v>165088.7574</v>
      </c>
      <c r="K1111" s="148">
        <v>177514.7929</v>
      </c>
      <c r="L1111" s="148">
        <v>161538.4615</v>
      </c>
      <c r="M1111" s="148"/>
      <c r="N1111" s="148">
        <v>124260.355</v>
      </c>
      <c r="O1111" s="148">
        <v>113609.4675</v>
      </c>
      <c r="P1111" s="148">
        <v>86982.24852</v>
      </c>
      <c r="Q1111" s="146">
        <v>95857.98817</v>
      </c>
      <c r="R1111" s="148">
        <v>101183.432</v>
      </c>
      <c r="S1111" s="148">
        <v>111834.3195</v>
      </c>
    </row>
    <row r="1112">
      <c r="A1112" s="145">
        <v>68.829</v>
      </c>
      <c r="B1112" s="145">
        <f t="shared" si="1"/>
        <v>22231.767</v>
      </c>
      <c r="C1112" s="148">
        <v>126035.503</v>
      </c>
      <c r="D1112" s="145">
        <v>143786.9822</v>
      </c>
      <c r="E1112" s="146"/>
      <c r="F1112" s="148"/>
      <c r="G1112" s="148">
        <v>166863.9053</v>
      </c>
      <c r="H1112" s="148">
        <v>193491.1243</v>
      </c>
      <c r="I1112" s="146">
        <v>152662.7219</v>
      </c>
      <c r="J1112" s="148">
        <v>165088.7574</v>
      </c>
      <c r="K1112" s="148">
        <v>177514.7929</v>
      </c>
      <c r="L1112" s="148">
        <v>161538.4615</v>
      </c>
      <c r="M1112" s="148"/>
      <c r="N1112" s="148">
        <v>124260.355</v>
      </c>
      <c r="O1112" s="148">
        <v>113609.4675</v>
      </c>
      <c r="P1112" s="148">
        <v>86982.24852</v>
      </c>
      <c r="Q1112" s="146">
        <v>95857.98817</v>
      </c>
      <c r="R1112" s="148">
        <v>101183.432</v>
      </c>
      <c r="S1112" s="148">
        <v>111834.3195</v>
      </c>
    </row>
    <row r="1113">
      <c r="A1113" s="145">
        <v>68.875</v>
      </c>
      <c r="B1113" s="145">
        <f t="shared" si="1"/>
        <v>22246.625</v>
      </c>
      <c r="C1113" s="148">
        <v>126035.503</v>
      </c>
      <c r="D1113" s="145">
        <v>143786.9822</v>
      </c>
      <c r="E1113" s="146"/>
      <c r="F1113" s="148"/>
      <c r="G1113" s="148">
        <v>166863.9053</v>
      </c>
      <c r="H1113" s="148">
        <v>193491.1243</v>
      </c>
      <c r="I1113" s="146">
        <v>152662.7219</v>
      </c>
      <c r="J1113" s="148">
        <v>165088.7574</v>
      </c>
      <c r="K1113" s="148">
        <v>177514.7929</v>
      </c>
      <c r="L1113" s="148">
        <v>163313.6095</v>
      </c>
      <c r="M1113" s="148"/>
      <c r="N1113" s="148">
        <v>124260.355</v>
      </c>
      <c r="O1113" s="148">
        <v>113609.4675</v>
      </c>
      <c r="P1113" s="148">
        <v>88757.39645</v>
      </c>
      <c r="Q1113" s="146">
        <v>95857.98817</v>
      </c>
      <c r="R1113" s="148">
        <v>101183.432</v>
      </c>
      <c r="S1113" s="148">
        <v>111834.3195</v>
      </c>
    </row>
    <row r="1114">
      <c r="A1114" s="145">
        <v>68.938</v>
      </c>
      <c r="B1114" s="145">
        <f t="shared" si="1"/>
        <v>22266.974</v>
      </c>
      <c r="C1114" s="148">
        <v>126035.503</v>
      </c>
      <c r="D1114" s="145">
        <v>143786.9822</v>
      </c>
      <c r="E1114" s="146"/>
      <c r="F1114" s="148"/>
      <c r="G1114" s="148">
        <v>166863.9053</v>
      </c>
      <c r="H1114" s="148">
        <v>193491.1243</v>
      </c>
      <c r="I1114" s="146">
        <v>152662.7219</v>
      </c>
      <c r="J1114" s="148">
        <v>165088.7574</v>
      </c>
      <c r="K1114" s="148">
        <v>177514.7929</v>
      </c>
      <c r="L1114" s="148">
        <v>163313.6095</v>
      </c>
      <c r="M1114" s="148"/>
      <c r="N1114" s="148">
        <v>124260.355</v>
      </c>
      <c r="O1114" s="148">
        <v>113609.4675</v>
      </c>
      <c r="P1114" s="148">
        <v>88757.39645</v>
      </c>
      <c r="Q1114" s="146">
        <v>95857.98817</v>
      </c>
      <c r="R1114" s="148">
        <v>101183.432</v>
      </c>
      <c r="S1114" s="148">
        <v>111834.3195</v>
      </c>
    </row>
    <row r="1115">
      <c r="A1115" s="145">
        <v>69.0</v>
      </c>
      <c r="B1115" s="145">
        <f t="shared" si="1"/>
        <v>22287</v>
      </c>
      <c r="C1115" s="148">
        <v>126035.503</v>
      </c>
      <c r="D1115" s="145">
        <v>143786.9822</v>
      </c>
      <c r="E1115" s="146"/>
      <c r="F1115" s="148"/>
      <c r="G1115" s="148">
        <v>166863.9053</v>
      </c>
      <c r="H1115" s="148">
        <v>195266.2722</v>
      </c>
      <c r="I1115" s="146">
        <v>152662.7219</v>
      </c>
      <c r="J1115" s="148">
        <v>165088.7574</v>
      </c>
      <c r="K1115" s="148">
        <v>177514.7929</v>
      </c>
      <c r="L1115" s="148">
        <v>163313.6095</v>
      </c>
      <c r="M1115" s="148"/>
      <c r="N1115" s="148">
        <v>124260.355</v>
      </c>
      <c r="O1115" s="148">
        <v>113609.4675</v>
      </c>
      <c r="P1115" s="148">
        <v>88757.39645</v>
      </c>
      <c r="Q1115" s="146">
        <v>95857.98817</v>
      </c>
      <c r="R1115" s="148">
        <v>101183.432</v>
      </c>
      <c r="S1115" s="148">
        <v>111834.3195</v>
      </c>
    </row>
    <row r="1116">
      <c r="A1116" s="145">
        <v>69.063</v>
      </c>
      <c r="B1116" s="145">
        <f t="shared" si="1"/>
        <v>22307.349</v>
      </c>
      <c r="C1116" s="148">
        <v>127810.6509</v>
      </c>
      <c r="D1116" s="145">
        <v>143786.9822</v>
      </c>
      <c r="E1116" s="146"/>
      <c r="F1116" s="148"/>
      <c r="G1116" s="148">
        <v>166863.9053</v>
      </c>
      <c r="H1116" s="148">
        <v>195266.2722</v>
      </c>
      <c r="I1116" s="146">
        <v>152662.7219</v>
      </c>
      <c r="J1116" s="148">
        <v>165088.7574</v>
      </c>
      <c r="K1116" s="148">
        <v>177514.7929</v>
      </c>
      <c r="L1116" s="148">
        <v>163313.6095</v>
      </c>
      <c r="M1116" s="148"/>
      <c r="N1116" s="148">
        <v>124260.355</v>
      </c>
      <c r="O1116" s="148">
        <v>113609.4675</v>
      </c>
      <c r="P1116" s="148">
        <v>88757.39645</v>
      </c>
      <c r="Q1116" s="146">
        <v>95857.98817</v>
      </c>
      <c r="R1116" s="148">
        <v>101183.432</v>
      </c>
      <c r="S1116" s="148">
        <v>111834.3195</v>
      </c>
    </row>
    <row r="1117">
      <c r="A1117" s="145">
        <v>69.125</v>
      </c>
      <c r="B1117" s="145">
        <f t="shared" si="1"/>
        <v>22327.375</v>
      </c>
      <c r="C1117" s="148">
        <v>127810.6509</v>
      </c>
      <c r="D1117" s="145">
        <v>143786.9822</v>
      </c>
      <c r="E1117" s="146"/>
      <c r="F1117" s="148"/>
      <c r="G1117" s="148">
        <v>166863.9053</v>
      </c>
      <c r="H1117" s="148">
        <v>195266.2722</v>
      </c>
      <c r="I1117" s="146">
        <v>152662.7219</v>
      </c>
      <c r="J1117" s="148">
        <v>166863.9053</v>
      </c>
      <c r="K1117" s="148">
        <v>177514.7929</v>
      </c>
      <c r="L1117" s="148">
        <v>163313.6095</v>
      </c>
      <c r="M1117" s="148"/>
      <c r="N1117" s="148">
        <v>124260.355</v>
      </c>
      <c r="O1117" s="148">
        <v>113609.4675</v>
      </c>
      <c r="P1117" s="148">
        <v>88757.39645</v>
      </c>
      <c r="Q1117" s="146">
        <v>95857.98817</v>
      </c>
      <c r="R1117" s="148">
        <v>102958.5799</v>
      </c>
      <c r="S1117" s="148">
        <v>111834.3195</v>
      </c>
    </row>
    <row r="1118">
      <c r="A1118" s="145">
        <v>69.204</v>
      </c>
      <c r="B1118" s="145">
        <f t="shared" si="1"/>
        <v>22352.892</v>
      </c>
      <c r="C1118" s="148">
        <v>127810.6509</v>
      </c>
      <c r="D1118" s="145">
        <v>143786.9822</v>
      </c>
      <c r="E1118" s="146"/>
      <c r="F1118" s="148"/>
      <c r="G1118" s="148">
        <v>166863.9053</v>
      </c>
      <c r="H1118" s="148">
        <v>195266.2722</v>
      </c>
      <c r="I1118" s="146">
        <v>152662.7219</v>
      </c>
      <c r="J1118" s="148">
        <v>166863.9053</v>
      </c>
      <c r="K1118" s="148">
        <v>177514.7929</v>
      </c>
      <c r="L1118" s="148">
        <v>163313.6095</v>
      </c>
      <c r="M1118" s="148"/>
      <c r="N1118" s="148">
        <v>124260.355</v>
      </c>
      <c r="O1118" s="148">
        <v>113609.4675</v>
      </c>
      <c r="P1118" s="148">
        <v>88757.39645</v>
      </c>
      <c r="Q1118" s="146">
        <v>95857.98817</v>
      </c>
      <c r="R1118" s="148">
        <v>102958.5799</v>
      </c>
      <c r="S1118" s="148">
        <v>111834.3195</v>
      </c>
    </row>
    <row r="1119">
      <c r="A1119" s="145">
        <v>69.25</v>
      </c>
      <c r="B1119" s="145">
        <f t="shared" si="1"/>
        <v>22367.75</v>
      </c>
      <c r="C1119" s="148">
        <v>127810.6509</v>
      </c>
      <c r="D1119" s="145">
        <v>143786.9822</v>
      </c>
      <c r="E1119" s="146"/>
      <c r="F1119" s="148"/>
      <c r="G1119" s="148">
        <v>166863.9053</v>
      </c>
      <c r="H1119" s="148">
        <v>195266.2722</v>
      </c>
      <c r="I1119" s="146">
        <v>152662.7219</v>
      </c>
      <c r="J1119" s="148">
        <v>166863.9053</v>
      </c>
      <c r="K1119" s="148">
        <v>177514.7929</v>
      </c>
      <c r="L1119" s="148">
        <v>163313.6095</v>
      </c>
      <c r="M1119" s="148"/>
      <c r="N1119" s="148">
        <v>124260.355</v>
      </c>
      <c r="O1119" s="148">
        <v>113609.4675</v>
      </c>
      <c r="P1119" s="148">
        <v>88757.39645</v>
      </c>
      <c r="Q1119" s="146">
        <v>95857.98817</v>
      </c>
      <c r="R1119" s="148">
        <v>102958.5799</v>
      </c>
      <c r="S1119" s="148">
        <v>111834.3195</v>
      </c>
    </row>
    <row r="1120">
      <c r="A1120" s="145">
        <v>69.313</v>
      </c>
      <c r="B1120" s="145">
        <f t="shared" si="1"/>
        <v>22388.099</v>
      </c>
      <c r="C1120" s="148">
        <v>127810.6509</v>
      </c>
      <c r="D1120" s="145">
        <v>143786.9822</v>
      </c>
      <c r="E1120" s="146"/>
      <c r="F1120" s="148"/>
      <c r="G1120" s="148">
        <v>166863.9053</v>
      </c>
      <c r="H1120" s="148">
        <v>195266.2722</v>
      </c>
      <c r="I1120" s="146">
        <v>152662.7219</v>
      </c>
      <c r="J1120" s="148">
        <v>166863.9053</v>
      </c>
      <c r="K1120" s="148">
        <v>177514.7929</v>
      </c>
      <c r="L1120" s="148">
        <v>163313.6095</v>
      </c>
      <c r="M1120" s="148"/>
      <c r="N1120" s="148">
        <v>126035.503</v>
      </c>
      <c r="O1120" s="148">
        <v>113609.4675</v>
      </c>
      <c r="P1120" s="148">
        <v>88757.39645</v>
      </c>
      <c r="Q1120" s="146">
        <v>95857.98817</v>
      </c>
      <c r="R1120" s="148">
        <v>102958.5799</v>
      </c>
      <c r="S1120" s="148">
        <v>111834.3195</v>
      </c>
    </row>
    <row r="1121">
      <c r="A1121" s="145">
        <v>69.375</v>
      </c>
      <c r="B1121" s="145">
        <f t="shared" si="1"/>
        <v>22408.125</v>
      </c>
      <c r="C1121" s="148">
        <v>127810.6509</v>
      </c>
      <c r="D1121" s="145">
        <v>143786.9822</v>
      </c>
      <c r="E1121" s="146"/>
      <c r="F1121" s="148"/>
      <c r="G1121" s="148">
        <v>168639.0533</v>
      </c>
      <c r="H1121" s="148">
        <v>195266.2722</v>
      </c>
      <c r="I1121" s="146">
        <v>152662.7219</v>
      </c>
      <c r="J1121" s="148">
        <v>166863.9053</v>
      </c>
      <c r="K1121" s="148">
        <v>177514.7929</v>
      </c>
      <c r="L1121" s="148">
        <v>163313.6095</v>
      </c>
      <c r="M1121" s="148"/>
      <c r="N1121" s="148">
        <v>126035.503</v>
      </c>
      <c r="O1121" s="148">
        <v>113609.4675</v>
      </c>
      <c r="P1121" s="148">
        <v>88757.39645</v>
      </c>
      <c r="Q1121" s="146">
        <v>95857.98817</v>
      </c>
      <c r="R1121" s="148">
        <v>102958.5799</v>
      </c>
      <c r="S1121" s="148">
        <v>111834.3195</v>
      </c>
    </row>
    <row r="1122">
      <c r="A1122" s="145">
        <v>69.438</v>
      </c>
      <c r="B1122" s="145">
        <f t="shared" si="1"/>
        <v>22428.474</v>
      </c>
      <c r="C1122" s="148">
        <v>127810.6509</v>
      </c>
      <c r="D1122" s="145">
        <v>143786.9822</v>
      </c>
      <c r="E1122" s="146"/>
      <c r="F1122" s="148"/>
      <c r="G1122" s="148">
        <v>168639.0533</v>
      </c>
      <c r="H1122" s="148">
        <v>195266.2722</v>
      </c>
      <c r="I1122" s="146">
        <v>152662.7219</v>
      </c>
      <c r="J1122" s="148">
        <v>166863.9053</v>
      </c>
      <c r="K1122" s="148">
        <v>177514.7929</v>
      </c>
      <c r="L1122" s="148">
        <v>163313.6095</v>
      </c>
      <c r="M1122" s="148"/>
      <c r="N1122" s="148">
        <v>126035.503</v>
      </c>
      <c r="O1122" s="148">
        <v>113609.4675</v>
      </c>
      <c r="P1122" s="148">
        <v>88757.39645</v>
      </c>
      <c r="Q1122" s="146">
        <v>95857.98817</v>
      </c>
      <c r="R1122" s="148">
        <v>102958.5799</v>
      </c>
      <c r="S1122" s="148">
        <v>111834.3195</v>
      </c>
    </row>
    <row r="1123">
      <c r="A1123" s="145">
        <v>69.5</v>
      </c>
      <c r="B1123" s="145">
        <f t="shared" si="1"/>
        <v>22448.5</v>
      </c>
      <c r="C1123" s="148">
        <v>127810.6509</v>
      </c>
      <c r="D1123" s="145">
        <v>143786.9822</v>
      </c>
      <c r="E1123" s="146"/>
      <c r="F1123" s="148"/>
      <c r="G1123" s="148">
        <v>168639.0533</v>
      </c>
      <c r="H1123" s="148">
        <v>195266.2722</v>
      </c>
      <c r="I1123" s="146">
        <v>152662.7219</v>
      </c>
      <c r="J1123" s="148">
        <v>166863.9053</v>
      </c>
      <c r="K1123" s="148">
        <v>177514.7929</v>
      </c>
      <c r="L1123" s="148">
        <v>163313.6095</v>
      </c>
      <c r="M1123" s="148"/>
      <c r="N1123" s="148">
        <v>126035.503</v>
      </c>
      <c r="O1123" s="148">
        <v>113609.4675</v>
      </c>
      <c r="P1123" s="148">
        <v>88757.39645</v>
      </c>
      <c r="Q1123" s="146">
        <v>95857.98817</v>
      </c>
      <c r="R1123" s="148">
        <v>102958.5799</v>
      </c>
      <c r="S1123" s="148">
        <v>111834.3195</v>
      </c>
    </row>
    <row r="1124">
      <c r="A1124" s="145">
        <v>69.563</v>
      </c>
      <c r="B1124" s="145">
        <f t="shared" si="1"/>
        <v>22468.849</v>
      </c>
      <c r="C1124" s="148">
        <v>127810.6509</v>
      </c>
      <c r="D1124" s="145">
        <v>143786.9822</v>
      </c>
      <c r="E1124" s="146"/>
      <c r="F1124" s="148"/>
      <c r="G1124" s="148">
        <v>168639.0533</v>
      </c>
      <c r="H1124" s="148">
        <v>195266.2722</v>
      </c>
      <c r="I1124" s="146">
        <v>152662.7219</v>
      </c>
      <c r="J1124" s="148">
        <v>168639.0533</v>
      </c>
      <c r="K1124" s="148">
        <v>177514.7929</v>
      </c>
      <c r="L1124" s="148">
        <v>163313.6095</v>
      </c>
      <c r="M1124" s="148"/>
      <c r="N1124" s="148">
        <v>126035.503</v>
      </c>
      <c r="O1124" s="148">
        <v>113609.4675</v>
      </c>
      <c r="P1124" s="148">
        <v>88757.39645</v>
      </c>
      <c r="Q1124" s="146">
        <v>95857.98817</v>
      </c>
      <c r="R1124" s="148">
        <v>102958.5799</v>
      </c>
      <c r="S1124" s="148">
        <v>113609.4675</v>
      </c>
    </row>
    <row r="1125">
      <c r="A1125" s="145">
        <v>69.625</v>
      </c>
      <c r="B1125" s="145">
        <f t="shared" si="1"/>
        <v>22488.875</v>
      </c>
      <c r="C1125" s="148">
        <v>127810.6509</v>
      </c>
      <c r="D1125" s="145">
        <v>143786.9822</v>
      </c>
      <c r="E1125" s="146"/>
      <c r="F1125" s="148"/>
      <c r="G1125" s="148">
        <v>168639.0533</v>
      </c>
      <c r="H1125" s="148">
        <v>195266.2722</v>
      </c>
      <c r="I1125" s="146">
        <v>152662.7219</v>
      </c>
      <c r="J1125" s="148">
        <v>168639.0533</v>
      </c>
      <c r="K1125" s="148">
        <v>177514.7929</v>
      </c>
      <c r="L1125" s="148">
        <v>163313.6095</v>
      </c>
      <c r="M1125" s="148"/>
      <c r="N1125" s="148">
        <v>126035.503</v>
      </c>
      <c r="O1125" s="148">
        <v>113609.4675</v>
      </c>
      <c r="P1125" s="148">
        <v>88757.39645</v>
      </c>
      <c r="Q1125" s="146">
        <v>95857.98817</v>
      </c>
      <c r="R1125" s="148">
        <v>102958.5799</v>
      </c>
      <c r="S1125" s="148">
        <v>113609.4675</v>
      </c>
    </row>
    <row r="1126">
      <c r="A1126" s="145">
        <v>69.688</v>
      </c>
      <c r="B1126" s="145">
        <f t="shared" si="1"/>
        <v>22509.224</v>
      </c>
      <c r="C1126" s="148">
        <v>127810.6509</v>
      </c>
      <c r="D1126" s="145">
        <v>143786.9822</v>
      </c>
      <c r="E1126" s="146"/>
      <c r="F1126" s="148"/>
      <c r="G1126" s="148">
        <v>168639.0533</v>
      </c>
      <c r="H1126" s="148">
        <v>195266.2722</v>
      </c>
      <c r="I1126" s="146">
        <v>152662.7219</v>
      </c>
      <c r="J1126" s="148">
        <v>168639.0533</v>
      </c>
      <c r="K1126" s="148">
        <v>177514.7929</v>
      </c>
      <c r="L1126" s="148">
        <v>163313.6095</v>
      </c>
      <c r="M1126" s="148"/>
      <c r="N1126" s="148">
        <v>126035.503</v>
      </c>
      <c r="O1126" s="148">
        <v>113609.4675</v>
      </c>
      <c r="P1126" s="148">
        <v>88757.39645</v>
      </c>
      <c r="Q1126" s="146">
        <v>95857.98817</v>
      </c>
      <c r="R1126" s="148">
        <v>102958.5799</v>
      </c>
      <c r="S1126" s="148">
        <v>113609.4675</v>
      </c>
    </row>
    <row r="1127">
      <c r="A1127" s="145">
        <v>69.766</v>
      </c>
      <c r="B1127" s="145">
        <f t="shared" si="1"/>
        <v>22534.418</v>
      </c>
      <c r="C1127" s="148">
        <v>127810.6509</v>
      </c>
      <c r="D1127" s="145">
        <v>143786.9822</v>
      </c>
      <c r="E1127" s="146"/>
      <c r="F1127" s="148"/>
      <c r="G1127" s="148">
        <v>168639.0533</v>
      </c>
      <c r="H1127" s="148">
        <v>195266.2722</v>
      </c>
      <c r="I1127" s="146">
        <v>154437.8698</v>
      </c>
      <c r="J1127" s="148">
        <v>168639.0533</v>
      </c>
      <c r="K1127" s="148">
        <v>177514.7929</v>
      </c>
      <c r="L1127" s="148">
        <v>165088.7574</v>
      </c>
      <c r="M1127" s="148"/>
      <c r="N1127" s="148">
        <v>126035.503</v>
      </c>
      <c r="O1127" s="148">
        <v>113609.4675</v>
      </c>
      <c r="P1127" s="148">
        <v>88757.39645</v>
      </c>
      <c r="Q1127" s="146">
        <v>97633.1361</v>
      </c>
      <c r="R1127" s="148">
        <v>102958.5799</v>
      </c>
      <c r="S1127" s="148">
        <v>113609.4675</v>
      </c>
    </row>
    <row r="1128">
      <c r="A1128" s="145">
        <v>69.813</v>
      </c>
      <c r="B1128" s="145">
        <f t="shared" si="1"/>
        <v>22549.599</v>
      </c>
      <c r="C1128" s="148">
        <v>127810.6509</v>
      </c>
      <c r="D1128" s="145">
        <v>143786.9822</v>
      </c>
      <c r="E1128" s="146"/>
      <c r="F1128" s="148"/>
      <c r="G1128" s="148">
        <v>168639.0533</v>
      </c>
      <c r="H1128" s="148">
        <v>195266.2722</v>
      </c>
      <c r="I1128" s="146">
        <v>154437.8698</v>
      </c>
      <c r="J1128" s="148">
        <v>168639.0533</v>
      </c>
      <c r="K1128" s="148">
        <v>177514.7929</v>
      </c>
      <c r="L1128" s="148">
        <v>165088.7574</v>
      </c>
      <c r="M1128" s="148"/>
      <c r="N1128" s="148">
        <v>126035.503</v>
      </c>
      <c r="O1128" s="148">
        <v>115384.6154</v>
      </c>
      <c r="P1128" s="148">
        <v>88757.39645</v>
      </c>
      <c r="Q1128" s="146">
        <v>97633.1361</v>
      </c>
      <c r="R1128" s="148">
        <v>102958.5799</v>
      </c>
      <c r="S1128" s="148">
        <v>113609.4675</v>
      </c>
    </row>
    <row r="1129">
      <c r="A1129" s="145">
        <v>69.875</v>
      </c>
      <c r="B1129" s="145">
        <f t="shared" si="1"/>
        <v>22569.625</v>
      </c>
      <c r="C1129" s="148">
        <v>127810.6509</v>
      </c>
      <c r="D1129" s="145">
        <v>143786.9822</v>
      </c>
      <c r="E1129" s="146"/>
      <c r="F1129" s="148"/>
      <c r="G1129" s="148">
        <v>168639.0533</v>
      </c>
      <c r="H1129" s="148">
        <v>195266.2722</v>
      </c>
      <c r="I1129" s="146">
        <v>154437.8698</v>
      </c>
      <c r="J1129" s="148">
        <v>168639.0533</v>
      </c>
      <c r="K1129" s="148">
        <v>177514.7929</v>
      </c>
      <c r="L1129" s="148">
        <v>165088.7574</v>
      </c>
      <c r="M1129" s="148"/>
      <c r="N1129" s="148">
        <v>126035.503</v>
      </c>
      <c r="O1129" s="148">
        <v>115384.6154</v>
      </c>
      <c r="P1129" s="148">
        <v>88757.39645</v>
      </c>
      <c r="Q1129" s="146">
        <v>97633.1361</v>
      </c>
      <c r="R1129" s="148">
        <v>102958.5799</v>
      </c>
      <c r="S1129" s="148">
        <v>113609.4675</v>
      </c>
    </row>
    <row r="1130">
      <c r="A1130" s="145">
        <v>69.938</v>
      </c>
      <c r="B1130" s="145">
        <f t="shared" si="1"/>
        <v>22589.974</v>
      </c>
      <c r="C1130" s="148">
        <v>127810.6509</v>
      </c>
      <c r="D1130" s="145">
        <v>143786.9822</v>
      </c>
      <c r="E1130" s="146"/>
      <c r="F1130" s="148"/>
      <c r="G1130" s="148">
        <v>168639.0533</v>
      </c>
      <c r="H1130" s="148">
        <v>195266.2722</v>
      </c>
      <c r="I1130" s="146">
        <v>154437.8698</v>
      </c>
      <c r="J1130" s="148">
        <v>168639.0533</v>
      </c>
      <c r="K1130" s="148">
        <v>177514.7929</v>
      </c>
      <c r="L1130" s="148">
        <v>165088.7574</v>
      </c>
      <c r="M1130" s="148"/>
      <c r="N1130" s="148">
        <v>126035.503</v>
      </c>
      <c r="O1130" s="148">
        <v>115384.6154</v>
      </c>
      <c r="P1130" s="148">
        <v>88757.39645</v>
      </c>
      <c r="Q1130" s="146">
        <v>97633.1361</v>
      </c>
      <c r="R1130" s="148">
        <v>102958.5799</v>
      </c>
      <c r="S1130" s="148">
        <v>113609.4675</v>
      </c>
    </row>
    <row r="1131">
      <c r="A1131" s="145">
        <v>70.0</v>
      </c>
      <c r="B1131" s="145">
        <f t="shared" si="1"/>
        <v>22610</v>
      </c>
      <c r="C1131" s="148">
        <v>127810.6509</v>
      </c>
      <c r="D1131" s="145">
        <v>143786.9822</v>
      </c>
      <c r="E1131" s="146"/>
      <c r="F1131" s="148"/>
      <c r="G1131" s="148">
        <v>168639.0533</v>
      </c>
      <c r="H1131" s="148">
        <v>195266.2722</v>
      </c>
      <c r="I1131" s="146">
        <v>154437.8698</v>
      </c>
      <c r="J1131" s="148">
        <v>168639.0533</v>
      </c>
      <c r="K1131" s="148">
        <v>177514.7929</v>
      </c>
      <c r="L1131" s="148">
        <v>165088.7574</v>
      </c>
      <c r="M1131" s="148"/>
      <c r="N1131" s="148">
        <v>126035.503</v>
      </c>
      <c r="O1131" s="148">
        <v>115384.6154</v>
      </c>
      <c r="P1131" s="148">
        <v>88757.39645</v>
      </c>
      <c r="Q1131" s="146">
        <v>97633.1361</v>
      </c>
      <c r="R1131" s="148">
        <v>102958.5799</v>
      </c>
      <c r="S1131" s="148">
        <v>113609.4675</v>
      </c>
    </row>
    <row r="1132">
      <c r="A1132" s="145">
        <v>70.063</v>
      </c>
      <c r="B1132" s="145">
        <f t="shared" si="1"/>
        <v>22630.349</v>
      </c>
      <c r="C1132" s="148">
        <v>127810.6509</v>
      </c>
      <c r="D1132" s="145">
        <v>143786.9822</v>
      </c>
      <c r="E1132" s="146"/>
      <c r="F1132" s="148"/>
      <c r="G1132" s="148">
        <v>168639.0533</v>
      </c>
      <c r="H1132" s="148">
        <v>197041.4201</v>
      </c>
      <c r="I1132" s="146">
        <v>154437.8698</v>
      </c>
      <c r="J1132" s="148">
        <v>168639.0533</v>
      </c>
      <c r="K1132" s="148">
        <v>177514.7929</v>
      </c>
      <c r="L1132" s="148">
        <v>168639.0533</v>
      </c>
      <c r="M1132" s="148"/>
      <c r="N1132" s="148">
        <v>126035.503</v>
      </c>
      <c r="O1132" s="148">
        <v>115384.6154</v>
      </c>
      <c r="P1132" s="148">
        <v>88757.39645</v>
      </c>
      <c r="Q1132" s="146">
        <v>97633.1361</v>
      </c>
      <c r="R1132" s="148">
        <v>102958.5799</v>
      </c>
      <c r="S1132" s="148">
        <v>113609.4675</v>
      </c>
    </row>
    <row r="1133">
      <c r="A1133" s="145">
        <v>70.125</v>
      </c>
      <c r="B1133" s="145">
        <f t="shared" si="1"/>
        <v>22650.375</v>
      </c>
      <c r="C1133" s="148">
        <v>127810.6509</v>
      </c>
      <c r="D1133" s="145">
        <v>143786.9822</v>
      </c>
      <c r="E1133" s="146"/>
      <c r="F1133" s="148"/>
      <c r="G1133" s="148">
        <v>168639.0533</v>
      </c>
      <c r="H1133" s="148">
        <v>197041.4201</v>
      </c>
      <c r="I1133" s="146">
        <v>154437.8698</v>
      </c>
      <c r="J1133" s="148">
        <v>168639.0533</v>
      </c>
      <c r="K1133" s="148">
        <v>177514.7929</v>
      </c>
      <c r="L1133" s="148">
        <v>168639.0533</v>
      </c>
      <c r="M1133" s="148"/>
      <c r="N1133" s="148">
        <v>126035.503</v>
      </c>
      <c r="O1133" s="148">
        <v>115384.6154</v>
      </c>
      <c r="P1133" s="148">
        <v>88757.39645</v>
      </c>
      <c r="Q1133" s="146">
        <v>97633.1361</v>
      </c>
      <c r="R1133" s="148">
        <v>104733.7278</v>
      </c>
      <c r="S1133" s="148">
        <v>113609.4675</v>
      </c>
    </row>
    <row r="1134">
      <c r="A1134" s="145">
        <v>70.188</v>
      </c>
      <c r="B1134" s="145">
        <f t="shared" si="1"/>
        <v>22670.724</v>
      </c>
      <c r="C1134" s="148">
        <v>127810.6509</v>
      </c>
      <c r="D1134" s="145">
        <v>143786.9822</v>
      </c>
      <c r="E1134" s="146"/>
      <c r="F1134" s="148"/>
      <c r="G1134" s="148">
        <v>168639.0533</v>
      </c>
      <c r="H1134" s="148">
        <v>197041.4201</v>
      </c>
      <c r="I1134" s="146">
        <v>154437.8698</v>
      </c>
      <c r="J1134" s="148">
        <v>168639.0533</v>
      </c>
      <c r="K1134" s="148">
        <v>177514.7929</v>
      </c>
      <c r="L1134" s="148">
        <v>168639.0533</v>
      </c>
      <c r="M1134" s="148"/>
      <c r="N1134" s="148">
        <v>126035.503</v>
      </c>
      <c r="O1134" s="148">
        <v>115384.6154</v>
      </c>
      <c r="P1134" s="148">
        <v>88757.39645</v>
      </c>
      <c r="Q1134" s="146">
        <v>97633.1361</v>
      </c>
      <c r="R1134" s="148">
        <v>104733.7278</v>
      </c>
      <c r="S1134" s="148">
        <v>113609.4675</v>
      </c>
    </row>
    <row r="1135">
      <c r="A1135" s="145">
        <v>70.25</v>
      </c>
      <c r="B1135" s="145">
        <f t="shared" si="1"/>
        <v>22690.75</v>
      </c>
      <c r="C1135" s="148">
        <v>127810.6509</v>
      </c>
      <c r="D1135" s="145">
        <v>143786.9822</v>
      </c>
      <c r="E1135" s="146"/>
      <c r="F1135" s="148"/>
      <c r="G1135" s="148">
        <v>168639.0533</v>
      </c>
      <c r="H1135" s="148">
        <v>197041.4201</v>
      </c>
      <c r="I1135" s="146">
        <v>154437.8698</v>
      </c>
      <c r="J1135" s="148">
        <v>168639.0533</v>
      </c>
      <c r="K1135" s="148">
        <v>177514.7929</v>
      </c>
      <c r="L1135" s="148">
        <v>168639.0533</v>
      </c>
      <c r="M1135" s="148"/>
      <c r="N1135" s="148">
        <v>126035.503</v>
      </c>
      <c r="O1135" s="148">
        <v>115384.6154</v>
      </c>
      <c r="P1135" s="148">
        <v>88757.39645</v>
      </c>
      <c r="Q1135" s="146">
        <v>97633.1361</v>
      </c>
      <c r="R1135" s="148">
        <v>104733.7278</v>
      </c>
      <c r="S1135" s="148">
        <v>113609.4675</v>
      </c>
    </row>
    <row r="1136">
      <c r="A1136" s="145">
        <v>70.313</v>
      </c>
      <c r="B1136" s="145">
        <f t="shared" si="1"/>
        <v>22711.099</v>
      </c>
      <c r="C1136" s="148">
        <v>127810.6509</v>
      </c>
      <c r="D1136" s="145">
        <v>143786.9822</v>
      </c>
      <c r="E1136" s="148"/>
      <c r="F1136" s="148"/>
      <c r="G1136" s="148">
        <v>168639.0533</v>
      </c>
      <c r="H1136" s="148">
        <v>197041.4201</v>
      </c>
      <c r="I1136" s="146">
        <v>159763.3136</v>
      </c>
      <c r="J1136" s="148">
        <v>168639.0533</v>
      </c>
      <c r="K1136" s="148">
        <v>177514.7929</v>
      </c>
      <c r="L1136" s="148">
        <v>168639.0533</v>
      </c>
      <c r="M1136" s="148"/>
      <c r="N1136" s="148">
        <v>126035.503</v>
      </c>
      <c r="O1136" s="148">
        <v>115384.6154</v>
      </c>
      <c r="P1136" s="148">
        <v>88757.39645</v>
      </c>
      <c r="Q1136" s="146">
        <v>97633.1361</v>
      </c>
      <c r="R1136" s="148">
        <v>104733.7278</v>
      </c>
      <c r="S1136" s="148">
        <v>113609.4675</v>
      </c>
    </row>
    <row r="1137">
      <c r="A1137" s="145">
        <v>70.391</v>
      </c>
      <c r="B1137" s="145">
        <f t="shared" si="1"/>
        <v>22736.293</v>
      </c>
      <c r="C1137" s="148">
        <v>127810.6509</v>
      </c>
      <c r="D1137" s="145">
        <v>143786.9822</v>
      </c>
      <c r="E1137" s="148"/>
      <c r="F1137" s="148"/>
      <c r="G1137" s="148">
        <v>168639.0533</v>
      </c>
      <c r="H1137" s="148">
        <v>197041.4201</v>
      </c>
      <c r="I1137" s="146">
        <v>159763.3136</v>
      </c>
      <c r="J1137" s="148">
        <v>168639.0533</v>
      </c>
      <c r="K1137" s="148">
        <v>177514.7929</v>
      </c>
      <c r="L1137" s="148">
        <v>168639.0533</v>
      </c>
      <c r="M1137" s="148"/>
      <c r="N1137" s="148">
        <v>126035.503</v>
      </c>
      <c r="O1137" s="148">
        <v>115384.6154</v>
      </c>
      <c r="P1137" s="148">
        <v>88757.39645</v>
      </c>
      <c r="Q1137" s="146">
        <v>97633.1361</v>
      </c>
      <c r="R1137" s="148">
        <v>104733.7278</v>
      </c>
      <c r="S1137" s="148">
        <v>113609.4675</v>
      </c>
    </row>
    <row r="1138">
      <c r="A1138" s="145">
        <v>70.438</v>
      </c>
      <c r="B1138" s="145">
        <f t="shared" si="1"/>
        <v>22751.474</v>
      </c>
      <c r="C1138" s="148">
        <v>127810.6509</v>
      </c>
      <c r="D1138" s="145">
        <v>143786.9822</v>
      </c>
      <c r="E1138" s="148"/>
      <c r="F1138" s="148"/>
      <c r="G1138" s="148">
        <v>168639.0533</v>
      </c>
      <c r="H1138" s="148">
        <v>197041.4201</v>
      </c>
      <c r="I1138" s="146">
        <v>159763.3136</v>
      </c>
      <c r="J1138" s="148">
        <v>168639.0533</v>
      </c>
      <c r="K1138" s="148">
        <v>177514.7929</v>
      </c>
      <c r="L1138" s="148">
        <v>168639.0533</v>
      </c>
      <c r="M1138" s="148"/>
      <c r="N1138" s="148">
        <v>127810.6509</v>
      </c>
      <c r="O1138" s="148">
        <v>115384.6154</v>
      </c>
      <c r="P1138" s="148">
        <v>88757.39645</v>
      </c>
      <c r="Q1138" s="146">
        <v>97633.1361</v>
      </c>
      <c r="R1138" s="148">
        <v>104733.7278</v>
      </c>
      <c r="S1138" s="148">
        <v>113609.4675</v>
      </c>
    </row>
    <row r="1139">
      <c r="A1139" s="145">
        <v>70.5</v>
      </c>
      <c r="B1139" s="145">
        <f t="shared" si="1"/>
        <v>22771.5</v>
      </c>
      <c r="C1139" s="148">
        <v>127810.6509</v>
      </c>
      <c r="D1139" s="145">
        <v>143786.9822</v>
      </c>
      <c r="E1139" s="148"/>
      <c r="F1139" s="148"/>
      <c r="G1139" s="148">
        <v>168639.0533</v>
      </c>
      <c r="H1139" s="148">
        <v>197041.4201</v>
      </c>
      <c r="I1139" s="146">
        <v>159763.3136</v>
      </c>
      <c r="J1139" s="148">
        <v>168639.0533</v>
      </c>
      <c r="K1139" s="148">
        <v>177514.7929</v>
      </c>
      <c r="L1139" s="148">
        <v>168639.0533</v>
      </c>
      <c r="M1139" s="148"/>
      <c r="N1139" s="148">
        <v>127810.6509</v>
      </c>
      <c r="O1139" s="148">
        <v>117159.7633</v>
      </c>
      <c r="P1139" s="148">
        <v>90532.54438</v>
      </c>
      <c r="Q1139" s="146">
        <v>97633.1361</v>
      </c>
      <c r="R1139" s="148">
        <v>104733.7278</v>
      </c>
      <c r="S1139" s="148">
        <v>115384.6154</v>
      </c>
    </row>
    <row r="1140">
      <c r="A1140" s="145">
        <v>70.563</v>
      </c>
      <c r="B1140" s="145">
        <f t="shared" si="1"/>
        <v>22791.849</v>
      </c>
      <c r="C1140" s="148">
        <v>127810.6509</v>
      </c>
      <c r="D1140" s="145">
        <v>143786.9822</v>
      </c>
      <c r="E1140" s="148"/>
      <c r="F1140" s="148"/>
      <c r="G1140" s="148">
        <v>168639.0533</v>
      </c>
      <c r="H1140" s="148">
        <v>197041.4201</v>
      </c>
      <c r="I1140" s="146">
        <v>159763.3136</v>
      </c>
      <c r="J1140" s="148">
        <v>168639.0533</v>
      </c>
      <c r="K1140" s="148">
        <v>189940.8284</v>
      </c>
      <c r="L1140" s="148">
        <v>168639.0533</v>
      </c>
      <c r="M1140" s="148"/>
      <c r="N1140" s="148">
        <v>127810.6509</v>
      </c>
      <c r="O1140" s="148">
        <v>117159.7633</v>
      </c>
      <c r="P1140" s="148">
        <v>90532.54438</v>
      </c>
      <c r="Q1140" s="146">
        <v>97633.1361</v>
      </c>
      <c r="R1140" s="148">
        <v>104733.7278</v>
      </c>
      <c r="S1140" s="148">
        <v>115384.6154</v>
      </c>
    </row>
    <row r="1141">
      <c r="A1141" s="145">
        <v>70.625</v>
      </c>
      <c r="B1141" s="145">
        <f t="shared" si="1"/>
        <v>22811.875</v>
      </c>
      <c r="C1141" s="148">
        <v>127810.6509</v>
      </c>
      <c r="D1141" s="145">
        <v>143786.9822</v>
      </c>
      <c r="E1141" s="148"/>
      <c r="F1141" s="148"/>
      <c r="G1141" s="148">
        <v>168639.0533</v>
      </c>
      <c r="H1141" s="148">
        <v>197041.4201</v>
      </c>
      <c r="I1141" s="146">
        <v>159763.3136</v>
      </c>
      <c r="J1141" s="148">
        <v>168639.0533</v>
      </c>
      <c r="K1141" s="148">
        <v>189940.8284</v>
      </c>
      <c r="L1141" s="148">
        <v>168639.0533</v>
      </c>
      <c r="M1141" s="148"/>
      <c r="N1141" s="148">
        <v>127810.6509</v>
      </c>
      <c r="O1141" s="148">
        <v>117159.7633</v>
      </c>
      <c r="P1141" s="148">
        <v>90532.54438</v>
      </c>
      <c r="Q1141" s="146">
        <v>97633.1361</v>
      </c>
      <c r="R1141" s="148">
        <v>104733.7278</v>
      </c>
      <c r="S1141" s="148">
        <v>115384.6154</v>
      </c>
    </row>
    <row r="1142">
      <c r="A1142" s="145">
        <v>70.688</v>
      </c>
      <c r="B1142" s="145">
        <f t="shared" si="1"/>
        <v>22832.224</v>
      </c>
      <c r="C1142" s="148">
        <v>127810.6509</v>
      </c>
      <c r="D1142" s="145">
        <v>145562.1302</v>
      </c>
      <c r="E1142" s="148"/>
      <c r="F1142" s="148"/>
      <c r="G1142" s="148">
        <v>168639.0533</v>
      </c>
      <c r="H1142" s="148">
        <v>197041.4201</v>
      </c>
      <c r="I1142" s="146">
        <v>159763.3136</v>
      </c>
      <c r="J1142" s="148">
        <v>168639.0533</v>
      </c>
      <c r="K1142" s="148">
        <v>189940.8284</v>
      </c>
      <c r="L1142" s="148">
        <v>168639.0533</v>
      </c>
      <c r="M1142" s="148"/>
      <c r="N1142" s="148">
        <v>127810.6509</v>
      </c>
      <c r="O1142" s="148">
        <v>117159.7633</v>
      </c>
      <c r="P1142" s="148">
        <v>90532.54438</v>
      </c>
      <c r="Q1142" s="146">
        <v>97633.1361</v>
      </c>
      <c r="R1142" s="148">
        <v>104733.7278</v>
      </c>
      <c r="S1142" s="148">
        <v>115384.6154</v>
      </c>
    </row>
    <row r="1143">
      <c r="A1143" s="145">
        <v>70.75</v>
      </c>
      <c r="B1143" s="145">
        <f t="shared" si="1"/>
        <v>22852.25</v>
      </c>
      <c r="C1143" s="148">
        <v>127810.6509</v>
      </c>
      <c r="D1143" s="145">
        <v>145562.1302</v>
      </c>
      <c r="E1143" s="148"/>
      <c r="F1143" s="148"/>
      <c r="G1143" s="148">
        <v>170414.2012</v>
      </c>
      <c r="H1143" s="148">
        <v>197041.4201</v>
      </c>
      <c r="I1143" s="146">
        <v>159763.3136</v>
      </c>
      <c r="J1143" s="148">
        <v>168639.0533</v>
      </c>
      <c r="K1143" s="148">
        <v>189940.8284</v>
      </c>
      <c r="L1143" s="148">
        <v>168639.0533</v>
      </c>
      <c r="M1143" s="148"/>
      <c r="N1143" s="148">
        <v>127810.6509</v>
      </c>
      <c r="O1143" s="148">
        <v>117159.7633</v>
      </c>
      <c r="P1143" s="148">
        <v>90532.54438</v>
      </c>
      <c r="Q1143" s="146">
        <v>97633.1361</v>
      </c>
      <c r="R1143" s="148">
        <v>104733.7278</v>
      </c>
      <c r="S1143" s="148">
        <v>115384.6154</v>
      </c>
    </row>
    <row r="1144">
      <c r="A1144" s="145">
        <v>70.813</v>
      </c>
      <c r="B1144" s="145">
        <f t="shared" si="1"/>
        <v>22872.599</v>
      </c>
      <c r="C1144" s="148">
        <v>127810.6509</v>
      </c>
      <c r="D1144" s="145">
        <v>145562.1302</v>
      </c>
      <c r="E1144" s="148"/>
      <c r="F1144" s="148"/>
      <c r="G1144" s="148">
        <v>170414.2012</v>
      </c>
      <c r="H1144" s="148">
        <v>197041.4201</v>
      </c>
      <c r="I1144" s="146">
        <v>159763.3136</v>
      </c>
      <c r="J1144" s="148">
        <v>168639.0533</v>
      </c>
      <c r="K1144" s="148">
        <v>189940.8284</v>
      </c>
      <c r="L1144" s="148">
        <v>168639.0533</v>
      </c>
      <c r="M1144" s="148"/>
      <c r="N1144" s="148">
        <v>127810.6509</v>
      </c>
      <c r="O1144" s="148">
        <v>117159.7633</v>
      </c>
      <c r="P1144" s="148">
        <v>90532.54438</v>
      </c>
      <c r="Q1144" s="146">
        <v>97633.1361</v>
      </c>
      <c r="R1144" s="148">
        <v>104733.7278</v>
      </c>
      <c r="S1144" s="148">
        <v>115384.6154</v>
      </c>
    </row>
    <row r="1145">
      <c r="A1145" s="145">
        <v>70.875</v>
      </c>
      <c r="B1145" s="145">
        <f t="shared" si="1"/>
        <v>22892.625</v>
      </c>
      <c r="C1145" s="148">
        <v>127810.6509</v>
      </c>
      <c r="D1145" s="145">
        <v>145562.1302</v>
      </c>
      <c r="E1145" s="148"/>
      <c r="F1145" s="148"/>
      <c r="G1145" s="148">
        <v>170414.2012</v>
      </c>
      <c r="H1145" s="148">
        <v>197041.4201</v>
      </c>
      <c r="I1145" s="146">
        <v>159763.3136</v>
      </c>
      <c r="J1145" s="148">
        <v>168639.0533</v>
      </c>
      <c r="K1145" s="148">
        <v>189940.8284</v>
      </c>
      <c r="L1145" s="148">
        <v>168639.0533</v>
      </c>
      <c r="M1145" s="148"/>
      <c r="N1145" s="148">
        <v>127810.6509</v>
      </c>
      <c r="O1145" s="148">
        <v>117159.7633</v>
      </c>
      <c r="P1145" s="148">
        <v>90532.54438</v>
      </c>
      <c r="Q1145" s="146">
        <v>97633.1361</v>
      </c>
      <c r="R1145" s="148">
        <v>104733.7278</v>
      </c>
      <c r="S1145" s="148">
        <v>115384.6154</v>
      </c>
    </row>
    <row r="1146">
      <c r="A1146" s="145">
        <v>70.938</v>
      </c>
      <c r="B1146" s="145">
        <f t="shared" si="1"/>
        <v>22912.974</v>
      </c>
      <c r="C1146" s="148">
        <v>129585.7988</v>
      </c>
      <c r="D1146" s="145">
        <v>145562.1302</v>
      </c>
      <c r="E1146" s="148"/>
      <c r="F1146" s="148"/>
      <c r="G1146" s="148">
        <v>170414.2012</v>
      </c>
      <c r="H1146" s="148">
        <v>197041.4201</v>
      </c>
      <c r="I1146" s="146">
        <v>159763.3136</v>
      </c>
      <c r="J1146" s="148">
        <v>170414.2012</v>
      </c>
      <c r="K1146" s="148">
        <v>189940.8284</v>
      </c>
      <c r="L1146" s="148">
        <v>168639.0533</v>
      </c>
      <c r="M1146" s="148"/>
      <c r="N1146" s="148">
        <v>127810.6509</v>
      </c>
      <c r="O1146" s="148">
        <v>117159.7633</v>
      </c>
      <c r="P1146" s="148">
        <v>90532.54438</v>
      </c>
      <c r="Q1146" s="146">
        <v>97633.1361</v>
      </c>
      <c r="R1146" s="148">
        <v>104733.7278</v>
      </c>
      <c r="S1146" s="148">
        <v>115384.6154</v>
      </c>
    </row>
    <row r="1147">
      <c r="A1147" s="145">
        <v>71.016</v>
      </c>
      <c r="B1147" s="145">
        <f t="shared" si="1"/>
        <v>22938.168</v>
      </c>
      <c r="C1147" s="148">
        <v>129585.7988</v>
      </c>
      <c r="D1147" s="145">
        <v>145562.1302</v>
      </c>
      <c r="E1147" s="148"/>
      <c r="F1147" s="148"/>
      <c r="G1147" s="148">
        <v>170414.2012</v>
      </c>
      <c r="H1147" s="148">
        <v>200591.716</v>
      </c>
      <c r="I1147" s="146">
        <v>159763.3136</v>
      </c>
      <c r="J1147" s="148">
        <v>170414.2012</v>
      </c>
      <c r="K1147" s="148">
        <v>189940.8284</v>
      </c>
      <c r="L1147" s="148">
        <v>168639.0533</v>
      </c>
      <c r="M1147" s="148"/>
      <c r="N1147" s="148">
        <v>127810.6509</v>
      </c>
      <c r="O1147" s="148">
        <v>117159.7633</v>
      </c>
      <c r="P1147" s="148">
        <v>90532.54438</v>
      </c>
      <c r="Q1147" s="146">
        <v>97633.1361</v>
      </c>
      <c r="R1147" s="148">
        <v>104733.7278</v>
      </c>
      <c r="S1147" s="148">
        <v>115384.6154</v>
      </c>
    </row>
    <row r="1148">
      <c r="A1148" s="145">
        <v>71.063</v>
      </c>
      <c r="B1148" s="145">
        <f t="shared" si="1"/>
        <v>22953.349</v>
      </c>
      <c r="C1148" s="148">
        <v>129585.7988</v>
      </c>
      <c r="D1148" s="145">
        <v>145562.1302</v>
      </c>
      <c r="E1148" s="148"/>
      <c r="F1148" s="148"/>
      <c r="G1148" s="148">
        <v>170414.2012</v>
      </c>
      <c r="H1148" s="148">
        <v>200591.716</v>
      </c>
      <c r="I1148" s="146">
        <v>159763.3136</v>
      </c>
      <c r="J1148" s="148">
        <v>170414.2012</v>
      </c>
      <c r="K1148" s="148">
        <v>189940.8284</v>
      </c>
      <c r="L1148" s="148">
        <v>168639.0533</v>
      </c>
      <c r="M1148" s="148"/>
      <c r="N1148" s="148">
        <v>127810.6509</v>
      </c>
      <c r="O1148" s="148">
        <v>117159.7633</v>
      </c>
      <c r="P1148" s="148">
        <v>90532.54438</v>
      </c>
      <c r="Q1148" s="146">
        <v>97633.1361</v>
      </c>
      <c r="R1148" s="148">
        <v>104733.7278</v>
      </c>
      <c r="S1148" s="148">
        <v>115384.6154</v>
      </c>
    </row>
    <row r="1149">
      <c r="A1149" s="145">
        <v>71.125</v>
      </c>
      <c r="B1149" s="145">
        <f t="shared" si="1"/>
        <v>22973.375</v>
      </c>
      <c r="C1149" s="148">
        <v>129585.7988</v>
      </c>
      <c r="D1149" s="145">
        <v>145562.1302</v>
      </c>
      <c r="E1149" s="148"/>
      <c r="F1149" s="148"/>
      <c r="G1149" s="148">
        <v>170414.2012</v>
      </c>
      <c r="H1149" s="148">
        <v>200591.716</v>
      </c>
      <c r="I1149" s="146">
        <v>159763.3136</v>
      </c>
      <c r="J1149" s="148">
        <v>170414.2012</v>
      </c>
      <c r="K1149" s="148">
        <v>189940.8284</v>
      </c>
      <c r="L1149" s="148">
        <v>168639.0533</v>
      </c>
      <c r="M1149" s="148"/>
      <c r="N1149" s="148">
        <v>127810.6509</v>
      </c>
      <c r="O1149" s="148">
        <v>117159.7633</v>
      </c>
      <c r="P1149" s="148">
        <v>90532.54438</v>
      </c>
      <c r="Q1149" s="146">
        <v>97633.1361</v>
      </c>
      <c r="R1149" s="148">
        <v>104733.7278</v>
      </c>
      <c r="S1149" s="148">
        <v>115384.6154</v>
      </c>
    </row>
    <row r="1150">
      <c r="A1150" s="145">
        <v>71.188</v>
      </c>
      <c r="B1150" s="145">
        <f t="shared" si="1"/>
        <v>22993.724</v>
      </c>
      <c r="C1150" s="148">
        <v>129585.7988</v>
      </c>
      <c r="D1150" s="145">
        <v>145562.1302</v>
      </c>
      <c r="E1150" s="148"/>
      <c r="F1150" s="148"/>
      <c r="G1150" s="148">
        <v>170414.2012</v>
      </c>
      <c r="H1150" s="148">
        <v>200591.716</v>
      </c>
      <c r="I1150" s="146">
        <v>159763.3136</v>
      </c>
      <c r="J1150" s="148">
        <v>170414.2012</v>
      </c>
      <c r="K1150" s="148">
        <v>189940.8284</v>
      </c>
      <c r="L1150" s="148">
        <v>168639.0533</v>
      </c>
      <c r="M1150" s="148"/>
      <c r="N1150" s="148">
        <v>127810.6509</v>
      </c>
      <c r="O1150" s="148">
        <v>117159.7633</v>
      </c>
      <c r="P1150" s="148">
        <v>90532.54438</v>
      </c>
      <c r="Q1150" s="146">
        <v>97633.1361</v>
      </c>
      <c r="R1150" s="148">
        <v>104733.7278</v>
      </c>
      <c r="S1150" s="148">
        <v>115384.6154</v>
      </c>
    </row>
    <row r="1151">
      <c r="A1151" s="145">
        <v>71.25</v>
      </c>
      <c r="B1151" s="145">
        <f t="shared" si="1"/>
        <v>23013.75</v>
      </c>
      <c r="C1151" s="148">
        <v>129585.7988</v>
      </c>
      <c r="D1151" s="145">
        <v>145562.1302</v>
      </c>
      <c r="E1151" s="148"/>
      <c r="F1151" s="148"/>
      <c r="G1151" s="148">
        <v>170414.2012</v>
      </c>
      <c r="H1151" s="148">
        <v>200591.716</v>
      </c>
      <c r="I1151" s="146">
        <v>159763.3136</v>
      </c>
      <c r="J1151" s="148">
        <v>170414.2012</v>
      </c>
      <c r="K1151" s="148">
        <v>189940.8284</v>
      </c>
      <c r="L1151" s="148">
        <v>168639.0533</v>
      </c>
      <c r="M1151" s="148"/>
      <c r="N1151" s="148">
        <v>127810.6509</v>
      </c>
      <c r="O1151" s="148">
        <v>117159.7633</v>
      </c>
      <c r="P1151" s="148">
        <v>90532.54438</v>
      </c>
      <c r="Q1151" s="146">
        <v>97633.1361</v>
      </c>
      <c r="R1151" s="148">
        <v>104733.7278</v>
      </c>
      <c r="S1151" s="148">
        <v>115384.6154</v>
      </c>
    </row>
    <row r="1152">
      <c r="A1152" s="145">
        <v>71.313</v>
      </c>
      <c r="B1152" s="145">
        <f t="shared" si="1"/>
        <v>23034.099</v>
      </c>
      <c r="C1152" s="148">
        <v>129585.7988</v>
      </c>
      <c r="D1152" s="145">
        <v>145562.1302</v>
      </c>
      <c r="E1152" s="148"/>
      <c r="F1152" s="148"/>
      <c r="G1152" s="148">
        <v>170414.2012</v>
      </c>
      <c r="H1152" s="148">
        <v>200591.716</v>
      </c>
      <c r="I1152" s="146">
        <v>159763.3136</v>
      </c>
      <c r="J1152" s="148">
        <v>170414.2012</v>
      </c>
      <c r="K1152" s="148">
        <v>189940.8284</v>
      </c>
      <c r="L1152" s="148">
        <v>170414.2012</v>
      </c>
      <c r="M1152" s="148"/>
      <c r="N1152" s="148">
        <v>127810.6509</v>
      </c>
      <c r="O1152" s="148">
        <v>117159.7633</v>
      </c>
      <c r="P1152" s="148">
        <v>90532.54438</v>
      </c>
      <c r="Q1152" s="146">
        <v>99408.28402</v>
      </c>
      <c r="R1152" s="148">
        <v>104733.7278</v>
      </c>
      <c r="S1152" s="148">
        <v>115384.6154</v>
      </c>
    </row>
    <row r="1153">
      <c r="A1153" s="145">
        <v>71.375</v>
      </c>
      <c r="B1153" s="145">
        <f t="shared" si="1"/>
        <v>23054.125</v>
      </c>
      <c r="C1153" s="148">
        <v>129585.7988</v>
      </c>
      <c r="D1153" s="145">
        <v>145562.1302</v>
      </c>
      <c r="E1153" s="148"/>
      <c r="F1153" s="148"/>
      <c r="G1153" s="148">
        <v>170414.2012</v>
      </c>
      <c r="H1153" s="148">
        <v>200591.716</v>
      </c>
      <c r="I1153" s="146">
        <v>159763.3136</v>
      </c>
      <c r="J1153" s="148">
        <v>170414.2012</v>
      </c>
      <c r="K1153" s="148">
        <v>189940.8284</v>
      </c>
      <c r="L1153" s="148">
        <v>170414.2012</v>
      </c>
      <c r="M1153" s="148"/>
      <c r="N1153" s="148">
        <v>127810.6509</v>
      </c>
      <c r="O1153" s="148">
        <v>117159.7633</v>
      </c>
      <c r="P1153" s="148">
        <v>90532.54438</v>
      </c>
      <c r="Q1153" s="146">
        <v>99408.28402</v>
      </c>
      <c r="R1153" s="148">
        <v>104733.7278</v>
      </c>
      <c r="S1153" s="148">
        <v>115384.6154</v>
      </c>
    </row>
    <row r="1154">
      <c r="A1154" s="145">
        <v>71.438</v>
      </c>
      <c r="B1154" s="145">
        <f t="shared" si="1"/>
        <v>23074.474</v>
      </c>
      <c r="C1154" s="148">
        <v>131360.9467</v>
      </c>
      <c r="D1154" s="145">
        <v>145562.1302</v>
      </c>
      <c r="E1154" s="148"/>
      <c r="F1154" s="148"/>
      <c r="G1154" s="148">
        <v>170414.2012</v>
      </c>
      <c r="H1154" s="148">
        <v>200591.716</v>
      </c>
      <c r="I1154" s="146">
        <v>159763.3136</v>
      </c>
      <c r="J1154" s="148">
        <v>170414.2012</v>
      </c>
      <c r="K1154" s="148">
        <v>189940.8284</v>
      </c>
      <c r="L1154" s="148">
        <v>170414.2012</v>
      </c>
      <c r="M1154" s="148"/>
      <c r="N1154" s="148">
        <v>127810.6509</v>
      </c>
      <c r="O1154" s="148">
        <v>117159.7633</v>
      </c>
      <c r="P1154" s="148">
        <v>90532.54438</v>
      </c>
      <c r="Q1154" s="146">
        <v>99408.28402</v>
      </c>
      <c r="R1154" s="148">
        <v>106508.8757</v>
      </c>
      <c r="S1154" s="148">
        <v>115384.6154</v>
      </c>
    </row>
    <row r="1155">
      <c r="A1155" s="145">
        <v>71.5</v>
      </c>
      <c r="B1155" s="145">
        <f t="shared" si="1"/>
        <v>23094.5</v>
      </c>
      <c r="C1155" s="148"/>
      <c r="D1155" s="145">
        <v>145562.1302</v>
      </c>
      <c r="E1155" s="148"/>
      <c r="F1155" s="148"/>
      <c r="G1155" s="148">
        <v>170414.2012</v>
      </c>
      <c r="H1155" s="148">
        <v>200591.716</v>
      </c>
      <c r="I1155" s="146">
        <v>159763.3136</v>
      </c>
      <c r="J1155" s="148">
        <v>170414.2012</v>
      </c>
      <c r="K1155" s="148">
        <v>189940.8284</v>
      </c>
      <c r="L1155" s="148">
        <v>170414.2012</v>
      </c>
      <c r="M1155" s="148"/>
      <c r="N1155" s="148">
        <v>127810.6509</v>
      </c>
      <c r="O1155" s="148">
        <v>117159.7633</v>
      </c>
      <c r="P1155" s="148">
        <v>90532.54438</v>
      </c>
      <c r="Q1155" s="146">
        <v>99408.28402</v>
      </c>
      <c r="R1155" s="148">
        <v>106508.8757</v>
      </c>
      <c r="S1155" s="148">
        <v>115384.6154</v>
      </c>
    </row>
    <row r="1156">
      <c r="A1156" s="145">
        <v>71.563</v>
      </c>
      <c r="B1156" s="145">
        <f t="shared" si="1"/>
        <v>23114.849</v>
      </c>
      <c r="C1156" s="148"/>
      <c r="D1156" s="145">
        <v>145562.1302</v>
      </c>
      <c r="E1156" s="148"/>
      <c r="F1156" s="148"/>
      <c r="G1156" s="148">
        <v>170414.2012</v>
      </c>
      <c r="H1156" s="148">
        <v>200591.716</v>
      </c>
      <c r="I1156" s="146">
        <v>159763.3136</v>
      </c>
      <c r="J1156" s="148">
        <v>170414.2012</v>
      </c>
      <c r="K1156" s="148">
        <v>189940.8284</v>
      </c>
      <c r="L1156" s="148">
        <v>170414.2012</v>
      </c>
      <c r="M1156" s="148"/>
      <c r="N1156" s="148">
        <v>127810.6509</v>
      </c>
      <c r="O1156" s="148">
        <v>117159.7633</v>
      </c>
      <c r="P1156" s="148">
        <v>90532.54438</v>
      </c>
      <c r="Q1156" s="146">
        <v>99408.28402</v>
      </c>
      <c r="R1156" s="148">
        <v>106508.8757</v>
      </c>
      <c r="S1156" s="148">
        <v>117159.7633</v>
      </c>
    </row>
    <row r="1157">
      <c r="A1157" s="145">
        <v>71.625</v>
      </c>
      <c r="B1157" s="145">
        <f t="shared" si="1"/>
        <v>23134.875</v>
      </c>
      <c r="C1157" s="148"/>
      <c r="D1157" s="145">
        <v>145562.1302</v>
      </c>
      <c r="E1157" s="148"/>
      <c r="F1157" s="148"/>
      <c r="G1157" s="148">
        <v>172189.3491</v>
      </c>
      <c r="H1157" s="148">
        <v>200591.716</v>
      </c>
      <c r="I1157" s="146">
        <v>159763.3136</v>
      </c>
      <c r="J1157" s="148">
        <v>170414.2012</v>
      </c>
      <c r="K1157" s="148">
        <v>189940.8284</v>
      </c>
      <c r="L1157" s="148">
        <v>170414.2012</v>
      </c>
      <c r="M1157" s="148"/>
      <c r="N1157" s="148">
        <v>127810.6509</v>
      </c>
      <c r="O1157" s="148">
        <v>117159.7633</v>
      </c>
      <c r="P1157" s="148">
        <v>90532.54438</v>
      </c>
      <c r="Q1157" s="146">
        <v>99408.28402</v>
      </c>
      <c r="R1157" s="148">
        <v>106508.8757</v>
      </c>
      <c r="S1157" s="148">
        <v>117159.7633</v>
      </c>
    </row>
    <row r="1158">
      <c r="A1158" s="145">
        <v>71.688</v>
      </c>
      <c r="B1158" s="145">
        <f t="shared" si="1"/>
        <v>23155.224</v>
      </c>
      <c r="C1158" s="148"/>
      <c r="D1158" s="145">
        <v>145562.1302</v>
      </c>
      <c r="E1158" s="148"/>
      <c r="F1158" s="148"/>
      <c r="G1158" s="148">
        <v>172189.3491</v>
      </c>
      <c r="H1158" s="148">
        <v>200591.716</v>
      </c>
      <c r="I1158" s="146">
        <v>159763.3136</v>
      </c>
      <c r="J1158" s="148">
        <v>170414.2012</v>
      </c>
      <c r="K1158" s="148">
        <v>189940.8284</v>
      </c>
      <c r="L1158" s="148">
        <v>170414.2012</v>
      </c>
      <c r="M1158" s="148"/>
      <c r="N1158" s="148">
        <v>127810.6509</v>
      </c>
      <c r="O1158" s="148">
        <v>117159.7633</v>
      </c>
      <c r="P1158" s="148">
        <v>90532.54438</v>
      </c>
      <c r="Q1158" s="146">
        <v>99408.28402</v>
      </c>
      <c r="R1158" s="148">
        <v>106508.8757</v>
      </c>
      <c r="S1158" s="148">
        <v>117159.7633</v>
      </c>
    </row>
    <row r="1159">
      <c r="A1159" s="145">
        <v>71.75</v>
      </c>
      <c r="B1159" s="145">
        <f t="shared" si="1"/>
        <v>23175.25</v>
      </c>
      <c r="C1159" s="148"/>
      <c r="D1159" s="145">
        <v>145562.1302</v>
      </c>
      <c r="E1159" s="148"/>
      <c r="F1159" s="148"/>
      <c r="G1159" s="148">
        <v>172189.3491</v>
      </c>
      <c r="H1159" s="148">
        <v>200591.716</v>
      </c>
      <c r="I1159" s="146">
        <v>159763.3136</v>
      </c>
      <c r="J1159" s="148">
        <v>170414.2012</v>
      </c>
      <c r="K1159" s="148">
        <v>189940.8284</v>
      </c>
      <c r="L1159" s="148">
        <v>170414.2012</v>
      </c>
      <c r="M1159" s="148"/>
      <c r="N1159" s="148">
        <v>127810.6509</v>
      </c>
      <c r="O1159" s="148">
        <v>117159.7633</v>
      </c>
      <c r="P1159" s="148">
        <v>90532.54438</v>
      </c>
      <c r="Q1159" s="146">
        <v>99408.28402</v>
      </c>
      <c r="R1159" s="148">
        <v>106508.8757</v>
      </c>
      <c r="S1159" s="148">
        <v>117159.7633</v>
      </c>
    </row>
    <row r="1160">
      <c r="A1160" s="145">
        <v>71.813</v>
      </c>
      <c r="B1160" s="145">
        <f t="shared" si="1"/>
        <v>23195.599</v>
      </c>
      <c r="C1160" s="148"/>
      <c r="D1160" s="145">
        <v>147337.2781</v>
      </c>
      <c r="E1160" s="148"/>
      <c r="F1160" s="148"/>
      <c r="G1160" s="148">
        <v>172189.3491</v>
      </c>
      <c r="H1160" s="148">
        <v>200591.716</v>
      </c>
      <c r="I1160" s="146">
        <v>159763.3136</v>
      </c>
      <c r="J1160" s="148">
        <v>170414.2012</v>
      </c>
      <c r="K1160" s="148">
        <v>191715.9763</v>
      </c>
      <c r="L1160" s="148">
        <v>170414.2012</v>
      </c>
      <c r="M1160" s="148"/>
      <c r="N1160" s="148">
        <v>127810.6509</v>
      </c>
      <c r="O1160" s="148">
        <v>117159.7633</v>
      </c>
      <c r="P1160" s="148">
        <v>92307.69231</v>
      </c>
      <c r="Q1160" s="146">
        <v>99408.28402</v>
      </c>
      <c r="R1160" s="148">
        <v>106508.8757</v>
      </c>
      <c r="S1160" s="148">
        <v>117159.7633</v>
      </c>
    </row>
    <row r="1161">
      <c r="A1161" s="145">
        <v>71.875</v>
      </c>
      <c r="B1161" s="145">
        <f t="shared" si="1"/>
        <v>23215.625</v>
      </c>
      <c r="C1161" s="148"/>
      <c r="D1161" s="145">
        <v>147337.2781</v>
      </c>
      <c r="E1161" s="148"/>
      <c r="F1161" s="148"/>
      <c r="G1161" s="148">
        <v>172189.3491</v>
      </c>
      <c r="H1161" s="148">
        <v>200591.716</v>
      </c>
      <c r="I1161" s="146">
        <v>159763.3136</v>
      </c>
      <c r="J1161" s="148">
        <v>170414.2012</v>
      </c>
      <c r="K1161" s="148">
        <v>191715.9763</v>
      </c>
      <c r="L1161" s="148">
        <v>170414.2012</v>
      </c>
      <c r="M1161" s="148"/>
      <c r="N1161" s="148">
        <v>127810.6509</v>
      </c>
      <c r="O1161" s="148">
        <v>117159.7633</v>
      </c>
      <c r="P1161" s="148">
        <v>92307.69231</v>
      </c>
      <c r="Q1161" s="146">
        <v>99408.28402</v>
      </c>
      <c r="R1161" s="148">
        <v>106508.8757</v>
      </c>
      <c r="S1161" s="148">
        <v>117159.7633</v>
      </c>
    </row>
    <row r="1162">
      <c r="A1162" s="145">
        <v>71.938</v>
      </c>
      <c r="B1162" s="145">
        <f t="shared" si="1"/>
        <v>23235.974</v>
      </c>
      <c r="C1162" s="148"/>
      <c r="D1162" s="145">
        <v>147337.2781</v>
      </c>
      <c r="E1162" s="148"/>
      <c r="F1162" s="148"/>
      <c r="G1162" s="148">
        <v>172189.3491</v>
      </c>
      <c r="H1162" s="148">
        <v>200591.716</v>
      </c>
      <c r="I1162" s="146">
        <v>159763.3136</v>
      </c>
      <c r="J1162" s="148">
        <v>172189.3491</v>
      </c>
      <c r="K1162" s="148">
        <v>191715.9763</v>
      </c>
      <c r="L1162" s="148">
        <v>170414.2012</v>
      </c>
      <c r="M1162" s="148"/>
      <c r="N1162" s="148">
        <v>127810.6509</v>
      </c>
      <c r="O1162" s="148">
        <v>117159.7633</v>
      </c>
      <c r="P1162" s="148">
        <v>92307.69231</v>
      </c>
      <c r="Q1162" s="146">
        <v>99408.28402</v>
      </c>
      <c r="R1162" s="148">
        <v>106508.8757</v>
      </c>
      <c r="S1162" s="148">
        <v>117159.7633</v>
      </c>
    </row>
    <row r="1163">
      <c r="A1163" s="145">
        <v>72.0</v>
      </c>
      <c r="B1163" s="145">
        <f t="shared" si="1"/>
        <v>23256</v>
      </c>
      <c r="C1163" s="148"/>
      <c r="D1163" s="145">
        <v>147337.2781</v>
      </c>
      <c r="E1163" s="148"/>
      <c r="F1163" s="148"/>
      <c r="G1163" s="148">
        <v>172189.3491</v>
      </c>
      <c r="H1163" s="148">
        <v>200591.716</v>
      </c>
      <c r="I1163" s="146">
        <v>161538.4615</v>
      </c>
      <c r="J1163" s="148">
        <v>172189.3491</v>
      </c>
      <c r="K1163" s="148">
        <v>191715.9763</v>
      </c>
      <c r="L1163" s="148">
        <v>170414.2012</v>
      </c>
      <c r="M1163" s="148"/>
      <c r="N1163" s="148">
        <v>127810.6509</v>
      </c>
      <c r="O1163" s="148">
        <v>117159.7633</v>
      </c>
      <c r="P1163" s="148">
        <v>92307.69231</v>
      </c>
      <c r="Q1163" s="146">
        <v>99408.28402</v>
      </c>
      <c r="R1163" s="148">
        <v>106508.8757</v>
      </c>
      <c r="S1163" s="148">
        <v>117159.7633</v>
      </c>
    </row>
    <row r="1164">
      <c r="A1164" s="145">
        <v>72.079</v>
      </c>
      <c r="B1164" s="145">
        <f t="shared" si="1"/>
        <v>23281.517</v>
      </c>
      <c r="C1164" s="148"/>
      <c r="D1164" s="145">
        <v>147337.2781</v>
      </c>
      <c r="E1164" s="148"/>
      <c r="F1164" s="148"/>
      <c r="G1164" s="148">
        <v>172189.3491</v>
      </c>
      <c r="H1164" s="148">
        <v>200591.716</v>
      </c>
      <c r="I1164" s="146">
        <v>161538.4615</v>
      </c>
      <c r="J1164" s="148">
        <v>172189.3491</v>
      </c>
      <c r="K1164" s="148">
        <v>191715.9763</v>
      </c>
      <c r="L1164" s="148">
        <v>170414.2012</v>
      </c>
      <c r="M1164" s="148"/>
      <c r="N1164" s="148">
        <v>127810.6509</v>
      </c>
      <c r="O1164" s="148">
        <v>117159.7633</v>
      </c>
      <c r="P1164" s="148">
        <v>92307.69231</v>
      </c>
      <c r="Q1164" s="146">
        <v>99408.28402</v>
      </c>
      <c r="R1164" s="148">
        <v>106508.8757</v>
      </c>
      <c r="S1164" s="148">
        <v>117159.7633</v>
      </c>
    </row>
    <row r="1165">
      <c r="A1165" s="145">
        <v>72.125</v>
      </c>
      <c r="B1165" s="145">
        <f t="shared" si="1"/>
        <v>23296.375</v>
      </c>
      <c r="C1165" s="148"/>
      <c r="D1165" s="145">
        <v>147337.2781</v>
      </c>
      <c r="E1165" s="148"/>
      <c r="F1165" s="148"/>
      <c r="G1165" s="148">
        <v>172189.3491</v>
      </c>
      <c r="H1165" s="148">
        <v>204142.0118</v>
      </c>
      <c r="I1165" s="146">
        <v>161538.4615</v>
      </c>
      <c r="J1165" s="148">
        <v>172189.3491</v>
      </c>
      <c r="K1165" s="148">
        <v>195266.2722</v>
      </c>
      <c r="L1165" s="148">
        <v>170414.2012</v>
      </c>
      <c r="M1165" s="148"/>
      <c r="N1165" s="148">
        <v>127810.6509</v>
      </c>
      <c r="O1165" s="148">
        <v>117159.7633</v>
      </c>
      <c r="P1165" s="148">
        <v>92307.69231</v>
      </c>
      <c r="Q1165" s="146">
        <v>99408.28402</v>
      </c>
      <c r="R1165" s="148">
        <v>106508.8757</v>
      </c>
      <c r="S1165" s="148">
        <v>117159.7633</v>
      </c>
    </row>
    <row r="1166">
      <c r="A1166" s="145">
        <v>72.188</v>
      </c>
      <c r="B1166" s="145">
        <f t="shared" si="1"/>
        <v>23316.724</v>
      </c>
      <c r="C1166" s="148"/>
      <c r="D1166" s="145">
        <v>147337.2781</v>
      </c>
      <c r="E1166" s="148"/>
      <c r="F1166" s="148"/>
      <c r="G1166" s="148">
        <v>172189.3491</v>
      </c>
      <c r="H1166" s="148">
        <v>204142.0118</v>
      </c>
      <c r="I1166" s="146">
        <v>161538.4615</v>
      </c>
      <c r="J1166" s="148">
        <v>172189.3491</v>
      </c>
      <c r="K1166" s="148">
        <v>195266.2722</v>
      </c>
      <c r="L1166" s="148">
        <v>170414.2012</v>
      </c>
      <c r="M1166" s="148"/>
      <c r="N1166" s="148">
        <v>127810.6509</v>
      </c>
      <c r="O1166" s="148">
        <v>117159.7633</v>
      </c>
      <c r="P1166" s="148">
        <v>92307.69231</v>
      </c>
      <c r="Q1166" s="146">
        <v>99408.28402</v>
      </c>
      <c r="R1166" s="148">
        <v>108284.0237</v>
      </c>
      <c r="S1166" s="148">
        <v>117159.7633</v>
      </c>
    </row>
    <row r="1167">
      <c r="A1167" s="145">
        <v>72.266</v>
      </c>
      <c r="B1167" s="145">
        <f t="shared" si="1"/>
        <v>23341.918</v>
      </c>
      <c r="C1167" s="148"/>
      <c r="D1167" s="145">
        <v>147337.2781</v>
      </c>
      <c r="E1167" s="148"/>
      <c r="F1167" s="148"/>
      <c r="G1167" s="148">
        <v>173964.497</v>
      </c>
      <c r="H1167" s="148">
        <v>204142.0118</v>
      </c>
      <c r="I1167" s="146">
        <v>161538.4615</v>
      </c>
      <c r="J1167" s="148">
        <v>172189.3491</v>
      </c>
      <c r="K1167" s="148">
        <v>195266.2722</v>
      </c>
      <c r="L1167" s="148">
        <v>170414.2012</v>
      </c>
      <c r="M1167" s="148"/>
      <c r="N1167" s="148">
        <v>127810.6509</v>
      </c>
      <c r="O1167" s="148">
        <v>117159.7633</v>
      </c>
      <c r="P1167" s="148">
        <v>92307.69231</v>
      </c>
      <c r="Q1167" s="146">
        <v>101183.432</v>
      </c>
      <c r="R1167" s="148">
        <v>108284.0237</v>
      </c>
      <c r="S1167" s="148">
        <v>117159.7633</v>
      </c>
    </row>
    <row r="1168">
      <c r="A1168" s="145">
        <v>72.313</v>
      </c>
      <c r="B1168" s="145">
        <f t="shared" si="1"/>
        <v>23357.099</v>
      </c>
      <c r="C1168" s="148"/>
      <c r="D1168" s="145">
        <v>147337.2781</v>
      </c>
      <c r="E1168" s="148"/>
      <c r="F1168" s="148"/>
      <c r="G1168" s="148">
        <v>173964.497</v>
      </c>
      <c r="H1168" s="148">
        <v>204142.0118</v>
      </c>
      <c r="I1168" s="146">
        <v>161538.4615</v>
      </c>
      <c r="J1168" s="148">
        <v>172189.3491</v>
      </c>
      <c r="K1168" s="148">
        <v>195266.2722</v>
      </c>
      <c r="L1168" s="148">
        <v>170414.2012</v>
      </c>
      <c r="M1168" s="148"/>
      <c r="N1168" s="148">
        <v>127810.6509</v>
      </c>
      <c r="O1168" s="148">
        <v>118934.9112</v>
      </c>
      <c r="P1168" s="148">
        <v>92307.69231</v>
      </c>
      <c r="Q1168" s="146">
        <v>101183.432</v>
      </c>
      <c r="R1168" s="148">
        <v>108284.0237</v>
      </c>
      <c r="S1168" s="148">
        <v>117159.7633</v>
      </c>
    </row>
    <row r="1169">
      <c r="A1169" s="145">
        <v>72.375</v>
      </c>
      <c r="B1169" s="145">
        <f t="shared" si="1"/>
        <v>23377.125</v>
      </c>
      <c r="C1169" s="148"/>
      <c r="D1169" s="145">
        <v>147337.2781</v>
      </c>
      <c r="E1169" s="148"/>
      <c r="F1169" s="148"/>
      <c r="G1169" s="148">
        <v>173964.497</v>
      </c>
      <c r="H1169" s="148">
        <v>204142.0118</v>
      </c>
      <c r="I1169" s="146">
        <v>161538.4615</v>
      </c>
      <c r="J1169" s="148">
        <v>172189.3491</v>
      </c>
      <c r="K1169" s="148">
        <v>195266.2722</v>
      </c>
      <c r="L1169" s="148">
        <v>170414.2012</v>
      </c>
      <c r="M1169" s="148"/>
      <c r="N1169" s="148">
        <v>127810.6509</v>
      </c>
      <c r="O1169" s="148">
        <v>118934.9112</v>
      </c>
      <c r="P1169" s="148">
        <v>92307.69231</v>
      </c>
      <c r="Q1169" s="146">
        <v>101183.432</v>
      </c>
      <c r="R1169" s="148">
        <v>108284.0237</v>
      </c>
      <c r="S1169" s="148">
        <v>117159.7633</v>
      </c>
    </row>
    <row r="1170">
      <c r="A1170" s="145">
        <v>72.454</v>
      </c>
      <c r="B1170" s="145">
        <f t="shared" si="1"/>
        <v>23402.642</v>
      </c>
      <c r="C1170" s="148"/>
      <c r="D1170" s="145">
        <v>147337.2781</v>
      </c>
      <c r="E1170" s="148"/>
      <c r="F1170" s="148"/>
      <c r="G1170" s="148">
        <v>173964.497</v>
      </c>
      <c r="H1170" s="148">
        <v>204142.0118</v>
      </c>
      <c r="I1170" s="146">
        <v>161538.4615</v>
      </c>
      <c r="J1170" s="148">
        <v>172189.3491</v>
      </c>
      <c r="K1170" s="148">
        <v>195266.2722</v>
      </c>
      <c r="L1170" s="148">
        <v>170414.2012</v>
      </c>
      <c r="M1170" s="148"/>
      <c r="N1170" s="148">
        <v>127810.6509</v>
      </c>
      <c r="O1170" s="148">
        <v>118934.9112</v>
      </c>
      <c r="P1170" s="148">
        <v>92307.69231</v>
      </c>
      <c r="Q1170" s="146">
        <v>101183.432</v>
      </c>
      <c r="R1170" s="148">
        <v>108284.0237</v>
      </c>
      <c r="S1170" s="148">
        <v>117159.7633</v>
      </c>
    </row>
    <row r="1171">
      <c r="A1171" s="145">
        <v>72.5</v>
      </c>
      <c r="B1171" s="145">
        <f t="shared" si="1"/>
        <v>23417.5</v>
      </c>
      <c r="C1171" s="148"/>
      <c r="D1171" s="145">
        <v>147337.2781</v>
      </c>
      <c r="E1171" s="148"/>
      <c r="F1171" s="148"/>
      <c r="G1171" s="148">
        <v>173964.497</v>
      </c>
      <c r="H1171" s="148">
        <v>204142.0118</v>
      </c>
      <c r="I1171" s="146">
        <v>161538.4615</v>
      </c>
      <c r="J1171" s="148">
        <v>172189.3491</v>
      </c>
      <c r="K1171" s="148">
        <v>195266.2722</v>
      </c>
      <c r="L1171" s="148">
        <v>170414.2012</v>
      </c>
      <c r="M1171" s="148"/>
      <c r="N1171" s="148">
        <v>127810.6509</v>
      </c>
      <c r="O1171" s="148">
        <v>118934.9112</v>
      </c>
      <c r="P1171" s="148">
        <v>94082.84024</v>
      </c>
      <c r="Q1171" s="146">
        <v>101183.432</v>
      </c>
      <c r="R1171" s="148">
        <v>108284.0237</v>
      </c>
      <c r="S1171" s="148">
        <v>117159.7633</v>
      </c>
    </row>
    <row r="1172">
      <c r="A1172" s="145">
        <v>72.563</v>
      </c>
      <c r="B1172" s="145">
        <f t="shared" si="1"/>
        <v>23437.849</v>
      </c>
      <c r="C1172" s="148"/>
      <c r="D1172" s="145">
        <v>149112.426</v>
      </c>
      <c r="E1172" s="148"/>
      <c r="F1172" s="148"/>
      <c r="G1172" s="148">
        <v>173964.497</v>
      </c>
      <c r="H1172" s="148">
        <v>204142.0118</v>
      </c>
      <c r="I1172" s="146">
        <v>161538.4615</v>
      </c>
      <c r="J1172" s="148">
        <v>172189.3491</v>
      </c>
      <c r="K1172" s="148">
        <v>195266.2722</v>
      </c>
      <c r="L1172" s="148">
        <v>170414.2012</v>
      </c>
      <c r="M1172" s="148"/>
      <c r="N1172" s="148">
        <v>127810.6509</v>
      </c>
      <c r="O1172" s="148">
        <v>118934.9112</v>
      </c>
      <c r="P1172" s="148">
        <v>94082.84024</v>
      </c>
      <c r="Q1172" s="146">
        <v>101183.432</v>
      </c>
      <c r="R1172" s="148">
        <v>108284.0237</v>
      </c>
      <c r="S1172" s="148">
        <v>117159.7633</v>
      </c>
    </row>
    <row r="1173">
      <c r="A1173" s="145">
        <v>72.625</v>
      </c>
      <c r="B1173" s="145">
        <f t="shared" si="1"/>
        <v>23457.875</v>
      </c>
      <c r="C1173" s="148"/>
      <c r="D1173" s="145">
        <v>149112.426</v>
      </c>
      <c r="E1173" s="148"/>
      <c r="F1173" s="148"/>
      <c r="G1173" s="148">
        <v>173964.497</v>
      </c>
      <c r="H1173" s="148">
        <v>204142.0118</v>
      </c>
      <c r="I1173" s="146">
        <v>161538.4615</v>
      </c>
      <c r="J1173" s="148">
        <v>172189.3491</v>
      </c>
      <c r="K1173" s="148">
        <v>195266.2722</v>
      </c>
      <c r="L1173" s="148">
        <v>170414.2012</v>
      </c>
      <c r="M1173" s="148"/>
      <c r="N1173" s="148">
        <v>127810.6509</v>
      </c>
      <c r="O1173" s="148">
        <v>118934.9112</v>
      </c>
      <c r="P1173" s="148">
        <v>94082.84024</v>
      </c>
      <c r="Q1173" s="146">
        <v>101183.432</v>
      </c>
      <c r="R1173" s="148">
        <v>108284.0237</v>
      </c>
      <c r="S1173" s="148">
        <v>117159.7633</v>
      </c>
    </row>
    <row r="1174">
      <c r="A1174" s="145">
        <v>72.688</v>
      </c>
      <c r="B1174" s="145">
        <f t="shared" si="1"/>
        <v>23478.224</v>
      </c>
      <c r="C1174" s="148"/>
      <c r="D1174" s="145">
        <v>149112.426</v>
      </c>
      <c r="E1174" s="148"/>
      <c r="F1174" s="148"/>
      <c r="G1174" s="148">
        <v>173964.497</v>
      </c>
      <c r="H1174" s="148">
        <v>204142.0118</v>
      </c>
      <c r="I1174" s="146">
        <v>161538.4615</v>
      </c>
      <c r="J1174" s="148">
        <v>172189.3491</v>
      </c>
      <c r="K1174" s="148">
        <v>195266.2722</v>
      </c>
      <c r="L1174" s="148">
        <v>170414.2012</v>
      </c>
      <c r="M1174" s="148"/>
      <c r="N1174" s="148">
        <v>127810.6509</v>
      </c>
      <c r="O1174" s="148">
        <v>118934.9112</v>
      </c>
      <c r="P1174" s="148">
        <v>94082.84024</v>
      </c>
      <c r="Q1174" s="146">
        <v>101183.432</v>
      </c>
      <c r="R1174" s="148">
        <v>108284.0237</v>
      </c>
      <c r="S1174" s="148">
        <v>117159.7633</v>
      </c>
    </row>
    <row r="1175">
      <c r="A1175" s="145">
        <v>72.75</v>
      </c>
      <c r="B1175" s="145">
        <f t="shared" si="1"/>
        <v>23498.25</v>
      </c>
      <c r="C1175" s="148"/>
      <c r="D1175" s="145">
        <v>149112.426</v>
      </c>
      <c r="E1175" s="148"/>
      <c r="F1175" s="148"/>
      <c r="G1175" s="148">
        <v>173964.497</v>
      </c>
      <c r="H1175" s="148">
        <v>204142.0118</v>
      </c>
      <c r="I1175" s="146">
        <v>161538.4615</v>
      </c>
      <c r="J1175" s="148">
        <v>172189.3491</v>
      </c>
      <c r="K1175" s="148">
        <v>195266.2722</v>
      </c>
      <c r="L1175" s="148">
        <v>173964.497</v>
      </c>
      <c r="M1175" s="148"/>
      <c r="N1175" s="148">
        <v>127810.6509</v>
      </c>
      <c r="O1175" s="148">
        <v>118934.9112</v>
      </c>
      <c r="P1175" s="148">
        <v>94082.84024</v>
      </c>
      <c r="Q1175" s="146">
        <v>101183.432</v>
      </c>
      <c r="R1175" s="148">
        <v>108284.0237</v>
      </c>
      <c r="S1175" s="148">
        <v>117159.7633</v>
      </c>
    </row>
    <row r="1176">
      <c r="A1176" s="145">
        <v>72.813</v>
      </c>
      <c r="B1176" s="145">
        <f t="shared" si="1"/>
        <v>23518.599</v>
      </c>
      <c r="C1176" s="148"/>
      <c r="D1176" s="145">
        <v>149112.426</v>
      </c>
      <c r="E1176" s="148"/>
      <c r="F1176" s="148"/>
      <c r="G1176" s="148">
        <v>173964.497</v>
      </c>
      <c r="H1176" s="148">
        <v>204142.0118</v>
      </c>
      <c r="I1176" s="146">
        <v>161538.4615</v>
      </c>
      <c r="J1176" s="148">
        <v>172189.3491</v>
      </c>
      <c r="K1176" s="148">
        <v>195266.2722</v>
      </c>
      <c r="L1176" s="148">
        <v>173964.497</v>
      </c>
      <c r="M1176" s="148"/>
      <c r="N1176" s="148">
        <v>127810.6509</v>
      </c>
      <c r="O1176" s="148">
        <v>118934.9112</v>
      </c>
      <c r="P1176" s="148">
        <v>94082.84024</v>
      </c>
      <c r="Q1176" s="146">
        <v>101183.432</v>
      </c>
      <c r="R1176" s="148">
        <v>108284.0237</v>
      </c>
      <c r="S1176" s="148">
        <v>117159.7633</v>
      </c>
    </row>
    <row r="1177">
      <c r="A1177" s="145">
        <v>72.875</v>
      </c>
      <c r="B1177" s="145">
        <f t="shared" si="1"/>
        <v>23538.625</v>
      </c>
      <c r="C1177" s="148"/>
      <c r="D1177" s="145">
        <v>149112.426</v>
      </c>
      <c r="E1177" s="148"/>
      <c r="F1177" s="148"/>
      <c r="G1177" s="148">
        <v>173964.497</v>
      </c>
      <c r="H1177" s="148">
        <v>204142.0118</v>
      </c>
      <c r="I1177" s="146">
        <v>161538.4615</v>
      </c>
      <c r="J1177" s="148">
        <v>172189.3491</v>
      </c>
      <c r="K1177" s="148">
        <v>195266.2722</v>
      </c>
      <c r="L1177" s="148">
        <v>173964.497</v>
      </c>
      <c r="M1177" s="148"/>
      <c r="N1177" s="148">
        <v>127810.6509</v>
      </c>
      <c r="O1177" s="148">
        <v>118934.9112</v>
      </c>
      <c r="P1177" s="148">
        <v>94082.84024</v>
      </c>
      <c r="Q1177" s="146">
        <v>101183.432</v>
      </c>
      <c r="R1177" s="148">
        <v>108284.0237</v>
      </c>
      <c r="S1177" s="148">
        <v>117159.7633</v>
      </c>
    </row>
    <row r="1178">
      <c r="A1178" s="145">
        <v>72.954</v>
      </c>
      <c r="B1178" s="145">
        <f t="shared" si="1"/>
        <v>23564.142</v>
      </c>
      <c r="C1178" s="148"/>
      <c r="D1178" s="145">
        <v>149112.426</v>
      </c>
      <c r="E1178" s="148"/>
      <c r="F1178" s="148"/>
      <c r="G1178" s="148">
        <v>173964.497</v>
      </c>
      <c r="H1178" s="148">
        <v>204142.0118</v>
      </c>
      <c r="I1178" s="146">
        <v>161538.4615</v>
      </c>
      <c r="J1178" s="148">
        <v>172189.3491</v>
      </c>
      <c r="K1178" s="148">
        <v>195266.2722</v>
      </c>
      <c r="L1178" s="148">
        <v>173964.497</v>
      </c>
      <c r="M1178" s="148"/>
      <c r="N1178" s="148">
        <v>127810.6509</v>
      </c>
      <c r="O1178" s="148">
        <v>118934.9112</v>
      </c>
      <c r="P1178" s="148">
        <v>94082.84024</v>
      </c>
      <c r="Q1178" s="146">
        <v>101183.432</v>
      </c>
      <c r="R1178" s="148">
        <v>108284.0237</v>
      </c>
      <c r="S1178" s="148">
        <v>117159.7633</v>
      </c>
    </row>
    <row r="1179">
      <c r="A1179" s="145">
        <v>73.0</v>
      </c>
      <c r="B1179" s="145">
        <f t="shared" si="1"/>
        <v>23579</v>
      </c>
      <c r="C1179" s="148"/>
      <c r="D1179" s="145">
        <v>149112.426</v>
      </c>
      <c r="E1179" s="148"/>
      <c r="F1179" s="148"/>
      <c r="G1179" s="148">
        <v>173964.497</v>
      </c>
      <c r="H1179" s="148">
        <v>205917.1598</v>
      </c>
      <c r="I1179" s="146">
        <v>161538.4615</v>
      </c>
      <c r="J1179" s="148">
        <v>172189.3491</v>
      </c>
      <c r="K1179" s="148">
        <v>195266.2722</v>
      </c>
      <c r="L1179" s="148">
        <v>173964.497</v>
      </c>
      <c r="M1179" s="148"/>
      <c r="N1179" s="148">
        <v>127810.6509</v>
      </c>
      <c r="O1179" s="148">
        <v>118934.9112</v>
      </c>
      <c r="P1179" s="148">
        <v>94082.84024</v>
      </c>
      <c r="Q1179" s="146">
        <v>101183.432</v>
      </c>
      <c r="R1179" s="148">
        <v>110059.1716</v>
      </c>
      <c r="S1179" s="148">
        <v>118934.9112</v>
      </c>
    </row>
    <row r="1180">
      <c r="A1180" s="145">
        <v>73.063</v>
      </c>
      <c r="B1180" s="145">
        <f t="shared" si="1"/>
        <v>23599.349</v>
      </c>
      <c r="C1180" s="148"/>
      <c r="D1180" s="145">
        <v>149112.426</v>
      </c>
      <c r="E1180" s="148"/>
      <c r="F1180" s="148"/>
      <c r="G1180" s="148">
        <v>173964.497</v>
      </c>
      <c r="H1180" s="148">
        <v>205917.1598</v>
      </c>
      <c r="I1180" s="146">
        <v>161538.4615</v>
      </c>
      <c r="J1180" s="148">
        <v>172189.3491</v>
      </c>
      <c r="K1180" s="148">
        <v>195266.2722</v>
      </c>
      <c r="L1180" s="148">
        <v>173964.497</v>
      </c>
      <c r="M1180" s="148"/>
      <c r="N1180" s="148">
        <v>127810.6509</v>
      </c>
      <c r="O1180" s="148">
        <v>118934.9112</v>
      </c>
      <c r="P1180" s="148">
        <v>94082.84024</v>
      </c>
      <c r="Q1180" s="146">
        <v>101183.432</v>
      </c>
      <c r="R1180" s="148">
        <v>110059.1716</v>
      </c>
      <c r="S1180" s="148">
        <v>118934.9112</v>
      </c>
    </row>
    <row r="1181">
      <c r="A1181" s="145">
        <v>73.125</v>
      </c>
      <c r="B1181" s="145">
        <f t="shared" si="1"/>
        <v>23619.375</v>
      </c>
      <c r="C1181" s="148"/>
      <c r="D1181" s="145">
        <v>149112.426</v>
      </c>
      <c r="E1181" s="148"/>
      <c r="F1181" s="148"/>
      <c r="G1181" s="148">
        <v>173964.497</v>
      </c>
      <c r="H1181" s="148">
        <v>205917.1598</v>
      </c>
      <c r="I1181" s="146">
        <v>161538.4615</v>
      </c>
      <c r="J1181" s="148">
        <v>172189.3491</v>
      </c>
      <c r="K1181" s="148">
        <v>195266.2722</v>
      </c>
      <c r="L1181" s="148">
        <v>173964.497</v>
      </c>
      <c r="M1181" s="148"/>
      <c r="N1181" s="148">
        <v>127810.6509</v>
      </c>
      <c r="O1181" s="148">
        <v>118934.9112</v>
      </c>
      <c r="P1181" s="148">
        <v>94082.84024</v>
      </c>
      <c r="Q1181" s="146">
        <v>101183.432</v>
      </c>
      <c r="R1181" s="148">
        <v>110059.1716</v>
      </c>
      <c r="S1181" s="148">
        <v>118934.9112</v>
      </c>
    </row>
    <row r="1182">
      <c r="A1182" s="145">
        <v>73.188</v>
      </c>
      <c r="B1182" s="145">
        <f t="shared" si="1"/>
        <v>23639.724</v>
      </c>
      <c r="C1182" s="148"/>
      <c r="D1182" s="145">
        <v>150887.574</v>
      </c>
      <c r="E1182" s="148"/>
      <c r="F1182" s="148"/>
      <c r="G1182" s="148">
        <v>173964.497</v>
      </c>
      <c r="H1182" s="148">
        <v>205917.1598</v>
      </c>
      <c r="I1182" s="146">
        <v>161538.4615</v>
      </c>
      <c r="J1182" s="148">
        <v>172189.3491</v>
      </c>
      <c r="K1182" s="148">
        <v>195266.2722</v>
      </c>
      <c r="L1182" s="148">
        <v>173964.497</v>
      </c>
      <c r="M1182" s="148"/>
      <c r="N1182" s="148">
        <v>127810.6509</v>
      </c>
      <c r="O1182" s="148">
        <v>118934.9112</v>
      </c>
      <c r="P1182" s="148">
        <v>94082.84024</v>
      </c>
      <c r="Q1182" s="146">
        <v>101183.432</v>
      </c>
      <c r="R1182" s="148">
        <v>110059.1716</v>
      </c>
      <c r="S1182" s="148">
        <v>118934.9112</v>
      </c>
    </row>
    <row r="1183">
      <c r="A1183" s="145">
        <v>73.266</v>
      </c>
      <c r="B1183" s="145">
        <f t="shared" si="1"/>
        <v>23664.918</v>
      </c>
      <c r="C1183" s="148"/>
      <c r="D1183" s="145">
        <v>150887.574</v>
      </c>
      <c r="E1183" s="148"/>
      <c r="F1183" s="148"/>
      <c r="G1183" s="148">
        <v>173964.497</v>
      </c>
      <c r="H1183" s="148">
        <v>205917.1598</v>
      </c>
      <c r="I1183" s="146">
        <v>161538.4615</v>
      </c>
      <c r="J1183" s="148">
        <v>172189.3491</v>
      </c>
      <c r="K1183" s="148">
        <v>195266.2722</v>
      </c>
      <c r="L1183" s="148">
        <v>173964.497</v>
      </c>
      <c r="M1183" s="148"/>
      <c r="N1183" s="148">
        <v>127810.6509</v>
      </c>
      <c r="O1183" s="148">
        <v>118934.9112</v>
      </c>
      <c r="P1183" s="148">
        <v>94082.84024</v>
      </c>
      <c r="Q1183" s="146">
        <v>101183.432</v>
      </c>
      <c r="R1183" s="148">
        <v>110059.1716</v>
      </c>
      <c r="S1183" s="148">
        <v>118934.9112</v>
      </c>
    </row>
    <row r="1184">
      <c r="A1184" s="145">
        <v>73.313</v>
      </c>
      <c r="B1184" s="145">
        <f t="shared" si="1"/>
        <v>23680.099</v>
      </c>
      <c r="C1184" s="148"/>
      <c r="D1184" s="145">
        <v>150887.574</v>
      </c>
      <c r="E1184" s="148"/>
      <c r="F1184" s="148"/>
      <c r="G1184" s="148">
        <v>173964.497</v>
      </c>
      <c r="H1184" s="148">
        <v>205917.1598</v>
      </c>
      <c r="I1184" s="146">
        <v>161538.4615</v>
      </c>
      <c r="J1184" s="148">
        <v>172189.3491</v>
      </c>
      <c r="K1184" s="148">
        <v>195266.2722</v>
      </c>
      <c r="L1184" s="148">
        <v>173964.497</v>
      </c>
      <c r="M1184" s="148"/>
      <c r="N1184" s="148">
        <v>127810.6509</v>
      </c>
      <c r="O1184" s="148">
        <v>118934.9112</v>
      </c>
      <c r="P1184" s="148">
        <v>94082.84024</v>
      </c>
      <c r="Q1184" s="146">
        <v>101183.432</v>
      </c>
      <c r="R1184" s="148">
        <v>110059.1716</v>
      </c>
      <c r="S1184" s="148">
        <v>118934.9112</v>
      </c>
    </row>
    <row r="1185">
      <c r="A1185" s="145">
        <v>73.375</v>
      </c>
      <c r="B1185" s="145">
        <f t="shared" si="1"/>
        <v>23700.125</v>
      </c>
      <c r="C1185" s="148"/>
      <c r="D1185" s="145">
        <v>150887.574</v>
      </c>
      <c r="E1185" s="148"/>
      <c r="F1185" s="148"/>
      <c r="G1185" s="148">
        <v>173964.497</v>
      </c>
      <c r="H1185" s="148">
        <v>205917.1598</v>
      </c>
      <c r="I1185" s="146">
        <v>161538.4615</v>
      </c>
      <c r="J1185" s="148">
        <v>172189.3491</v>
      </c>
      <c r="K1185" s="148">
        <v>195266.2722</v>
      </c>
      <c r="L1185" s="148">
        <v>173964.497</v>
      </c>
      <c r="M1185" s="148"/>
      <c r="N1185" s="148">
        <v>127810.6509</v>
      </c>
      <c r="O1185" s="148">
        <v>118934.9112</v>
      </c>
      <c r="P1185" s="148">
        <v>94082.84024</v>
      </c>
      <c r="Q1185" s="146">
        <v>101183.432</v>
      </c>
      <c r="R1185" s="148">
        <v>110059.1716</v>
      </c>
      <c r="S1185" s="148">
        <v>118934.9112</v>
      </c>
    </row>
    <row r="1186">
      <c r="A1186" s="145">
        <v>73.438</v>
      </c>
      <c r="B1186" s="145">
        <f t="shared" si="1"/>
        <v>23720.474</v>
      </c>
      <c r="C1186" s="148"/>
      <c r="D1186" s="145">
        <v>150887.574</v>
      </c>
      <c r="E1186" s="148"/>
      <c r="F1186" s="148"/>
      <c r="G1186" s="148">
        <v>175739.645</v>
      </c>
      <c r="H1186" s="148">
        <v>205917.1598</v>
      </c>
      <c r="I1186" s="146">
        <v>161538.4615</v>
      </c>
      <c r="J1186" s="148">
        <v>172189.3491</v>
      </c>
      <c r="K1186" s="148">
        <v>195266.2722</v>
      </c>
      <c r="L1186" s="148">
        <v>173964.497</v>
      </c>
      <c r="M1186" s="148"/>
      <c r="N1186" s="148">
        <v>127810.6509</v>
      </c>
      <c r="O1186" s="148">
        <v>118934.9112</v>
      </c>
      <c r="P1186" s="148">
        <v>94082.84024</v>
      </c>
      <c r="Q1186" s="146">
        <v>101183.432</v>
      </c>
      <c r="R1186" s="148">
        <v>110059.1716</v>
      </c>
      <c r="S1186" s="148">
        <v>118934.9112</v>
      </c>
    </row>
    <row r="1187">
      <c r="A1187" s="145">
        <v>73.5</v>
      </c>
      <c r="B1187" s="145">
        <f t="shared" si="1"/>
        <v>23740.5</v>
      </c>
      <c r="C1187" s="148"/>
      <c r="D1187" s="145">
        <v>150887.574</v>
      </c>
      <c r="E1187" s="148"/>
      <c r="F1187" s="148"/>
      <c r="G1187" s="148">
        <v>175739.645</v>
      </c>
      <c r="H1187" s="148">
        <v>205917.1598</v>
      </c>
      <c r="I1187" s="146">
        <v>161538.4615</v>
      </c>
      <c r="J1187" s="148">
        <v>172189.3491</v>
      </c>
      <c r="K1187" s="148">
        <v>198816.568</v>
      </c>
      <c r="L1187" s="148">
        <v>173964.497</v>
      </c>
      <c r="M1187" s="148"/>
      <c r="N1187" s="148">
        <v>129585.7988</v>
      </c>
      <c r="O1187" s="148">
        <v>118934.9112</v>
      </c>
      <c r="P1187" s="148">
        <v>94082.84024</v>
      </c>
      <c r="Q1187" s="146">
        <v>101183.432</v>
      </c>
      <c r="R1187" s="148">
        <v>110059.1716</v>
      </c>
      <c r="S1187" s="148">
        <v>118934.9112</v>
      </c>
    </row>
    <row r="1188">
      <c r="A1188" s="145">
        <v>73.563</v>
      </c>
      <c r="B1188" s="145">
        <f t="shared" si="1"/>
        <v>23760.849</v>
      </c>
      <c r="C1188" s="148"/>
      <c r="D1188" s="145">
        <v>150887.574</v>
      </c>
      <c r="E1188" s="148"/>
      <c r="F1188" s="148"/>
      <c r="G1188" s="148">
        <v>175739.645</v>
      </c>
      <c r="H1188" s="148">
        <v>205917.1598</v>
      </c>
      <c r="I1188" s="146">
        <v>161538.4615</v>
      </c>
      <c r="J1188" s="148">
        <v>172189.3491</v>
      </c>
      <c r="K1188" s="148">
        <v>198816.568</v>
      </c>
      <c r="L1188" s="148">
        <v>173964.497</v>
      </c>
      <c r="M1188" s="148"/>
      <c r="N1188" s="148">
        <v>129585.7988</v>
      </c>
      <c r="O1188" s="148">
        <v>118934.9112</v>
      </c>
      <c r="P1188" s="148">
        <v>94082.84024</v>
      </c>
      <c r="Q1188" s="146">
        <v>101183.432</v>
      </c>
      <c r="R1188" s="148">
        <v>110059.1716</v>
      </c>
      <c r="S1188" s="148">
        <v>118934.9112</v>
      </c>
    </row>
    <row r="1189">
      <c r="A1189" s="145">
        <v>73.641</v>
      </c>
      <c r="B1189" s="145">
        <f t="shared" si="1"/>
        <v>23786.043</v>
      </c>
      <c r="C1189" s="148"/>
      <c r="D1189" s="145">
        <v>150887.574</v>
      </c>
      <c r="E1189" s="148"/>
      <c r="F1189" s="148"/>
      <c r="G1189" s="148">
        <v>177514.7929</v>
      </c>
      <c r="H1189" s="148">
        <v>205917.1598</v>
      </c>
      <c r="I1189" s="146">
        <v>161538.4615</v>
      </c>
      <c r="J1189" s="148">
        <v>173964.497</v>
      </c>
      <c r="K1189" s="148">
        <v>198816.568</v>
      </c>
      <c r="L1189" s="148">
        <v>173964.497</v>
      </c>
      <c r="M1189" s="148"/>
      <c r="N1189" s="148">
        <v>129585.7988</v>
      </c>
      <c r="O1189" s="148">
        <v>118934.9112</v>
      </c>
      <c r="P1189" s="148">
        <v>94082.84024</v>
      </c>
      <c r="Q1189" s="146">
        <v>101183.432</v>
      </c>
      <c r="R1189" s="148">
        <v>110059.1716</v>
      </c>
      <c r="S1189" s="148">
        <v>118934.9112</v>
      </c>
    </row>
    <row r="1190">
      <c r="A1190" s="145">
        <v>73.688</v>
      </c>
      <c r="B1190" s="145">
        <f t="shared" si="1"/>
        <v>23801.224</v>
      </c>
      <c r="C1190" s="148"/>
      <c r="D1190" s="145">
        <v>150887.574</v>
      </c>
      <c r="E1190" s="148"/>
      <c r="F1190" s="148"/>
      <c r="G1190" s="148">
        <v>177514.7929</v>
      </c>
      <c r="H1190" s="148">
        <v>205917.1598</v>
      </c>
      <c r="I1190" s="146">
        <v>161538.4615</v>
      </c>
      <c r="J1190" s="148">
        <v>173964.497</v>
      </c>
      <c r="K1190" s="148">
        <v>198816.568</v>
      </c>
      <c r="L1190" s="148">
        <v>173964.497</v>
      </c>
      <c r="M1190" s="148"/>
      <c r="N1190" s="148">
        <v>129585.7988</v>
      </c>
      <c r="O1190" s="148">
        <v>118934.9112</v>
      </c>
      <c r="P1190" s="148">
        <v>94082.84024</v>
      </c>
      <c r="Q1190" s="146">
        <v>101183.432</v>
      </c>
      <c r="R1190" s="148">
        <v>110059.1716</v>
      </c>
      <c r="S1190" s="148">
        <v>118934.9112</v>
      </c>
    </row>
    <row r="1191">
      <c r="A1191" s="145">
        <v>73.75</v>
      </c>
      <c r="B1191" s="145">
        <f t="shared" si="1"/>
        <v>23821.25</v>
      </c>
      <c r="C1191" s="148"/>
      <c r="D1191" s="145">
        <v>150887.574</v>
      </c>
      <c r="E1191" s="148"/>
      <c r="F1191" s="148"/>
      <c r="G1191" s="148">
        <v>177514.7929</v>
      </c>
      <c r="H1191" s="148">
        <v>205917.1598</v>
      </c>
      <c r="I1191" s="146">
        <v>161538.4615</v>
      </c>
      <c r="J1191" s="148">
        <v>175739.645</v>
      </c>
      <c r="K1191" s="148">
        <v>198816.568</v>
      </c>
      <c r="L1191" s="148">
        <v>173964.497</v>
      </c>
      <c r="M1191" s="148"/>
      <c r="N1191" s="148">
        <v>131360.9467</v>
      </c>
      <c r="O1191" s="148">
        <v>118934.9112</v>
      </c>
      <c r="P1191" s="148">
        <v>94082.84024</v>
      </c>
      <c r="Q1191" s="146">
        <v>101183.432</v>
      </c>
      <c r="R1191" s="148">
        <v>110059.1716</v>
      </c>
      <c r="S1191" s="148">
        <v>118934.9112</v>
      </c>
    </row>
    <row r="1192">
      <c r="A1192" s="145">
        <v>73.813</v>
      </c>
      <c r="B1192" s="145">
        <f t="shared" si="1"/>
        <v>23841.599</v>
      </c>
      <c r="C1192" s="148"/>
      <c r="D1192" s="145">
        <v>150887.574</v>
      </c>
      <c r="E1192" s="148"/>
      <c r="F1192" s="148"/>
      <c r="G1192" s="148">
        <v>177514.7929</v>
      </c>
      <c r="H1192" s="148">
        <v>205917.1598</v>
      </c>
      <c r="I1192" s="146">
        <v>161538.4615</v>
      </c>
      <c r="J1192" s="148">
        <v>175739.645</v>
      </c>
      <c r="K1192" s="148">
        <v>198816.568</v>
      </c>
      <c r="L1192" s="148">
        <v>173964.497</v>
      </c>
      <c r="M1192" s="148"/>
      <c r="N1192" s="148">
        <v>131360.9467</v>
      </c>
      <c r="O1192" s="148">
        <v>118934.9112</v>
      </c>
      <c r="P1192" s="148">
        <v>94082.84024</v>
      </c>
      <c r="Q1192" s="146">
        <v>101183.432</v>
      </c>
      <c r="R1192" s="148">
        <v>110059.1716</v>
      </c>
      <c r="S1192" s="148">
        <v>118934.9112</v>
      </c>
    </row>
    <row r="1193">
      <c r="A1193" s="145">
        <v>73.875</v>
      </c>
      <c r="B1193" s="145">
        <f t="shared" si="1"/>
        <v>23861.625</v>
      </c>
      <c r="C1193" s="148"/>
      <c r="D1193" s="145">
        <v>152662.7219</v>
      </c>
      <c r="E1193" s="148"/>
      <c r="F1193" s="148"/>
      <c r="G1193" s="148">
        <v>177514.7929</v>
      </c>
      <c r="H1193" s="148">
        <v>205917.1598</v>
      </c>
      <c r="I1193" s="146">
        <v>161538.4615</v>
      </c>
      <c r="J1193" s="148">
        <v>175739.645</v>
      </c>
      <c r="K1193" s="148">
        <v>198816.568</v>
      </c>
      <c r="L1193" s="148">
        <v>173964.497</v>
      </c>
      <c r="M1193" s="148"/>
      <c r="N1193" s="148">
        <v>131360.9467</v>
      </c>
      <c r="O1193" s="148">
        <v>118934.9112</v>
      </c>
      <c r="P1193" s="148">
        <v>94082.84024</v>
      </c>
      <c r="Q1193" s="146">
        <v>101183.432</v>
      </c>
      <c r="R1193" s="148">
        <v>110059.1716</v>
      </c>
      <c r="S1193" s="148">
        <v>118934.9112</v>
      </c>
    </row>
    <row r="1194">
      <c r="A1194" s="145">
        <v>73.954</v>
      </c>
      <c r="B1194" s="145">
        <f t="shared" si="1"/>
        <v>23887.142</v>
      </c>
      <c r="C1194" s="148"/>
      <c r="D1194" s="145">
        <v>152662.7219</v>
      </c>
      <c r="E1194" s="148"/>
      <c r="F1194" s="148"/>
      <c r="G1194" s="148">
        <v>177514.7929</v>
      </c>
      <c r="H1194" s="148">
        <v>205917.1598</v>
      </c>
      <c r="I1194" s="146">
        <v>161538.4615</v>
      </c>
      <c r="J1194" s="148">
        <v>175739.645</v>
      </c>
      <c r="K1194" s="148">
        <v>198816.568</v>
      </c>
      <c r="L1194" s="148">
        <v>173964.497</v>
      </c>
      <c r="M1194" s="148"/>
      <c r="N1194" s="148">
        <v>131360.9467</v>
      </c>
      <c r="O1194" s="148">
        <v>118934.9112</v>
      </c>
      <c r="P1194" s="148">
        <v>94082.84024</v>
      </c>
      <c r="Q1194" s="146">
        <v>101183.432</v>
      </c>
      <c r="R1194" s="148">
        <v>110059.1716</v>
      </c>
      <c r="S1194" s="148">
        <v>118934.9112</v>
      </c>
    </row>
    <row r="1195">
      <c r="A1195" s="145">
        <v>74.0</v>
      </c>
      <c r="B1195" s="145">
        <f t="shared" si="1"/>
        <v>23902</v>
      </c>
      <c r="C1195" s="148"/>
      <c r="D1195" s="145">
        <v>152662.7219</v>
      </c>
      <c r="E1195" s="148"/>
      <c r="F1195" s="148"/>
      <c r="G1195" s="148">
        <v>177514.7929</v>
      </c>
      <c r="H1195" s="148">
        <v>205917.1598</v>
      </c>
      <c r="I1195" s="146">
        <v>161538.4615</v>
      </c>
      <c r="J1195" s="148">
        <v>175739.645</v>
      </c>
      <c r="K1195" s="148">
        <v>198816.568</v>
      </c>
      <c r="L1195" s="148">
        <v>173964.497</v>
      </c>
      <c r="M1195" s="148"/>
      <c r="N1195" s="148">
        <v>131360.9467</v>
      </c>
      <c r="O1195" s="148">
        <v>118934.9112</v>
      </c>
      <c r="P1195" s="148">
        <v>94082.84024</v>
      </c>
      <c r="Q1195" s="146">
        <v>102958.5799</v>
      </c>
      <c r="R1195" s="148">
        <v>110059.1716</v>
      </c>
      <c r="S1195" s="148">
        <v>118934.9112</v>
      </c>
    </row>
    <row r="1196">
      <c r="A1196" s="145">
        <v>74.063</v>
      </c>
      <c r="B1196" s="145">
        <f t="shared" si="1"/>
        <v>23922.349</v>
      </c>
      <c r="C1196" s="148"/>
      <c r="D1196" s="145">
        <v>152662.7219</v>
      </c>
      <c r="E1196" s="148"/>
      <c r="F1196" s="148"/>
      <c r="G1196" s="148">
        <v>177514.7929</v>
      </c>
      <c r="H1196" s="148">
        <v>209467.4556</v>
      </c>
      <c r="I1196" s="146">
        <v>161538.4615</v>
      </c>
      <c r="J1196" s="148">
        <v>175739.645</v>
      </c>
      <c r="K1196" s="148">
        <v>198816.568</v>
      </c>
      <c r="L1196" s="148">
        <v>177514.7929</v>
      </c>
      <c r="M1196" s="148"/>
      <c r="N1196" s="148">
        <v>131360.9467</v>
      </c>
      <c r="O1196" s="148">
        <v>118934.9112</v>
      </c>
      <c r="P1196" s="148">
        <v>94082.84024</v>
      </c>
      <c r="Q1196" s="146">
        <v>102958.5799</v>
      </c>
      <c r="R1196" s="148">
        <v>110059.1716</v>
      </c>
      <c r="S1196" s="148">
        <v>118934.9112</v>
      </c>
    </row>
    <row r="1197">
      <c r="A1197" s="145">
        <v>74.125</v>
      </c>
      <c r="B1197" s="145">
        <f t="shared" si="1"/>
        <v>23942.375</v>
      </c>
      <c r="C1197" s="148"/>
      <c r="D1197" s="145">
        <v>152662.7219</v>
      </c>
      <c r="E1197" s="148"/>
      <c r="F1197" s="148"/>
      <c r="G1197" s="148">
        <v>177514.7929</v>
      </c>
      <c r="H1197" s="148">
        <v>209467.4556</v>
      </c>
      <c r="I1197" s="146">
        <v>161538.4615</v>
      </c>
      <c r="J1197" s="148">
        <v>175739.645</v>
      </c>
      <c r="K1197" s="148">
        <v>198816.568</v>
      </c>
      <c r="L1197" s="148">
        <v>177514.7929</v>
      </c>
      <c r="M1197" s="148"/>
      <c r="N1197" s="148">
        <v>131360.9467</v>
      </c>
      <c r="O1197" s="148">
        <v>118934.9112</v>
      </c>
      <c r="P1197" s="148">
        <v>94082.84024</v>
      </c>
      <c r="Q1197" s="146">
        <v>102958.5799</v>
      </c>
      <c r="R1197" s="148">
        <v>110059.1716</v>
      </c>
      <c r="S1197" s="148">
        <v>118934.9112</v>
      </c>
    </row>
    <row r="1198">
      <c r="A1198" s="145">
        <v>74.188</v>
      </c>
      <c r="B1198" s="145">
        <f t="shared" si="1"/>
        <v>23962.724</v>
      </c>
      <c r="C1198" s="148"/>
      <c r="D1198" s="145">
        <v>152662.7219</v>
      </c>
      <c r="E1198" s="148"/>
      <c r="F1198" s="148"/>
      <c r="G1198" s="148">
        <v>177514.7929</v>
      </c>
      <c r="H1198" s="148">
        <v>209467.4556</v>
      </c>
      <c r="I1198" s="146">
        <v>161538.4615</v>
      </c>
      <c r="J1198" s="148">
        <v>175739.645</v>
      </c>
      <c r="K1198" s="148">
        <v>198816.568</v>
      </c>
      <c r="L1198" s="148">
        <v>177514.7929</v>
      </c>
      <c r="M1198" s="148"/>
      <c r="N1198" s="148">
        <v>131360.9467</v>
      </c>
      <c r="O1198" s="148">
        <v>118934.9112</v>
      </c>
      <c r="P1198" s="148">
        <v>94082.84024</v>
      </c>
      <c r="Q1198" s="146">
        <v>102958.5799</v>
      </c>
      <c r="R1198" s="148">
        <v>110059.1716</v>
      </c>
      <c r="S1198" s="148">
        <v>118934.9112</v>
      </c>
    </row>
    <row r="1199">
      <c r="A1199" s="145">
        <v>74.266</v>
      </c>
      <c r="B1199" s="145">
        <f t="shared" si="1"/>
        <v>23987.918</v>
      </c>
      <c r="C1199" s="148"/>
      <c r="D1199" s="145">
        <v>152662.7219</v>
      </c>
      <c r="E1199" s="148"/>
      <c r="F1199" s="148"/>
      <c r="G1199" s="148">
        <v>177514.7929</v>
      </c>
      <c r="H1199" s="148">
        <v>209467.4556</v>
      </c>
      <c r="I1199" s="146">
        <v>161538.4615</v>
      </c>
      <c r="J1199" s="148">
        <v>175739.645</v>
      </c>
      <c r="K1199" s="148">
        <v>198816.568</v>
      </c>
      <c r="L1199" s="148">
        <v>177514.7929</v>
      </c>
      <c r="M1199" s="148"/>
      <c r="N1199" s="148">
        <v>131360.9467</v>
      </c>
      <c r="O1199" s="148">
        <v>118934.9112</v>
      </c>
      <c r="P1199" s="148">
        <v>94082.84024</v>
      </c>
      <c r="Q1199" s="146">
        <v>102958.5799</v>
      </c>
      <c r="R1199" s="148">
        <v>110059.1716</v>
      </c>
      <c r="S1199" s="148">
        <v>118934.9112</v>
      </c>
    </row>
    <row r="1200">
      <c r="A1200" s="145">
        <v>74.313</v>
      </c>
      <c r="B1200" s="145">
        <f t="shared" si="1"/>
        <v>24003.099</v>
      </c>
      <c r="C1200" s="148"/>
      <c r="D1200" s="145">
        <v>152662.7219</v>
      </c>
      <c r="E1200" s="148"/>
      <c r="F1200" s="148"/>
      <c r="G1200" s="148">
        <v>177514.7929</v>
      </c>
      <c r="H1200" s="148">
        <v>209467.4556</v>
      </c>
      <c r="I1200" s="146">
        <v>161538.4615</v>
      </c>
      <c r="J1200" s="148">
        <v>177514.7929</v>
      </c>
      <c r="K1200" s="148">
        <v>198816.568</v>
      </c>
      <c r="L1200" s="148">
        <v>177514.7929</v>
      </c>
      <c r="M1200" s="148"/>
      <c r="N1200" s="148">
        <v>131360.9467</v>
      </c>
      <c r="O1200" s="148">
        <v>118934.9112</v>
      </c>
      <c r="P1200" s="148">
        <v>94082.84024</v>
      </c>
      <c r="Q1200" s="146">
        <v>102958.5799</v>
      </c>
      <c r="R1200" s="148">
        <v>110059.1716</v>
      </c>
      <c r="S1200" s="148">
        <v>118934.9112</v>
      </c>
    </row>
    <row r="1201">
      <c r="A1201" s="145">
        <v>74.375</v>
      </c>
      <c r="B1201" s="145">
        <f t="shared" si="1"/>
        <v>24023.125</v>
      </c>
      <c r="C1201" s="148"/>
      <c r="D1201" s="145">
        <v>152662.7219</v>
      </c>
      <c r="E1201" s="148"/>
      <c r="F1201" s="148"/>
      <c r="G1201" s="148">
        <v>177514.7929</v>
      </c>
      <c r="H1201" s="148">
        <v>209467.4556</v>
      </c>
      <c r="I1201" s="146">
        <v>161538.4615</v>
      </c>
      <c r="J1201" s="148">
        <v>177514.7929</v>
      </c>
      <c r="K1201" s="148">
        <v>198816.568</v>
      </c>
      <c r="L1201" s="148">
        <v>177514.7929</v>
      </c>
      <c r="M1201" s="148"/>
      <c r="N1201" s="148">
        <v>133136.0947</v>
      </c>
      <c r="O1201" s="148">
        <v>118934.9112</v>
      </c>
      <c r="P1201" s="148">
        <v>94082.84024</v>
      </c>
      <c r="Q1201" s="146">
        <v>102958.5799</v>
      </c>
      <c r="R1201" s="148">
        <v>110059.1716</v>
      </c>
      <c r="S1201" s="148">
        <v>118934.9112</v>
      </c>
    </row>
    <row r="1202">
      <c r="A1202" s="145">
        <v>74.438</v>
      </c>
      <c r="B1202" s="145">
        <f t="shared" si="1"/>
        <v>24043.474</v>
      </c>
      <c r="C1202" s="148"/>
      <c r="D1202" s="145">
        <v>152662.7219</v>
      </c>
      <c r="E1202" s="148"/>
      <c r="F1202" s="148"/>
      <c r="G1202" s="148">
        <v>177514.7929</v>
      </c>
      <c r="H1202" s="148">
        <v>209467.4556</v>
      </c>
      <c r="I1202" s="146">
        <v>161538.4615</v>
      </c>
      <c r="J1202" s="148">
        <v>177514.7929</v>
      </c>
      <c r="K1202" s="148">
        <v>198816.568</v>
      </c>
      <c r="L1202" s="148">
        <v>177514.7929</v>
      </c>
      <c r="M1202" s="148"/>
      <c r="N1202" s="148">
        <v>133136.0947</v>
      </c>
      <c r="O1202" s="148">
        <v>118934.9112</v>
      </c>
      <c r="P1202" s="148">
        <v>94082.84024</v>
      </c>
      <c r="Q1202" s="146">
        <v>102958.5799</v>
      </c>
      <c r="R1202" s="148">
        <v>110059.1716</v>
      </c>
      <c r="S1202" s="148">
        <v>118934.9112</v>
      </c>
    </row>
    <row r="1203">
      <c r="A1203" s="145">
        <v>74.5</v>
      </c>
      <c r="B1203" s="145">
        <f t="shared" si="1"/>
        <v>24063.5</v>
      </c>
      <c r="C1203" s="148"/>
      <c r="D1203" s="145">
        <v>152662.7219</v>
      </c>
      <c r="E1203" s="148"/>
      <c r="F1203" s="148"/>
      <c r="G1203" s="148">
        <v>177514.7929</v>
      </c>
      <c r="H1203" s="148">
        <v>209467.4556</v>
      </c>
      <c r="I1203" s="146">
        <v>161538.4615</v>
      </c>
      <c r="J1203" s="148">
        <v>177514.7929</v>
      </c>
      <c r="K1203" s="148">
        <v>198816.568</v>
      </c>
      <c r="L1203" s="148">
        <v>177514.7929</v>
      </c>
      <c r="M1203" s="148"/>
      <c r="N1203" s="148">
        <v>133136.0947</v>
      </c>
      <c r="O1203" s="148">
        <v>118934.9112</v>
      </c>
      <c r="P1203" s="148">
        <v>94082.84024</v>
      </c>
      <c r="Q1203" s="146">
        <v>102958.5799</v>
      </c>
      <c r="R1203" s="148">
        <v>110059.1716</v>
      </c>
      <c r="S1203" s="148">
        <v>118934.9112</v>
      </c>
    </row>
    <row r="1204">
      <c r="A1204" s="145">
        <v>74.579</v>
      </c>
      <c r="B1204" s="145">
        <f t="shared" si="1"/>
        <v>24089.017</v>
      </c>
      <c r="C1204" s="148"/>
      <c r="D1204" s="145">
        <v>152662.7219</v>
      </c>
      <c r="E1204" s="148"/>
      <c r="F1204" s="148"/>
      <c r="G1204" s="148">
        <v>177514.7929</v>
      </c>
      <c r="H1204" s="148">
        <v>209467.4556</v>
      </c>
      <c r="I1204" s="146">
        <v>161538.4615</v>
      </c>
      <c r="J1204" s="148">
        <v>177514.7929</v>
      </c>
      <c r="K1204" s="148">
        <v>198816.568</v>
      </c>
      <c r="L1204" s="148">
        <v>177514.7929</v>
      </c>
      <c r="M1204" s="148"/>
      <c r="N1204" s="148">
        <v>133136.0947</v>
      </c>
      <c r="O1204" s="148">
        <v>118934.9112</v>
      </c>
      <c r="P1204" s="148">
        <v>95857.98817</v>
      </c>
      <c r="Q1204" s="146">
        <v>102958.5799</v>
      </c>
      <c r="R1204" s="148">
        <v>110059.1716</v>
      </c>
      <c r="S1204" s="148">
        <v>118934.9112</v>
      </c>
    </row>
    <row r="1205">
      <c r="A1205" s="145">
        <v>74.625</v>
      </c>
      <c r="B1205" s="145">
        <f t="shared" si="1"/>
        <v>24103.875</v>
      </c>
      <c r="C1205" s="148"/>
      <c r="D1205" s="145">
        <v>152662.7219</v>
      </c>
      <c r="E1205" s="148"/>
      <c r="F1205" s="148"/>
      <c r="G1205" s="148">
        <v>177514.7929</v>
      </c>
      <c r="H1205" s="148">
        <v>209467.4556</v>
      </c>
      <c r="I1205" s="146">
        <v>161538.4615</v>
      </c>
      <c r="J1205" s="148">
        <v>177514.7929</v>
      </c>
      <c r="K1205" s="148">
        <v>198816.568</v>
      </c>
      <c r="L1205" s="148">
        <v>177514.7929</v>
      </c>
      <c r="M1205" s="148"/>
      <c r="N1205" s="148">
        <v>133136.0947</v>
      </c>
      <c r="O1205" s="148">
        <v>118934.9112</v>
      </c>
      <c r="P1205" s="148">
        <v>95857.98817</v>
      </c>
      <c r="Q1205" s="146">
        <v>102958.5799</v>
      </c>
      <c r="R1205" s="148">
        <v>110059.1716</v>
      </c>
      <c r="S1205" s="148">
        <v>118934.9112</v>
      </c>
    </row>
    <row r="1206">
      <c r="A1206" s="145">
        <v>74.688</v>
      </c>
      <c r="B1206" s="145">
        <f t="shared" si="1"/>
        <v>24124.224</v>
      </c>
      <c r="C1206" s="148"/>
      <c r="D1206" s="145">
        <v>152662.7219</v>
      </c>
      <c r="E1206" s="148"/>
      <c r="F1206" s="148"/>
      <c r="G1206" s="148">
        <v>177514.7929</v>
      </c>
      <c r="H1206" s="148">
        <v>209467.4556</v>
      </c>
      <c r="I1206" s="146">
        <v>161538.4615</v>
      </c>
      <c r="J1206" s="148">
        <v>177514.7929</v>
      </c>
      <c r="K1206" s="148">
        <v>198816.568</v>
      </c>
      <c r="L1206" s="148">
        <v>177514.7929</v>
      </c>
      <c r="M1206" s="148"/>
      <c r="N1206" s="148">
        <v>133136.0947</v>
      </c>
      <c r="O1206" s="148">
        <v>118934.9112</v>
      </c>
      <c r="P1206" s="148">
        <v>95857.98817</v>
      </c>
      <c r="Q1206" s="146">
        <v>102958.5799</v>
      </c>
      <c r="R1206" s="148">
        <v>110059.1716</v>
      </c>
      <c r="S1206" s="148">
        <v>118934.9112</v>
      </c>
    </row>
    <row r="1207">
      <c r="A1207" s="145">
        <v>74.766</v>
      </c>
      <c r="B1207" s="145">
        <f t="shared" si="1"/>
        <v>24149.418</v>
      </c>
      <c r="C1207" s="148"/>
      <c r="D1207" s="145">
        <v>152662.7219</v>
      </c>
      <c r="E1207" s="148"/>
      <c r="F1207" s="148"/>
      <c r="G1207" s="148">
        <v>177514.7929</v>
      </c>
      <c r="H1207" s="148">
        <v>209467.4556</v>
      </c>
      <c r="I1207" s="146">
        <v>161538.4615</v>
      </c>
      <c r="J1207" s="148">
        <v>177514.7929</v>
      </c>
      <c r="K1207" s="148">
        <v>202366.8639</v>
      </c>
      <c r="L1207" s="148">
        <v>177514.7929</v>
      </c>
      <c r="M1207" s="148"/>
      <c r="N1207" s="148">
        <v>133136.0947</v>
      </c>
      <c r="O1207" s="148">
        <v>118934.9112</v>
      </c>
      <c r="P1207" s="148">
        <v>95857.98817</v>
      </c>
      <c r="Q1207" s="146">
        <v>102958.5799</v>
      </c>
      <c r="R1207" s="148">
        <v>110059.1716</v>
      </c>
      <c r="S1207" s="148">
        <v>118934.9112</v>
      </c>
    </row>
    <row r="1208">
      <c r="A1208" s="145">
        <v>74.813</v>
      </c>
      <c r="B1208" s="145">
        <f t="shared" si="1"/>
        <v>24164.599</v>
      </c>
      <c r="C1208" s="148"/>
      <c r="D1208" s="145">
        <v>152662.7219</v>
      </c>
      <c r="E1208" s="148"/>
      <c r="F1208" s="148"/>
      <c r="G1208" s="148">
        <v>177514.7929</v>
      </c>
      <c r="H1208" s="148">
        <v>209467.4556</v>
      </c>
      <c r="I1208" s="146">
        <v>161538.4615</v>
      </c>
      <c r="J1208" s="148">
        <v>177514.7929</v>
      </c>
      <c r="K1208" s="148">
        <v>202366.8639</v>
      </c>
      <c r="L1208" s="148">
        <v>177514.7929</v>
      </c>
      <c r="M1208" s="148"/>
      <c r="N1208" s="148">
        <v>134911.2426</v>
      </c>
      <c r="O1208" s="148">
        <v>118934.9112</v>
      </c>
      <c r="P1208" s="148">
        <v>95857.98817</v>
      </c>
      <c r="Q1208" s="146">
        <v>102958.5799</v>
      </c>
      <c r="R1208" s="148">
        <v>110059.1716</v>
      </c>
      <c r="S1208" s="148">
        <v>118934.9112</v>
      </c>
    </row>
    <row r="1209">
      <c r="A1209" s="145">
        <v>74.875</v>
      </c>
      <c r="B1209" s="145">
        <f t="shared" si="1"/>
        <v>24184.625</v>
      </c>
      <c r="C1209" s="148"/>
      <c r="D1209" s="145">
        <v>152662.7219</v>
      </c>
      <c r="E1209" s="148"/>
      <c r="F1209" s="148"/>
      <c r="G1209" s="148">
        <v>177514.7929</v>
      </c>
      <c r="H1209" s="148">
        <v>209467.4556</v>
      </c>
      <c r="I1209" s="146">
        <v>161538.4615</v>
      </c>
      <c r="J1209" s="148">
        <v>179289.9408</v>
      </c>
      <c r="K1209" s="148">
        <v>202366.8639</v>
      </c>
      <c r="L1209" s="148">
        <v>177514.7929</v>
      </c>
      <c r="M1209" s="148"/>
      <c r="N1209" s="148">
        <v>134911.2426</v>
      </c>
      <c r="O1209" s="148">
        <v>118934.9112</v>
      </c>
      <c r="P1209" s="148">
        <v>95857.98817</v>
      </c>
      <c r="Q1209" s="146">
        <v>102958.5799</v>
      </c>
      <c r="R1209" s="148">
        <v>110059.1716</v>
      </c>
      <c r="S1209" s="148">
        <v>118934.9112</v>
      </c>
    </row>
    <row r="1210">
      <c r="A1210" s="145">
        <v>74.938</v>
      </c>
      <c r="B1210" s="145">
        <f t="shared" si="1"/>
        <v>24204.974</v>
      </c>
      <c r="C1210" s="148"/>
      <c r="D1210" s="145">
        <v>152662.7219</v>
      </c>
      <c r="E1210" s="148"/>
      <c r="F1210" s="148"/>
      <c r="G1210" s="148">
        <v>177514.7929</v>
      </c>
      <c r="H1210" s="148">
        <v>209467.4556</v>
      </c>
      <c r="I1210" s="146">
        <v>161538.4615</v>
      </c>
      <c r="J1210" s="148">
        <v>179289.9408</v>
      </c>
      <c r="K1210" s="148">
        <v>202366.8639</v>
      </c>
      <c r="L1210" s="148">
        <v>177514.7929</v>
      </c>
      <c r="M1210" s="148"/>
      <c r="N1210" s="148">
        <v>134911.2426</v>
      </c>
      <c r="O1210" s="148">
        <v>118934.9112</v>
      </c>
      <c r="P1210" s="148">
        <v>95857.98817</v>
      </c>
      <c r="Q1210" s="146">
        <v>102958.5799</v>
      </c>
      <c r="R1210" s="148">
        <v>110059.1716</v>
      </c>
      <c r="S1210" s="148">
        <v>118934.9112</v>
      </c>
    </row>
    <row r="1211">
      <c r="A1211" s="145">
        <v>75.0</v>
      </c>
      <c r="B1211" s="145">
        <f t="shared" si="1"/>
        <v>24225</v>
      </c>
      <c r="C1211" s="148"/>
      <c r="D1211" s="145">
        <v>152662.7219</v>
      </c>
      <c r="E1211" s="148"/>
      <c r="F1211" s="148"/>
      <c r="G1211" s="148">
        <v>177514.7929</v>
      </c>
      <c r="H1211" s="148">
        <v>209467.4556</v>
      </c>
      <c r="I1211" s="146">
        <v>165088.7574</v>
      </c>
      <c r="J1211" s="148">
        <v>179289.9408</v>
      </c>
      <c r="K1211" s="148">
        <v>202366.8639</v>
      </c>
      <c r="L1211" s="148">
        <v>177514.7929</v>
      </c>
      <c r="M1211" s="148"/>
      <c r="N1211" s="148">
        <v>134911.2426</v>
      </c>
      <c r="O1211" s="148">
        <v>118934.9112</v>
      </c>
      <c r="P1211" s="148">
        <v>95857.98817</v>
      </c>
      <c r="Q1211" s="146">
        <v>102958.5799</v>
      </c>
      <c r="R1211" s="148">
        <v>111834.3195</v>
      </c>
      <c r="S1211" s="148">
        <v>118934.9112</v>
      </c>
    </row>
    <row r="1212">
      <c r="A1212" s="145">
        <v>75.079</v>
      </c>
      <c r="B1212" s="145">
        <f t="shared" si="1"/>
        <v>24250.517</v>
      </c>
      <c r="C1212" s="148"/>
      <c r="D1212" s="145">
        <v>154437.8698</v>
      </c>
      <c r="E1212" s="148"/>
      <c r="F1212" s="148"/>
      <c r="G1212" s="148">
        <v>177514.7929</v>
      </c>
      <c r="H1212" s="148">
        <v>211242.6036</v>
      </c>
      <c r="I1212" s="146">
        <v>165088.7574</v>
      </c>
      <c r="J1212" s="148">
        <v>179289.9408</v>
      </c>
      <c r="K1212" s="148">
        <v>202366.8639</v>
      </c>
      <c r="L1212" s="148">
        <v>177514.7929</v>
      </c>
      <c r="M1212" s="148"/>
      <c r="N1212" s="148">
        <v>134911.2426</v>
      </c>
      <c r="O1212" s="148">
        <v>118934.9112</v>
      </c>
      <c r="P1212" s="148">
        <v>95857.98817</v>
      </c>
      <c r="Q1212" s="146">
        <v>102958.5799</v>
      </c>
      <c r="R1212" s="148">
        <v>111834.3195</v>
      </c>
      <c r="S1212" s="148">
        <v>118934.9112</v>
      </c>
    </row>
    <row r="1213">
      <c r="A1213" s="145">
        <v>75.125</v>
      </c>
      <c r="B1213" s="145">
        <f t="shared" si="1"/>
        <v>24265.375</v>
      </c>
      <c r="C1213" s="148"/>
      <c r="D1213" s="145">
        <v>154437.8698</v>
      </c>
      <c r="E1213" s="148"/>
      <c r="F1213" s="148"/>
      <c r="G1213" s="148">
        <v>177514.7929</v>
      </c>
      <c r="H1213" s="148">
        <v>211242.6036</v>
      </c>
      <c r="I1213" s="146">
        <v>165088.7574</v>
      </c>
      <c r="J1213" s="148">
        <v>179289.9408</v>
      </c>
      <c r="K1213" s="148">
        <v>202366.8639</v>
      </c>
      <c r="L1213" s="148">
        <v>177514.7929</v>
      </c>
      <c r="M1213" s="148"/>
      <c r="N1213" s="148">
        <v>134911.2426</v>
      </c>
      <c r="O1213" s="148">
        <v>118934.9112</v>
      </c>
      <c r="P1213" s="148">
        <v>95857.98817</v>
      </c>
      <c r="Q1213" s="146">
        <v>102958.5799</v>
      </c>
      <c r="R1213" s="148">
        <v>111834.3195</v>
      </c>
      <c r="S1213" s="148">
        <v>118934.9112</v>
      </c>
    </row>
    <row r="1214">
      <c r="A1214" s="145">
        <v>75.188</v>
      </c>
      <c r="B1214" s="145">
        <f t="shared" si="1"/>
        <v>24285.724</v>
      </c>
      <c r="C1214" s="148"/>
      <c r="D1214" s="145">
        <v>154437.8698</v>
      </c>
      <c r="E1214" s="148"/>
      <c r="F1214" s="148"/>
      <c r="G1214" s="148">
        <v>177514.7929</v>
      </c>
      <c r="H1214" s="148">
        <v>211242.6036</v>
      </c>
      <c r="I1214" s="146">
        <v>165088.7574</v>
      </c>
      <c r="J1214" s="148">
        <v>181065.0888</v>
      </c>
      <c r="K1214" s="148">
        <v>202366.8639</v>
      </c>
      <c r="L1214" s="148">
        <v>177514.7929</v>
      </c>
      <c r="M1214" s="148"/>
      <c r="N1214" s="148">
        <v>134911.2426</v>
      </c>
      <c r="O1214" s="148">
        <v>118934.9112</v>
      </c>
      <c r="P1214" s="148">
        <v>95857.98817</v>
      </c>
      <c r="Q1214" s="146">
        <v>102958.5799</v>
      </c>
      <c r="R1214" s="148">
        <v>111834.3195</v>
      </c>
      <c r="S1214" s="148">
        <v>118934.9112</v>
      </c>
    </row>
    <row r="1215">
      <c r="A1215" s="145">
        <v>75.25</v>
      </c>
      <c r="B1215" s="145">
        <f t="shared" si="1"/>
        <v>24305.75</v>
      </c>
      <c r="C1215" s="148"/>
      <c r="D1215" s="145">
        <v>154437.8698</v>
      </c>
      <c r="E1215" s="148"/>
      <c r="F1215" s="148"/>
      <c r="G1215" s="148">
        <v>177514.7929</v>
      </c>
      <c r="H1215" s="148">
        <v>211242.6036</v>
      </c>
      <c r="I1215" s="146">
        <v>165088.7574</v>
      </c>
      <c r="J1215" s="148">
        <v>181065.0888</v>
      </c>
      <c r="K1215" s="148">
        <v>202366.8639</v>
      </c>
      <c r="L1215" s="148">
        <v>177514.7929</v>
      </c>
      <c r="M1215" s="148"/>
      <c r="N1215" s="148">
        <v>134911.2426</v>
      </c>
      <c r="O1215" s="148">
        <v>118934.9112</v>
      </c>
      <c r="P1215" s="148">
        <v>95857.98817</v>
      </c>
      <c r="Q1215" s="146">
        <v>104733.7278</v>
      </c>
      <c r="R1215" s="148">
        <v>111834.3195</v>
      </c>
      <c r="S1215" s="148">
        <v>118934.9112</v>
      </c>
    </row>
    <row r="1216">
      <c r="A1216" s="145">
        <v>75.313</v>
      </c>
      <c r="B1216" s="145">
        <f t="shared" si="1"/>
        <v>24326.099</v>
      </c>
      <c r="C1216" s="148"/>
      <c r="D1216" s="145">
        <v>154437.8698</v>
      </c>
      <c r="E1216" s="148"/>
      <c r="F1216" s="148"/>
      <c r="G1216" s="148">
        <v>177514.7929</v>
      </c>
      <c r="H1216" s="148">
        <v>211242.6036</v>
      </c>
      <c r="I1216" s="146">
        <v>165088.7574</v>
      </c>
      <c r="J1216" s="148">
        <v>181065.0888</v>
      </c>
      <c r="K1216" s="148">
        <v>202366.8639</v>
      </c>
      <c r="L1216" s="148">
        <v>177514.7929</v>
      </c>
      <c r="M1216" s="148"/>
      <c r="N1216" s="148">
        <v>134911.2426</v>
      </c>
      <c r="O1216" s="148">
        <v>118934.9112</v>
      </c>
      <c r="P1216" s="148">
        <v>95857.98817</v>
      </c>
      <c r="Q1216" s="146">
        <v>104733.7278</v>
      </c>
      <c r="R1216" s="148">
        <v>111834.3195</v>
      </c>
      <c r="S1216" s="148">
        <v>118934.9112</v>
      </c>
    </row>
    <row r="1217">
      <c r="A1217" s="145">
        <v>75.375</v>
      </c>
      <c r="B1217" s="145">
        <f t="shared" si="1"/>
        <v>24346.125</v>
      </c>
      <c r="C1217" s="148"/>
      <c r="D1217" s="145">
        <v>154437.8698</v>
      </c>
      <c r="E1217" s="148"/>
      <c r="F1217" s="148"/>
      <c r="G1217" s="148">
        <v>177514.7929</v>
      </c>
      <c r="H1217" s="148">
        <v>211242.6036</v>
      </c>
      <c r="I1217" s="146">
        <v>165088.7574</v>
      </c>
      <c r="J1217" s="148">
        <v>181065.0888</v>
      </c>
      <c r="K1217" s="148">
        <v>202366.8639</v>
      </c>
      <c r="L1217" s="148">
        <v>177514.7929</v>
      </c>
      <c r="M1217" s="148"/>
      <c r="N1217" s="148">
        <v>134911.2426</v>
      </c>
      <c r="O1217" s="148">
        <v>118934.9112</v>
      </c>
      <c r="P1217" s="148">
        <v>95857.98817</v>
      </c>
      <c r="Q1217" s="146">
        <v>104733.7278</v>
      </c>
      <c r="R1217" s="148">
        <v>111834.3195</v>
      </c>
      <c r="S1217" s="148">
        <v>118934.9112</v>
      </c>
    </row>
    <row r="1218">
      <c r="A1218" s="145">
        <v>75.438</v>
      </c>
      <c r="B1218" s="145">
        <f t="shared" si="1"/>
        <v>24366.474</v>
      </c>
      <c r="C1218" s="148"/>
      <c r="D1218" s="145">
        <v>154437.8698</v>
      </c>
      <c r="E1218" s="148"/>
      <c r="F1218" s="148"/>
      <c r="G1218" s="148">
        <v>177514.7929</v>
      </c>
      <c r="H1218" s="148">
        <v>211242.6036</v>
      </c>
      <c r="I1218" s="146">
        <v>165088.7574</v>
      </c>
      <c r="J1218" s="148">
        <v>181065.0888</v>
      </c>
      <c r="K1218" s="148">
        <v>202366.8639</v>
      </c>
      <c r="L1218" s="148">
        <v>177514.7929</v>
      </c>
      <c r="M1218" s="148"/>
      <c r="N1218" s="148">
        <v>134911.2426</v>
      </c>
      <c r="O1218" s="148">
        <v>118934.9112</v>
      </c>
      <c r="P1218" s="148">
        <v>95857.98817</v>
      </c>
      <c r="Q1218" s="146">
        <v>104733.7278</v>
      </c>
      <c r="R1218" s="148">
        <v>111834.3195</v>
      </c>
      <c r="S1218" s="148">
        <v>118934.9112</v>
      </c>
    </row>
    <row r="1219">
      <c r="A1219" s="145">
        <v>75.5</v>
      </c>
      <c r="B1219" s="145">
        <f t="shared" si="1"/>
        <v>24386.5</v>
      </c>
      <c r="C1219" s="148"/>
      <c r="D1219" s="145">
        <v>154437.8698</v>
      </c>
      <c r="E1219" s="148"/>
      <c r="F1219" s="148"/>
      <c r="G1219" s="148">
        <v>177514.7929</v>
      </c>
      <c r="H1219" s="148">
        <v>211242.6036</v>
      </c>
      <c r="I1219" s="146">
        <v>165088.7574</v>
      </c>
      <c r="J1219" s="148">
        <v>181065.0888</v>
      </c>
      <c r="K1219" s="148">
        <v>202366.8639</v>
      </c>
      <c r="L1219" s="148">
        <v>179289.9408</v>
      </c>
      <c r="M1219" s="148"/>
      <c r="N1219" s="148">
        <v>134911.2426</v>
      </c>
      <c r="O1219" s="148">
        <v>118934.9112</v>
      </c>
      <c r="P1219" s="148">
        <v>95857.98817</v>
      </c>
      <c r="Q1219" s="146">
        <v>104733.7278</v>
      </c>
      <c r="R1219" s="148">
        <v>111834.3195</v>
      </c>
      <c r="S1219" s="148">
        <v>118934.9112</v>
      </c>
    </row>
    <row r="1220">
      <c r="A1220" s="145">
        <v>75.579</v>
      </c>
      <c r="B1220" s="145">
        <f t="shared" si="1"/>
        <v>24412.017</v>
      </c>
      <c r="C1220" s="148"/>
      <c r="D1220" s="145">
        <v>154437.8698</v>
      </c>
      <c r="E1220" s="148"/>
      <c r="F1220" s="148"/>
      <c r="G1220" s="148">
        <v>177514.7929</v>
      </c>
      <c r="H1220" s="148">
        <v>211242.6036</v>
      </c>
      <c r="I1220" s="146">
        <v>165088.7574</v>
      </c>
      <c r="J1220" s="148">
        <v>181065.0888</v>
      </c>
      <c r="K1220" s="148">
        <v>202366.8639</v>
      </c>
      <c r="L1220" s="148">
        <v>179289.9408</v>
      </c>
      <c r="M1220" s="148"/>
      <c r="N1220" s="148">
        <v>134911.2426</v>
      </c>
      <c r="O1220" s="148">
        <v>118934.9112</v>
      </c>
      <c r="P1220" s="148">
        <v>95857.98817</v>
      </c>
      <c r="Q1220" s="146">
        <v>104733.7278</v>
      </c>
      <c r="R1220" s="148">
        <v>111834.3195</v>
      </c>
      <c r="S1220" s="148">
        <v>118934.9112</v>
      </c>
    </row>
    <row r="1221">
      <c r="A1221" s="145">
        <v>75.625</v>
      </c>
      <c r="B1221" s="145">
        <f t="shared" si="1"/>
        <v>24426.875</v>
      </c>
      <c r="C1221" s="148"/>
      <c r="D1221" s="145">
        <v>154437.8698</v>
      </c>
      <c r="E1221" s="148"/>
      <c r="F1221" s="148"/>
      <c r="G1221" s="148">
        <v>177514.7929</v>
      </c>
      <c r="H1221" s="148">
        <v>211242.6036</v>
      </c>
      <c r="I1221" s="146">
        <v>168639.0533</v>
      </c>
      <c r="J1221" s="148">
        <v>181065.0888</v>
      </c>
      <c r="K1221" s="148">
        <v>202366.8639</v>
      </c>
      <c r="L1221" s="148">
        <v>179289.9408</v>
      </c>
      <c r="M1221" s="148"/>
      <c r="N1221" s="148">
        <v>134911.2426</v>
      </c>
      <c r="O1221" s="148">
        <v>118934.9112</v>
      </c>
      <c r="P1221" s="148">
        <v>95857.98817</v>
      </c>
      <c r="Q1221" s="146">
        <v>104733.7278</v>
      </c>
      <c r="R1221" s="148">
        <v>111834.3195</v>
      </c>
      <c r="S1221" s="148">
        <v>118934.9112</v>
      </c>
    </row>
    <row r="1222">
      <c r="A1222" s="145">
        <v>75.688</v>
      </c>
      <c r="B1222" s="145">
        <f t="shared" si="1"/>
        <v>24447.224</v>
      </c>
      <c r="C1222" s="148"/>
      <c r="D1222" s="145">
        <v>154437.8698</v>
      </c>
      <c r="E1222" s="148"/>
      <c r="F1222" s="148"/>
      <c r="G1222" s="148">
        <v>177514.7929</v>
      </c>
      <c r="H1222" s="148">
        <v>211242.6036</v>
      </c>
      <c r="I1222" s="146">
        <v>168639.0533</v>
      </c>
      <c r="J1222" s="148">
        <v>181065.0888</v>
      </c>
      <c r="K1222" s="148">
        <v>202366.8639</v>
      </c>
      <c r="L1222" s="148">
        <v>179289.9408</v>
      </c>
      <c r="M1222" s="148"/>
      <c r="N1222" s="148">
        <v>134911.2426</v>
      </c>
      <c r="O1222" s="148">
        <v>118934.9112</v>
      </c>
      <c r="P1222" s="148">
        <v>95857.98817</v>
      </c>
      <c r="Q1222" s="146">
        <v>104733.7278</v>
      </c>
      <c r="R1222" s="148">
        <v>111834.3195</v>
      </c>
      <c r="S1222" s="148">
        <v>118934.9112</v>
      </c>
    </row>
    <row r="1223">
      <c r="A1223" s="145">
        <v>75.75</v>
      </c>
      <c r="B1223" s="145">
        <f t="shared" si="1"/>
        <v>24467.25</v>
      </c>
      <c r="C1223" s="148"/>
      <c r="D1223" s="145">
        <v>154437.8698</v>
      </c>
      <c r="E1223" s="148"/>
      <c r="F1223" s="148"/>
      <c r="G1223" s="148">
        <v>177514.7929</v>
      </c>
      <c r="H1223" s="148">
        <v>211242.6036</v>
      </c>
      <c r="I1223" s="146">
        <v>168639.0533</v>
      </c>
      <c r="J1223" s="148">
        <v>181065.0888</v>
      </c>
      <c r="K1223" s="148">
        <v>202366.8639</v>
      </c>
      <c r="L1223" s="148">
        <v>179289.9408</v>
      </c>
      <c r="M1223" s="148"/>
      <c r="N1223" s="148">
        <v>134911.2426</v>
      </c>
      <c r="O1223" s="148">
        <v>118934.9112</v>
      </c>
      <c r="P1223" s="148">
        <v>95857.98817</v>
      </c>
      <c r="Q1223" s="146">
        <v>106508.8757</v>
      </c>
      <c r="R1223" s="148">
        <v>111834.3195</v>
      </c>
      <c r="S1223" s="148">
        <v>118934.9112</v>
      </c>
    </row>
    <row r="1224">
      <c r="A1224" s="145">
        <v>75.813</v>
      </c>
      <c r="B1224" s="145">
        <f t="shared" si="1"/>
        <v>24487.599</v>
      </c>
      <c r="C1224" s="148"/>
      <c r="D1224" s="145">
        <v>156213.0178</v>
      </c>
      <c r="E1224" s="148"/>
      <c r="F1224" s="148"/>
      <c r="G1224" s="148">
        <v>177514.7929</v>
      </c>
      <c r="H1224" s="148">
        <v>211242.6036</v>
      </c>
      <c r="I1224" s="146">
        <v>168639.0533</v>
      </c>
      <c r="J1224" s="148">
        <v>181065.0888</v>
      </c>
      <c r="K1224" s="148">
        <v>202366.8639</v>
      </c>
      <c r="L1224" s="148">
        <v>179289.9408</v>
      </c>
      <c r="M1224" s="148"/>
      <c r="N1224" s="148">
        <v>134911.2426</v>
      </c>
      <c r="O1224" s="148">
        <v>118934.9112</v>
      </c>
      <c r="P1224" s="148">
        <v>97633.1361</v>
      </c>
      <c r="Q1224" s="146">
        <v>106508.8757</v>
      </c>
      <c r="R1224" s="148">
        <v>111834.3195</v>
      </c>
      <c r="S1224" s="148">
        <v>120710.0592</v>
      </c>
    </row>
    <row r="1225">
      <c r="A1225" s="145">
        <v>75.875</v>
      </c>
      <c r="B1225" s="145">
        <f t="shared" si="1"/>
        <v>24507.625</v>
      </c>
      <c r="C1225" s="148"/>
      <c r="D1225" s="145">
        <v>156213.0178</v>
      </c>
      <c r="E1225" s="148"/>
      <c r="F1225" s="148"/>
      <c r="G1225" s="148">
        <v>177514.7929</v>
      </c>
      <c r="H1225" s="148">
        <v>211242.6036</v>
      </c>
      <c r="I1225" s="146">
        <v>168639.0533</v>
      </c>
      <c r="J1225" s="148">
        <v>181065.0888</v>
      </c>
      <c r="K1225" s="148">
        <v>202366.8639</v>
      </c>
      <c r="L1225" s="148">
        <v>179289.9408</v>
      </c>
      <c r="M1225" s="148"/>
      <c r="N1225" s="148">
        <v>134911.2426</v>
      </c>
      <c r="O1225" s="148">
        <v>118934.9112</v>
      </c>
      <c r="P1225" s="148">
        <v>97633.1361</v>
      </c>
      <c r="Q1225" s="146">
        <v>106508.8757</v>
      </c>
      <c r="R1225" s="148">
        <v>111834.3195</v>
      </c>
      <c r="S1225" s="148">
        <v>120710.0592</v>
      </c>
    </row>
    <row r="1226">
      <c r="A1226" s="145">
        <v>75.954</v>
      </c>
      <c r="B1226" s="145">
        <f t="shared" si="1"/>
        <v>24533.142</v>
      </c>
      <c r="C1226" s="148"/>
      <c r="D1226" s="145">
        <v>156213.0178</v>
      </c>
      <c r="E1226" s="148"/>
      <c r="F1226" s="148"/>
      <c r="G1226" s="148">
        <v>177514.7929</v>
      </c>
      <c r="H1226" s="148">
        <v>211242.6036</v>
      </c>
      <c r="I1226" s="146">
        <v>168639.0533</v>
      </c>
      <c r="J1226" s="148">
        <v>181065.0888</v>
      </c>
      <c r="K1226" s="148">
        <v>202366.8639</v>
      </c>
      <c r="L1226" s="148">
        <v>179289.9408</v>
      </c>
      <c r="M1226" s="148"/>
      <c r="N1226" s="148">
        <v>134911.2426</v>
      </c>
      <c r="O1226" s="148">
        <v>118934.9112</v>
      </c>
      <c r="P1226" s="148">
        <v>97633.1361</v>
      </c>
      <c r="Q1226" s="146">
        <v>106508.8757</v>
      </c>
      <c r="R1226" s="148">
        <v>111834.3195</v>
      </c>
      <c r="S1226" s="148">
        <v>120710.0592</v>
      </c>
    </row>
    <row r="1227">
      <c r="A1227" s="145">
        <v>76.0</v>
      </c>
      <c r="B1227" s="145">
        <f t="shared" si="1"/>
        <v>24548</v>
      </c>
      <c r="C1227" s="148"/>
      <c r="D1227" s="145">
        <v>156213.0178</v>
      </c>
      <c r="E1227" s="148"/>
      <c r="F1227" s="148"/>
      <c r="G1227" s="148">
        <v>177514.7929</v>
      </c>
      <c r="H1227" s="148">
        <v>211242.6036</v>
      </c>
      <c r="I1227" s="146">
        <v>168639.0533</v>
      </c>
      <c r="J1227" s="148">
        <v>181065.0888</v>
      </c>
      <c r="K1227" s="148">
        <v>202366.8639</v>
      </c>
      <c r="L1227" s="148">
        <v>179289.9408</v>
      </c>
      <c r="M1227" s="148"/>
      <c r="N1227" s="148">
        <v>134911.2426</v>
      </c>
      <c r="O1227" s="148">
        <v>120710.0592</v>
      </c>
      <c r="P1227" s="148">
        <v>97633.1361</v>
      </c>
      <c r="Q1227" s="146">
        <v>106508.8757</v>
      </c>
      <c r="R1227" s="148">
        <v>111834.3195</v>
      </c>
      <c r="S1227" s="148">
        <v>120710.0592</v>
      </c>
    </row>
    <row r="1228">
      <c r="A1228" s="145">
        <v>76.063</v>
      </c>
      <c r="B1228" s="145">
        <f t="shared" si="1"/>
        <v>24568.349</v>
      </c>
      <c r="C1228" s="148"/>
      <c r="D1228" s="145">
        <v>156213.0178</v>
      </c>
      <c r="E1228" s="148"/>
      <c r="F1228" s="148"/>
      <c r="G1228" s="148">
        <v>177514.7929</v>
      </c>
      <c r="H1228" s="148">
        <v>213017.7515</v>
      </c>
      <c r="I1228" s="146">
        <v>168639.0533</v>
      </c>
      <c r="J1228" s="148">
        <v>181065.0888</v>
      </c>
      <c r="K1228" s="148">
        <v>202366.8639</v>
      </c>
      <c r="L1228" s="148">
        <v>179289.9408</v>
      </c>
      <c r="M1228" s="148"/>
      <c r="N1228" s="148">
        <v>134911.2426</v>
      </c>
      <c r="O1228" s="148">
        <v>120710.0592</v>
      </c>
      <c r="P1228" s="148">
        <v>97633.1361</v>
      </c>
      <c r="Q1228" s="146">
        <v>106508.8757</v>
      </c>
      <c r="R1228" s="148">
        <v>111834.3195</v>
      </c>
      <c r="S1228" s="148">
        <v>122485.2071</v>
      </c>
    </row>
    <row r="1229">
      <c r="A1229" s="145">
        <v>76.141</v>
      </c>
      <c r="B1229" s="145">
        <f t="shared" si="1"/>
        <v>24593.543</v>
      </c>
      <c r="C1229" s="148"/>
      <c r="D1229" s="145">
        <v>156213.0178</v>
      </c>
      <c r="E1229" s="148"/>
      <c r="F1229" s="148"/>
      <c r="G1229" s="148">
        <v>177514.7929</v>
      </c>
      <c r="H1229" s="148">
        <v>213017.7515</v>
      </c>
      <c r="I1229" s="146">
        <v>168639.0533</v>
      </c>
      <c r="J1229" s="148">
        <v>181065.0888</v>
      </c>
      <c r="K1229" s="148">
        <v>202366.8639</v>
      </c>
      <c r="L1229" s="148">
        <v>181065.0888</v>
      </c>
      <c r="M1229" s="148"/>
      <c r="N1229" s="148">
        <v>134911.2426</v>
      </c>
      <c r="O1229" s="148">
        <v>120710.0592</v>
      </c>
      <c r="P1229" s="148">
        <v>97633.1361</v>
      </c>
      <c r="Q1229" s="146">
        <v>106508.8757</v>
      </c>
      <c r="R1229" s="148">
        <v>111834.3195</v>
      </c>
      <c r="S1229" s="148">
        <v>122485.2071</v>
      </c>
    </row>
    <row r="1230">
      <c r="A1230" s="145">
        <v>76.188</v>
      </c>
      <c r="B1230" s="145">
        <f t="shared" si="1"/>
        <v>24608.724</v>
      </c>
      <c r="C1230" s="148"/>
      <c r="D1230" s="145">
        <v>156213.0178</v>
      </c>
      <c r="E1230" s="148"/>
      <c r="F1230" s="148"/>
      <c r="G1230" s="148">
        <v>177514.7929</v>
      </c>
      <c r="H1230" s="148">
        <v>214792.8994</v>
      </c>
      <c r="I1230" s="146">
        <v>168639.0533</v>
      </c>
      <c r="J1230" s="148">
        <v>181065.0888</v>
      </c>
      <c r="K1230" s="148">
        <v>202366.8639</v>
      </c>
      <c r="L1230" s="148">
        <v>181065.0888</v>
      </c>
      <c r="M1230" s="148"/>
      <c r="N1230" s="148">
        <v>136686.3905</v>
      </c>
      <c r="O1230" s="148">
        <v>120710.0592</v>
      </c>
      <c r="P1230" s="148">
        <v>97633.1361</v>
      </c>
      <c r="Q1230" s="146">
        <v>106508.8757</v>
      </c>
      <c r="R1230" s="148">
        <v>111834.3195</v>
      </c>
      <c r="S1230" s="148">
        <v>122485.2071</v>
      </c>
    </row>
    <row r="1231">
      <c r="A1231" s="145">
        <v>76.25</v>
      </c>
      <c r="B1231" s="145">
        <f t="shared" si="1"/>
        <v>24628.75</v>
      </c>
      <c r="C1231" s="148"/>
      <c r="D1231" s="145">
        <v>157988.1657</v>
      </c>
      <c r="E1231" s="148"/>
      <c r="F1231" s="148"/>
      <c r="G1231" s="148">
        <v>177514.7929</v>
      </c>
      <c r="H1231" s="148">
        <v>214792.8994</v>
      </c>
      <c r="I1231" s="146">
        <v>168639.0533</v>
      </c>
      <c r="J1231" s="148">
        <v>181065.0888</v>
      </c>
      <c r="K1231" s="148">
        <v>202366.8639</v>
      </c>
      <c r="L1231" s="148">
        <v>181065.0888</v>
      </c>
      <c r="M1231" s="148"/>
      <c r="N1231" s="148">
        <v>136686.3905</v>
      </c>
      <c r="O1231" s="148">
        <v>120710.0592</v>
      </c>
      <c r="P1231" s="148">
        <v>97633.1361</v>
      </c>
      <c r="Q1231" s="146">
        <v>106508.8757</v>
      </c>
      <c r="R1231" s="148">
        <v>113609.4675</v>
      </c>
      <c r="S1231" s="148">
        <v>122485.2071</v>
      </c>
    </row>
    <row r="1232">
      <c r="A1232" s="145">
        <v>76.313</v>
      </c>
      <c r="B1232" s="145">
        <f t="shared" si="1"/>
        <v>24649.099</v>
      </c>
      <c r="C1232" s="148"/>
      <c r="D1232" s="145">
        <v>157988.1657</v>
      </c>
      <c r="E1232" s="148"/>
      <c r="F1232" s="148"/>
      <c r="G1232" s="148">
        <v>179289.9408</v>
      </c>
      <c r="H1232" s="148">
        <v>214792.8994</v>
      </c>
      <c r="I1232" s="146">
        <v>168639.0533</v>
      </c>
      <c r="J1232" s="148">
        <v>181065.0888</v>
      </c>
      <c r="K1232" s="148">
        <v>202366.8639</v>
      </c>
      <c r="L1232" s="148">
        <v>181065.0888</v>
      </c>
      <c r="M1232" s="148"/>
      <c r="N1232" s="148">
        <v>136686.3905</v>
      </c>
      <c r="O1232" s="148">
        <v>120710.0592</v>
      </c>
      <c r="P1232" s="148">
        <v>97633.1361</v>
      </c>
      <c r="Q1232" s="146">
        <v>106508.8757</v>
      </c>
      <c r="R1232" s="148">
        <v>113609.4675</v>
      </c>
      <c r="S1232" s="148">
        <v>122485.2071</v>
      </c>
    </row>
    <row r="1233">
      <c r="A1233" s="145">
        <v>76.375</v>
      </c>
      <c r="B1233" s="145">
        <f t="shared" si="1"/>
        <v>24669.125</v>
      </c>
      <c r="C1233" s="148"/>
      <c r="D1233" s="145">
        <v>157988.1657</v>
      </c>
      <c r="E1233" s="148"/>
      <c r="F1233" s="148"/>
      <c r="G1233" s="148">
        <v>179289.9408</v>
      </c>
      <c r="H1233" s="148">
        <v>214792.8994</v>
      </c>
      <c r="I1233" s="146">
        <v>168639.0533</v>
      </c>
      <c r="J1233" s="148">
        <v>181065.0888</v>
      </c>
      <c r="K1233" s="148">
        <v>202366.8639</v>
      </c>
      <c r="L1233" s="148">
        <v>181065.0888</v>
      </c>
      <c r="M1233" s="148"/>
      <c r="N1233" s="148">
        <v>136686.3905</v>
      </c>
      <c r="O1233" s="148">
        <v>120710.0592</v>
      </c>
      <c r="P1233" s="148">
        <v>97633.1361</v>
      </c>
      <c r="Q1233" s="146">
        <v>106508.8757</v>
      </c>
      <c r="R1233" s="148">
        <v>113609.4675</v>
      </c>
      <c r="S1233" s="148">
        <v>122485.2071</v>
      </c>
    </row>
    <row r="1234">
      <c r="A1234" s="145">
        <v>76.438</v>
      </c>
      <c r="B1234" s="145">
        <f t="shared" si="1"/>
        <v>24689.474</v>
      </c>
      <c r="C1234" s="148"/>
      <c r="D1234" s="145">
        <v>157988.1657</v>
      </c>
      <c r="E1234" s="148"/>
      <c r="F1234" s="148"/>
      <c r="G1234" s="148">
        <v>179289.9408</v>
      </c>
      <c r="H1234" s="148">
        <v>214792.8994</v>
      </c>
      <c r="I1234" s="146">
        <v>168639.0533</v>
      </c>
      <c r="J1234" s="148">
        <v>181065.0888</v>
      </c>
      <c r="K1234" s="148">
        <v>202366.8639</v>
      </c>
      <c r="L1234" s="148">
        <v>181065.0888</v>
      </c>
      <c r="M1234" s="148"/>
      <c r="N1234" s="148">
        <v>136686.3905</v>
      </c>
      <c r="O1234" s="148">
        <v>120710.0592</v>
      </c>
      <c r="P1234" s="148">
        <v>97633.1361</v>
      </c>
      <c r="Q1234" s="146">
        <v>106508.8757</v>
      </c>
      <c r="R1234" s="148">
        <v>113609.4675</v>
      </c>
      <c r="S1234" s="148">
        <v>122485.2071</v>
      </c>
    </row>
    <row r="1235">
      <c r="A1235" s="145">
        <v>76.5</v>
      </c>
      <c r="B1235" s="145">
        <f t="shared" si="1"/>
        <v>24709.5</v>
      </c>
      <c r="C1235" s="148"/>
      <c r="D1235" s="145">
        <v>157988.1657</v>
      </c>
      <c r="E1235" s="148"/>
      <c r="F1235" s="148"/>
      <c r="G1235" s="148">
        <v>179289.9408</v>
      </c>
      <c r="H1235" s="148">
        <v>214792.8994</v>
      </c>
      <c r="I1235" s="146">
        <v>168639.0533</v>
      </c>
      <c r="J1235" s="148">
        <v>181065.0888</v>
      </c>
      <c r="K1235" s="148">
        <v>202366.8639</v>
      </c>
      <c r="L1235" s="148">
        <v>181065.0888</v>
      </c>
      <c r="M1235" s="148"/>
      <c r="N1235" s="148">
        <v>136686.3905</v>
      </c>
      <c r="O1235" s="148">
        <v>120710.0592</v>
      </c>
      <c r="P1235" s="148">
        <v>97633.1361</v>
      </c>
      <c r="Q1235" s="146">
        <v>106508.8757</v>
      </c>
      <c r="R1235" s="148">
        <v>113609.4675</v>
      </c>
      <c r="S1235" s="148">
        <v>122485.2071</v>
      </c>
    </row>
    <row r="1236">
      <c r="A1236" s="145">
        <v>76.563</v>
      </c>
      <c r="B1236" s="145">
        <f t="shared" si="1"/>
        <v>24729.849</v>
      </c>
      <c r="C1236" s="148"/>
      <c r="D1236" s="145">
        <v>157988.1657</v>
      </c>
      <c r="E1236" s="148"/>
      <c r="F1236" s="148"/>
      <c r="G1236" s="148">
        <v>179289.9408</v>
      </c>
      <c r="H1236" s="148">
        <v>214792.8994</v>
      </c>
      <c r="I1236" s="146">
        <v>168639.0533</v>
      </c>
      <c r="J1236" s="148">
        <v>181065.0888</v>
      </c>
      <c r="K1236" s="148">
        <v>202366.8639</v>
      </c>
      <c r="L1236" s="148">
        <v>181065.0888</v>
      </c>
      <c r="M1236" s="148"/>
      <c r="N1236" s="148">
        <v>136686.3905</v>
      </c>
      <c r="O1236" s="148">
        <v>122485.2071</v>
      </c>
      <c r="P1236" s="148">
        <v>97633.1361</v>
      </c>
      <c r="Q1236" s="146">
        <v>106508.8757</v>
      </c>
      <c r="R1236" s="148">
        <v>113609.4675</v>
      </c>
      <c r="S1236" s="148">
        <v>122485.2071</v>
      </c>
    </row>
    <row r="1237">
      <c r="A1237" s="145">
        <v>76.625</v>
      </c>
      <c r="B1237" s="145">
        <f t="shared" si="1"/>
        <v>24749.875</v>
      </c>
      <c r="C1237" s="148"/>
      <c r="D1237" s="145">
        <v>157988.1657</v>
      </c>
      <c r="E1237" s="148"/>
      <c r="F1237" s="148"/>
      <c r="G1237" s="148">
        <v>179289.9408</v>
      </c>
      <c r="H1237" s="148">
        <v>214792.8994</v>
      </c>
      <c r="I1237" s="146">
        <v>168639.0533</v>
      </c>
      <c r="J1237" s="148">
        <v>181065.0888</v>
      </c>
      <c r="K1237" s="148">
        <v>202366.8639</v>
      </c>
      <c r="L1237" s="148">
        <v>181065.0888</v>
      </c>
      <c r="M1237" s="148"/>
      <c r="N1237" s="148">
        <v>136686.3905</v>
      </c>
      <c r="O1237" s="148">
        <v>122485.2071</v>
      </c>
      <c r="P1237" s="148">
        <v>97633.1361</v>
      </c>
      <c r="Q1237" s="146">
        <v>106508.8757</v>
      </c>
      <c r="R1237" s="148">
        <v>113609.4675</v>
      </c>
      <c r="S1237" s="148">
        <v>122485.2071</v>
      </c>
    </row>
    <row r="1238">
      <c r="A1238" s="145">
        <v>76.688</v>
      </c>
      <c r="B1238" s="145">
        <f t="shared" si="1"/>
        <v>24770.224</v>
      </c>
      <c r="C1238" s="148"/>
      <c r="D1238" s="145">
        <v>157988.1657</v>
      </c>
      <c r="E1238" s="148"/>
      <c r="F1238" s="148"/>
      <c r="G1238" s="148">
        <v>179289.9408</v>
      </c>
      <c r="H1238" s="148">
        <v>214792.8994</v>
      </c>
      <c r="I1238" s="146">
        <v>168639.0533</v>
      </c>
      <c r="J1238" s="148">
        <v>181065.0888</v>
      </c>
      <c r="K1238" s="148">
        <v>202366.8639</v>
      </c>
      <c r="L1238" s="148">
        <v>181065.0888</v>
      </c>
      <c r="M1238" s="148"/>
      <c r="N1238" s="148">
        <v>136686.3905</v>
      </c>
      <c r="O1238" s="148">
        <v>122485.2071</v>
      </c>
      <c r="P1238" s="148">
        <v>97633.1361</v>
      </c>
      <c r="Q1238" s="146">
        <v>106508.8757</v>
      </c>
      <c r="R1238" s="148">
        <v>113609.4675</v>
      </c>
      <c r="S1238" s="148">
        <v>122485.2071</v>
      </c>
    </row>
    <row r="1239">
      <c r="A1239" s="145">
        <v>76.75</v>
      </c>
      <c r="B1239" s="145">
        <f t="shared" si="1"/>
        <v>24790.25</v>
      </c>
      <c r="C1239" s="148"/>
      <c r="D1239" s="145">
        <v>157988.1657</v>
      </c>
      <c r="E1239" s="148"/>
      <c r="F1239" s="148"/>
      <c r="G1239" s="148">
        <v>179289.9408</v>
      </c>
      <c r="H1239" s="148">
        <v>214792.8994</v>
      </c>
      <c r="I1239" s="146">
        <v>168639.0533</v>
      </c>
      <c r="J1239" s="148">
        <v>181065.0888</v>
      </c>
      <c r="K1239" s="148">
        <v>202366.8639</v>
      </c>
      <c r="L1239" s="148">
        <v>182840.2367</v>
      </c>
      <c r="M1239" s="148"/>
      <c r="N1239" s="148">
        <v>136686.3905</v>
      </c>
      <c r="O1239" s="148">
        <v>122485.2071</v>
      </c>
      <c r="P1239" s="148">
        <v>97633.1361</v>
      </c>
      <c r="Q1239" s="146">
        <v>108284.0237</v>
      </c>
      <c r="R1239" s="148">
        <v>113609.4675</v>
      </c>
      <c r="S1239" s="148">
        <v>122485.2071</v>
      </c>
    </row>
    <row r="1240">
      <c r="A1240" s="145">
        <v>76.813</v>
      </c>
      <c r="B1240" s="145">
        <f t="shared" si="1"/>
        <v>24810.599</v>
      </c>
      <c r="C1240" s="148"/>
      <c r="D1240" s="145">
        <v>157988.1657</v>
      </c>
      <c r="E1240" s="148"/>
      <c r="F1240" s="148"/>
      <c r="G1240" s="148">
        <v>181065.0888</v>
      </c>
      <c r="H1240" s="148">
        <v>214792.8994</v>
      </c>
      <c r="I1240" s="146">
        <v>168639.0533</v>
      </c>
      <c r="J1240" s="148">
        <v>181065.0888</v>
      </c>
      <c r="K1240" s="148">
        <v>202366.8639</v>
      </c>
      <c r="L1240" s="148">
        <v>182840.2367</v>
      </c>
      <c r="M1240" s="148"/>
      <c r="N1240" s="148">
        <v>138461.5385</v>
      </c>
      <c r="O1240" s="148">
        <v>122485.2071</v>
      </c>
      <c r="P1240" s="148">
        <v>99408.28402</v>
      </c>
      <c r="Q1240" s="146">
        <v>108284.0237</v>
      </c>
      <c r="R1240" s="148">
        <v>113609.4675</v>
      </c>
      <c r="S1240" s="148">
        <v>122485.2071</v>
      </c>
    </row>
    <row r="1241">
      <c r="A1241" s="145">
        <v>76.875</v>
      </c>
      <c r="B1241" s="145">
        <f t="shared" si="1"/>
        <v>24830.625</v>
      </c>
      <c r="C1241" s="148"/>
      <c r="D1241" s="145">
        <v>157988.1657</v>
      </c>
      <c r="E1241" s="148"/>
      <c r="F1241" s="148"/>
      <c r="G1241" s="148">
        <v>181065.0888</v>
      </c>
      <c r="H1241" s="148">
        <v>214792.8994</v>
      </c>
      <c r="I1241" s="146">
        <v>168639.0533</v>
      </c>
      <c r="J1241" s="148">
        <v>181065.0888</v>
      </c>
      <c r="K1241" s="148">
        <v>202366.8639</v>
      </c>
      <c r="L1241" s="148">
        <v>182840.2367</v>
      </c>
      <c r="M1241" s="148"/>
      <c r="N1241" s="148">
        <v>138461.5385</v>
      </c>
      <c r="O1241" s="148">
        <v>122485.2071</v>
      </c>
      <c r="P1241" s="148">
        <v>99408.28402</v>
      </c>
      <c r="Q1241" s="146">
        <v>108284.0237</v>
      </c>
      <c r="R1241" s="148">
        <v>113609.4675</v>
      </c>
      <c r="S1241" s="148">
        <v>122485.2071</v>
      </c>
    </row>
    <row r="1242">
      <c r="A1242" s="145">
        <v>76.938</v>
      </c>
      <c r="B1242" s="145">
        <f t="shared" si="1"/>
        <v>24850.974</v>
      </c>
      <c r="C1242" s="148"/>
      <c r="D1242" s="145">
        <v>157988.1657</v>
      </c>
      <c r="E1242" s="148"/>
      <c r="F1242" s="148"/>
      <c r="G1242" s="148">
        <v>181065.0888</v>
      </c>
      <c r="H1242" s="148">
        <v>214792.8994</v>
      </c>
      <c r="I1242" s="146">
        <v>168639.0533</v>
      </c>
      <c r="J1242" s="148">
        <v>181065.0888</v>
      </c>
      <c r="K1242" s="148">
        <v>202366.8639</v>
      </c>
      <c r="L1242" s="148">
        <v>182840.2367</v>
      </c>
      <c r="M1242" s="148"/>
      <c r="N1242" s="148">
        <v>138461.5385</v>
      </c>
      <c r="O1242" s="148">
        <v>122485.2071</v>
      </c>
      <c r="P1242" s="148">
        <v>99408.28402</v>
      </c>
      <c r="Q1242" s="146">
        <v>108284.0237</v>
      </c>
      <c r="R1242" s="148">
        <v>113609.4675</v>
      </c>
      <c r="S1242" s="148">
        <v>122485.2071</v>
      </c>
    </row>
    <row r="1243">
      <c r="A1243" s="145">
        <v>77.016</v>
      </c>
      <c r="B1243" s="145">
        <f t="shared" si="1"/>
        <v>24876.168</v>
      </c>
      <c r="C1243" s="148"/>
      <c r="D1243" s="145">
        <v>159763.3136</v>
      </c>
      <c r="E1243" s="148"/>
      <c r="F1243" s="148"/>
      <c r="G1243" s="148">
        <v>181065.0888</v>
      </c>
      <c r="H1243" s="148">
        <v>216568.0473</v>
      </c>
      <c r="I1243" s="146">
        <v>168639.0533</v>
      </c>
      <c r="J1243" s="148">
        <v>181065.0888</v>
      </c>
      <c r="K1243" s="148">
        <v>202366.8639</v>
      </c>
      <c r="L1243" s="148">
        <v>182840.2367</v>
      </c>
      <c r="M1243" s="148"/>
      <c r="N1243" s="148">
        <v>138461.5385</v>
      </c>
      <c r="O1243" s="148">
        <v>122485.2071</v>
      </c>
      <c r="P1243" s="148">
        <v>99408.28402</v>
      </c>
      <c r="Q1243" s="146">
        <v>108284.0237</v>
      </c>
      <c r="R1243" s="148">
        <v>113609.4675</v>
      </c>
      <c r="S1243" s="148">
        <v>124260.355</v>
      </c>
    </row>
    <row r="1244">
      <c r="A1244" s="145">
        <v>77.063</v>
      </c>
      <c r="B1244" s="145">
        <f t="shared" si="1"/>
        <v>24891.349</v>
      </c>
      <c r="C1244" s="148"/>
      <c r="D1244" s="145">
        <v>159763.3136</v>
      </c>
      <c r="E1244" s="148"/>
      <c r="F1244" s="148"/>
      <c r="G1244" s="148">
        <v>181065.0888</v>
      </c>
      <c r="H1244" s="148">
        <v>216568.0473</v>
      </c>
      <c r="I1244" s="146">
        <v>168639.0533</v>
      </c>
      <c r="J1244" s="148">
        <v>181065.0888</v>
      </c>
      <c r="K1244" s="148">
        <v>202366.8639</v>
      </c>
      <c r="L1244" s="148">
        <v>182840.2367</v>
      </c>
      <c r="M1244" s="148"/>
      <c r="N1244" s="148">
        <v>138461.5385</v>
      </c>
      <c r="O1244" s="148">
        <v>122485.2071</v>
      </c>
      <c r="P1244" s="148">
        <v>99408.28402</v>
      </c>
      <c r="Q1244" s="146">
        <v>108284.0237</v>
      </c>
      <c r="R1244" s="148">
        <v>113609.4675</v>
      </c>
      <c r="S1244" s="148">
        <v>124260.355</v>
      </c>
    </row>
    <row r="1245">
      <c r="A1245" s="145">
        <v>77.125</v>
      </c>
      <c r="B1245" s="145">
        <f t="shared" si="1"/>
        <v>24911.375</v>
      </c>
      <c r="C1245" s="148"/>
      <c r="D1245" s="145">
        <v>159763.3136</v>
      </c>
      <c r="E1245" s="148"/>
      <c r="F1245" s="148"/>
      <c r="G1245" s="148">
        <v>181065.0888</v>
      </c>
      <c r="H1245" s="148">
        <v>216568.0473</v>
      </c>
      <c r="I1245" s="146">
        <v>168639.0533</v>
      </c>
      <c r="J1245" s="148">
        <v>181065.0888</v>
      </c>
      <c r="K1245" s="148">
        <v>214792.8994</v>
      </c>
      <c r="L1245" s="148">
        <v>182840.2367</v>
      </c>
      <c r="M1245" s="148"/>
      <c r="N1245" s="148">
        <v>138461.5385</v>
      </c>
      <c r="O1245" s="148">
        <v>122485.2071</v>
      </c>
      <c r="P1245" s="148">
        <v>99408.28402</v>
      </c>
      <c r="Q1245" s="146">
        <v>108284.0237</v>
      </c>
      <c r="R1245" s="148">
        <v>113609.4675</v>
      </c>
      <c r="S1245" s="148">
        <v>124260.355</v>
      </c>
    </row>
    <row r="1246">
      <c r="A1246" s="145">
        <v>77.188</v>
      </c>
      <c r="B1246" s="145">
        <f t="shared" si="1"/>
        <v>24931.724</v>
      </c>
      <c r="C1246" s="148"/>
      <c r="D1246" s="145">
        <v>159763.3136</v>
      </c>
      <c r="E1246" s="148"/>
      <c r="F1246" s="148"/>
      <c r="G1246" s="148">
        <v>181065.0888</v>
      </c>
      <c r="H1246" s="148">
        <v>216568.0473</v>
      </c>
      <c r="I1246" s="146">
        <v>168639.0533</v>
      </c>
      <c r="J1246" s="148">
        <v>184615.3846</v>
      </c>
      <c r="K1246" s="148">
        <v>214792.8994</v>
      </c>
      <c r="L1246" s="148">
        <v>182840.2367</v>
      </c>
      <c r="M1246" s="148"/>
      <c r="N1246" s="148">
        <v>138461.5385</v>
      </c>
      <c r="O1246" s="148">
        <v>124260.355</v>
      </c>
      <c r="P1246" s="148">
        <v>99408.28402</v>
      </c>
      <c r="Q1246" s="146">
        <v>108284.0237</v>
      </c>
      <c r="R1246" s="148">
        <v>113609.4675</v>
      </c>
      <c r="S1246" s="148">
        <v>124260.355</v>
      </c>
    </row>
    <row r="1247">
      <c r="A1247" s="145">
        <v>77.25</v>
      </c>
      <c r="B1247" s="145">
        <f t="shared" si="1"/>
        <v>24951.75</v>
      </c>
      <c r="C1247" s="148"/>
      <c r="D1247" s="145">
        <v>159763.3136</v>
      </c>
      <c r="E1247" s="148"/>
      <c r="F1247" s="148"/>
      <c r="G1247" s="148">
        <v>181065.0888</v>
      </c>
      <c r="H1247" s="148">
        <v>216568.0473</v>
      </c>
      <c r="I1247" s="146">
        <v>168639.0533</v>
      </c>
      <c r="J1247" s="148">
        <v>184615.3846</v>
      </c>
      <c r="K1247" s="148">
        <v>214792.8994</v>
      </c>
      <c r="L1247" s="148">
        <v>182840.2367</v>
      </c>
      <c r="M1247" s="148"/>
      <c r="N1247" s="148">
        <v>138461.5385</v>
      </c>
      <c r="O1247" s="148">
        <v>124260.355</v>
      </c>
      <c r="P1247" s="148">
        <v>99408.28402</v>
      </c>
      <c r="Q1247" s="146">
        <v>108284.0237</v>
      </c>
      <c r="R1247" s="148">
        <v>113609.4675</v>
      </c>
      <c r="S1247" s="148">
        <v>124260.355</v>
      </c>
    </row>
    <row r="1248">
      <c r="A1248" s="145">
        <v>77.313</v>
      </c>
      <c r="B1248" s="145">
        <f t="shared" si="1"/>
        <v>24972.099</v>
      </c>
      <c r="C1248" s="148"/>
      <c r="D1248" s="145">
        <v>159763.3136</v>
      </c>
      <c r="E1248" s="148"/>
      <c r="F1248" s="148"/>
      <c r="G1248" s="148">
        <v>181065.0888</v>
      </c>
      <c r="H1248" s="148">
        <v>216568.0473</v>
      </c>
      <c r="I1248" s="146">
        <v>168639.0533</v>
      </c>
      <c r="J1248" s="148">
        <v>184615.3846</v>
      </c>
      <c r="K1248" s="148">
        <v>214792.8994</v>
      </c>
      <c r="L1248" s="148">
        <v>182840.2367</v>
      </c>
      <c r="M1248" s="148"/>
      <c r="N1248" s="148">
        <v>138461.5385</v>
      </c>
      <c r="O1248" s="148">
        <v>124260.355</v>
      </c>
      <c r="P1248" s="148">
        <v>99408.28402</v>
      </c>
      <c r="Q1248" s="146">
        <v>108284.0237</v>
      </c>
      <c r="R1248" s="148">
        <v>113609.4675</v>
      </c>
      <c r="S1248" s="148">
        <v>124260.355</v>
      </c>
    </row>
    <row r="1249">
      <c r="A1249" s="145">
        <v>77.375</v>
      </c>
      <c r="B1249" s="145">
        <f t="shared" si="1"/>
        <v>24992.125</v>
      </c>
      <c r="C1249" s="148"/>
      <c r="D1249" s="145">
        <v>159763.3136</v>
      </c>
      <c r="E1249" s="148"/>
      <c r="F1249" s="148"/>
      <c r="G1249" s="148">
        <v>181065.0888</v>
      </c>
      <c r="H1249" s="148">
        <v>216568.0473</v>
      </c>
      <c r="I1249" s="146">
        <v>168639.0533</v>
      </c>
      <c r="J1249" s="148">
        <v>184615.3846</v>
      </c>
      <c r="K1249" s="148">
        <v>214792.8994</v>
      </c>
      <c r="L1249" s="148">
        <v>182840.2367</v>
      </c>
      <c r="M1249" s="148"/>
      <c r="N1249" s="148">
        <v>138461.5385</v>
      </c>
      <c r="O1249" s="148">
        <v>124260.355</v>
      </c>
      <c r="P1249" s="148">
        <v>99408.28402</v>
      </c>
      <c r="Q1249" s="146">
        <v>108284.0237</v>
      </c>
      <c r="R1249" s="148">
        <v>113609.4675</v>
      </c>
      <c r="S1249" s="148">
        <v>124260.355</v>
      </c>
    </row>
    <row r="1250">
      <c r="A1250" s="145">
        <v>77.454</v>
      </c>
      <c r="B1250" s="145">
        <f t="shared" si="1"/>
        <v>25017.642</v>
      </c>
      <c r="C1250" s="148"/>
      <c r="D1250" s="145">
        <v>159763.3136</v>
      </c>
      <c r="E1250" s="148"/>
      <c r="F1250" s="148"/>
      <c r="G1250" s="148">
        <v>181065.0888</v>
      </c>
      <c r="H1250" s="148">
        <v>216568.0473</v>
      </c>
      <c r="I1250" s="146">
        <v>168639.0533</v>
      </c>
      <c r="J1250" s="148">
        <v>184615.3846</v>
      </c>
      <c r="K1250" s="148">
        <v>214792.8994</v>
      </c>
      <c r="L1250" s="148">
        <v>182840.2367</v>
      </c>
      <c r="M1250" s="148"/>
      <c r="N1250" s="148">
        <v>138461.5385</v>
      </c>
      <c r="O1250" s="148">
        <v>124260.355</v>
      </c>
      <c r="P1250" s="148">
        <v>99408.28402</v>
      </c>
      <c r="Q1250" s="146">
        <v>108284.0237</v>
      </c>
      <c r="R1250" s="148">
        <v>113609.4675</v>
      </c>
      <c r="S1250" s="148">
        <v>124260.355</v>
      </c>
    </row>
    <row r="1251">
      <c r="A1251" s="145">
        <v>77.5</v>
      </c>
      <c r="B1251" s="145">
        <f t="shared" si="1"/>
        <v>25032.5</v>
      </c>
      <c r="C1251" s="148"/>
      <c r="D1251" s="145">
        <v>159763.3136</v>
      </c>
      <c r="E1251" s="148"/>
      <c r="F1251" s="148"/>
      <c r="G1251" s="148">
        <v>181065.0888</v>
      </c>
      <c r="H1251" s="148">
        <v>216568.0473</v>
      </c>
      <c r="I1251" s="146">
        <v>168639.0533</v>
      </c>
      <c r="J1251" s="148">
        <v>184615.3846</v>
      </c>
      <c r="K1251" s="148">
        <v>214792.8994</v>
      </c>
      <c r="L1251" s="148">
        <v>182840.2367</v>
      </c>
      <c r="M1251" s="148"/>
      <c r="N1251" s="148">
        <v>138461.5385</v>
      </c>
      <c r="O1251" s="148">
        <v>124260.355</v>
      </c>
      <c r="P1251" s="148">
        <v>99408.28402</v>
      </c>
      <c r="Q1251" s="146">
        <v>108284.0237</v>
      </c>
      <c r="R1251" s="148">
        <v>115384.6154</v>
      </c>
      <c r="S1251" s="148">
        <v>124260.355</v>
      </c>
    </row>
    <row r="1252">
      <c r="A1252" s="145">
        <v>77.563</v>
      </c>
      <c r="B1252" s="145">
        <f t="shared" si="1"/>
        <v>25052.849</v>
      </c>
      <c r="C1252" s="148"/>
      <c r="D1252" s="145">
        <v>161538.4615</v>
      </c>
      <c r="E1252" s="148"/>
      <c r="F1252" s="148"/>
      <c r="G1252" s="148">
        <v>181065.0888</v>
      </c>
      <c r="H1252" s="148">
        <v>216568.0473</v>
      </c>
      <c r="I1252" s="146">
        <v>168639.0533</v>
      </c>
      <c r="J1252" s="148">
        <v>184615.3846</v>
      </c>
      <c r="K1252" s="148">
        <v>214792.8994</v>
      </c>
      <c r="L1252" s="148">
        <v>182840.2367</v>
      </c>
      <c r="M1252" s="148"/>
      <c r="N1252" s="148">
        <v>138461.5385</v>
      </c>
      <c r="O1252" s="148">
        <v>124260.355</v>
      </c>
      <c r="P1252" s="148">
        <v>99408.28402</v>
      </c>
      <c r="Q1252" s="146">
        <v>108284.0237</v>
      </c>
      <c r="R1252" s="148">
        <v>115384.6154</v>
      </c>
      <c r="S1252" s="148">
        <v>124260.355</v>
      </c>
    </row>
    <row r="1253">
      <c r="A1253" s="145">
        <v>77.625</v>
      </c>
      <c r="B1253" s="145">
        <f t="shared" si="1"/>
        <v>25072.875</v>
      </c>
      <c r="C1253" s="148"/>
      <c r="D1253" s="145">
        <v>161538.4615</v>
      </c>
      <c r="E1253" s="148"/>
      <c r="F1253" s="148"/>
      <c r="G1253" s="148">
        <v>181065.0888</v>
      </c>
      <c r="H1253" s="148">
        <v>216568.0473</v>
      </c>
      <c r="I1253" s="146">
        <v>170414.2012</v>
      </c>
      <c r="J1253" s="148">
        <v>184615.3846</v>
      </c>
      <c r="K1253" s="148">
        <v>214792.8994</v>
      </c>
      <c r="L1253" s="148">
        <v>184615.3846</v>
      </c>
      <c r="M1253" s="148"/>
      <c r="N1253" s="148">
        <v>138461.5385</v>
      </c>
      <c r="O1253" s="148">
        <v>124260.355</v>
      </c>
      <c r="P1253" s="148">
        <v>99408.28402</v>
      </c>
      <c r="Q1253" s="146">
        <v>108284.0237</v>
      </c>
      <c r="R1253" s="148">
        <v>115384.6154</v>
      </c>
      <c r="S1253" s="148">
        <v>124260.355</v>
      </c>
    </row>
    <row r="1254">
      <c r="A1254" s="145">
        <v>77.688</v>
      </c>
      <c r="B1254" s="145">
        <f t="shared" si="1"/>
        <v>25093.224</v>
      </c>
      <c r="C1254" s="148"/>
      <c r="D1254" s="145">
        <v>161538.4615</v>
      </c>
      <c r="E1254" s="148"/>
      <c r="F1254" s="148"/>
      <c r="G1254" s="148">
        <v>181065.0888</v>
      </c>
      <c r="H1254" s="148">
        <v>216568.0473</v>
      </c>
      <c r="I1254" s="146">
        <v>170414.2012</v>
      </c>
      <c r="J1254" s="148">
        <v>184615.3846</v>
      </c>
      <c r="K1254" s="148">
        <v>214792.8994</v>
      </c>
      <c r="L1254" s="148">
        <v>184615.3846</v>
      </c>
      <c r="M1254" s="148"/>
      <c r="N1254" s="148">
        <v>138461.5385</v>
      </c>
      <c r="O1254" s="148">
        <v>124260.355</v>
      </c>
      <c r="P1254" s="148">
        <v>99408.28402</v>
      </c>
      <c r="Q1254" s="146">
        <v>108284.0237</v>
      </c>
      <c r="R1254" s="148">
        <v>115384.6154</v>
      </c>
      <c r="S1254" s="148">
        <v>124260.355</v>
      </c>
    </row>
    <row r="1255">
      <c r="A1255" s="145">
        <v>77.75</v>
      </c>
      <c r="B1255" s="145">
        <f t="shared" si="1"/>
        <v>25113.25</v>
      </c>
      <c r="C1255" s="148"/>
      <c r="D1255" s="145">
        <v>161538.4615</v>
      </c>
      <c r="E1255" s="148"/>
      <c r="F1255" s="148"/>
      <c r="G1255" s="148">
        <v>181065.0888</v>
      </c>
      <c r="H1255" s="148">
        <v>216568.0473</v>
      </c>
      <c r="I1255" s="146">
        <v>170414.2012</v>
      </c>
      <c r="J1255" s="148">
        <v>184615.3846</v>
      </c>
      <c r="K1255" s="148">
        <v>214792.8994</v>
      </c>
      <c r="L1255" s="148">
        <v>184615.3846</v>
      </c>
      <c r="M1255" s="148"/>
      <c r="N1255" s="148">
        <v>138461.5385</v>
      </c>
      <c r="O1255" s="148">
        <v>124260.355</v>
      </c>
      <c r="P1255" s="148">
        <v>99408.28402</v>
      </c>
      <c r="Q1255" s="146">
        <v>108284.0237</v>
      </c>
      <c r="R1255" s="148">
        <v>115384.6154</v>
      </c>
      <c r="S1255" s="148">
        <v>124260.355</v>
      </c>
    </row>
    <row r="1256">
      <c r="A1256" s="145">
        <v>77.813</v>
      </c>
      <c r="B1256" s="145">
        <f t="shared" si="1"/>
        <v>25133.599</v>
      </c>
      <c r="C1256" s="148"/>
      <c r="D1256" s="145">
        <v>161538.4615</v>
      </c>
      <c r="E1256" s="148"/>
      <c r="F1256" s="148"/>
      <c r="G1256" s="148">
        <v>181065.0888</v>
      </c>
      <c r="H1256" s="148">
        <v>216568.0473</v>
      </c>
      <c r="I1256" s="146">
        <v>170414.2012</v>
      </c>
      <c r="J1256" s="148">
        <v>184615.3846</v>
      </c>
      <c r="K1256" s="148">
        <v>214792.8994</v>
      </c>
      <c r="L1256" s="148">
        <v>184615.3846</v>
      </c>
      <c r="M1256" s="148"/>
      <c r="N1256" s="148">
        <v>138461.5385</v>
      </c>
      <c r="O1256" s="148">
        <v>124260.355</v>
      </c>
      <c r="P1256" s="148">
        <v>99408.28402</v>
      </c>
      <c r="Q1256" s="146">
        <v>108284.0237</v>
      </c>
      <c r="R1256" s="148">
        <v>115384.6154</v>
      </c>
      <c r="S1256" s="148">
        <v>126035.503</v>
      </c>
    </row>
    <row r="1257">
      <c r="A1257" s="145">
        <v>77.875</v>
      </c>
      <c r="B1257" s="145">
        <f t="shared" si="1"/>
        <v>25153.625</v>
      </c>
      <c r="C1257" s="148"/>
      <c r="D1257" s="145">
        <v>161538.4615</v>
      </c>
      <c r="E1257" s="148"/>
      <c r="F1257" s="148"/>
      <c r="G1257" s="148">
        <v>181065.0888</v>
      </c>
      <c r="H1257" s="148">
        <v>216568.0473</v>
      </c>
      <c r="I1257" s="146">
        <v>170414.2012</v>
      </c>
      <c r="J1257" s="148">
        <v>184615.3846</v>
      </c>
      <c r="K1257" s="148">
        <v>214792.8994</v>
      </c>
      <c r="L1257" s="148">
        <v>184615.3846</v>
      </c>
      <c r="M1257" s="148"/>
      <c r="N1257" s="148">
        <v>138461.5385</v>
      </c>
      <c r="O1257" s="148">
        <v>124260.355</v>
      </c>
      <c r="P1257" s="148">
        <v>99408.28402</v>
      </c>
      <c r="Q1257" s="146">
        <v>108284.0237</v>
      </c>
      <c r="R1257" s="148">
        <v>115384.6154</v>
      </c>
      <c r="S1257" s="148">
        <v>126035.503</v>
      </c>
    </row>
    <row r="1258">
      <c r="A1258" s="145">
        <v>77.954</v>
      </c>
      <c r="B1258" s="145">
        <f t="shared" si="1"/>
        <v>25179.142</v>
      </c>
      <c r="C1258" s="148"/>
      <c r="D1258" s="145">
        <v>161538.4615</v>
      </c>
      <c r="E1258" s="148"/>
      <c r="F1258" s="148"/>
      <c r="G1258" s="148">
        <v>182840.2367</v>
      </c>
      <c r="H1258" s="148">
        <v>216568.0473</v>
      </c>
      <c r="I1258" s="146">
        <v>170414.2012</v>
      </c>
      <c r="J1258" s="148">
        <v>184615.3846</v>
      </c>
      <c r="K1258" s="148">
        <v>214792.8994</v>
      </c>
      <c r="L1258" s="148">
        <v>184615.3846</v>
      </c>
      <c r="M1258" s="148"/>
      <c r="N1258" s="148">
        <v>138461.5385</v>
      </c>
      <c r="O1258" s="148">
        <v>124260.355</v>
      </c>
      <c r="P1258" s="148">
        <v>99408.28402</v>
      </c>
      <c r="Q1258" s="146">
        <v>108284.0237</v>
      </c>
      <c r="R1258" s="148">
        <v>115384.6154</v>
      </c>
      <c r="S1258" s="148">
        <v>126035.503</v>
      </c>
    </row>
    <row r="1259">
      <c r="A1259" s="145">
        <v>78.0</v>
      </c>
      <c r="B1259" s="145">
        <f t="shared" si="1"/>
        <v>25194</v>
      </c>
      <c r="C1259" s="148"/>
      <c r="D1259" s="145">
        <v>161538.4615</v>
      </c>
      <c r="E1259" s="148"/>
      <c r="F1259" s="148"/>
      <c r="G1259" s="148">
        <v>182840.2367</v>
      </c>
      <c r="H1259" s="148">
        <v>216568.0473</v>
      </c>
      <c r="I1259" s="146">
        <v>170414.2012</v>
      </c>
      <c r="J1259" s="148">
        <v>184615.3846</v>
      </c>
      <c r="K1259" s="148">
        <v>214792.8994</v>
      </c>
      <c r="L1259" s="148">
        <v>184615.3846</v>
      </c>
      <c r="M1259" s="148"/>
      <c r="N1259" s="148">
        <v>138461.5385</v>
      </c>
      <c r="O1259" s="148">
        <v>124260.355</v>
      </c>
      <c r="P1259" s="148">
        <v>99408.28402</v>
      </c>
      <c r="Q1259" s="146">
        <v>108284.0237</v>
      </c>
      <c r="R1259" s="148">
        <v>115384.6154</v>
      </c>
      <c r="S1259" s="148">
        <v>126035.503</v>
      </c>
    </row>
    <row r="1260">
      <c r="A1260" s="145">
        <v>78.063</v>
      </c>
      <c r="B1260" s="145">
        <f t="shared" si="1"/>
        <v>25214.349</v>
      </c>
      <c r="C1260" s="148"/>
      <c r="D1260" s="145">
        <v>161538.4615</v>
      </c>
      <c r="E1260" s="148"/>
      <c r="F1260" s="148"/>
      <c r="G1260" s="148">
        <v>182840.2367</v>
      </c>
      <c r="H1260" s="148">
        <v>216568.0473</v>
      </c>
      <c r="I1260" s="146">
        <v>170414.2012</v>
      </c>
      <c r="J1260" s="148">
        <v>184615.3846</v>
      </c>
      <c r="K1260" s="148">
        <v>214792.8994</v>
      </c>
      <c r="L1260" s="148">
        <v>184615.3846</v>
      </c>
      <c r="M1260" s="148"/>
      <c r="N1260" s="148">
        <v>140236.6864</v>
      </c>
      <c r="O1260" s="148">
        <v>124260.355</v>
      </c>
      <c r="P1260" s="148">
        <v>99408.28402</v>
      </c>
      <c r="Q1260" s="146">
        <v>108284.0237</v>
      </c>
      <c r="R1260" s="148">
        <v>115384.6154</v>
      </c>
      <c r="S1260" s="148">
        <v>126035.503</v>
      </c>
    </row>
    <row r="1261">
      <c r="A1261" s="145">
        <v>78.125</v>
      </c>
      <c r="B1261" s="145">
        <f t="shared" si="1"/>
        <v>25234.375</v>
      </c>
      <c r="C1261" s="148"/>
      <c r="D1261" s="145">
        <v>161538.4615</v>
      </c>
      <c r="E1261" s="148"/>
      <c r="F1261" s="148"/>
      <c r="G1261" s="148">
        <v>182840.2367</v>
      </c>
      <c r="H1261" s="148">
        <v>216568.0473</v>
      </c>
      <c r="I1261" s="146">
        <v>170414.2012</v>
      </c>
      <c r="J1261" s="148">
        <v>184615.3846</v>
      </c>
      <c r="K1261" s="148">
        <v>214792.8994</v>
      </c>
      <c r="L1261" s="148">
        <v>186390.5325</v>
      </c>
      <c r="M1261" s="148"/>
      <c r="N1261" s="148">
        <v>140236.6864</v>
      </c>
      <c r="O1261" s="148">
        <v>124260.355</v>
      </c>
      <c r="P1261" s="148">
        <v>99408.28402</v>
      </c>
      <c r="Q1261" s="146">
        <v>110059.1716</v>
      </c>
      <c r="R1261" s="148">
        <v>115384.6154</v>
      </c>
      <c r="S1261" s="148">
        <v>126035.503</v>
      </c>
    </row>
    <row r="1262">
      <c r="A1262" s="145">
        <v>78.204</v>
      </c>
      <c r="B1262" s="145">
        <f t="shared" si="1"/>
        <v>25259.892</v>
      </c>
      <c r="C1262" s="148"/>
      <c r="D1262" s="145">
        <v>161538.4615</v>
      </c>
      <c r="E1262" s="148"/>
      <c r="F1262" s="148"/>
      <c r="G1262" s="148">
        <v>182840.2367</v>
      </c>
      <c r="H1262" s="148">
        <v>216568.0473</v>
      </c>
      <c r="I1262" s="146">
        <v>170414.2012</v>
      </c>
      <c r="J1262" s="148">
        <v>184615.3846</v>
      </c>
      <c r="K1262" s="148">
        <v>214792.8994</v>
      </c>
      <c r="L1262" s="148">
        <v>186390.5325</v>
      </c>
      <c r="M1262" s="148"/>
      <c r="N1262" s="148">
        <v>140236.6864</v>
      </c>
      <c r="O1262" s="148">
        <v>124260.355</v>
      </c>
      <c r="P1262" s="148">
        <v>99408.28402</v>
      </c>
      <c r="Q1262" s="146">
        <v>110059.1716</v>
      </c>
      <c r="R1262" s="148">
        <v>115384.6154</v>
      </c>
      <c r="S1262" s="148">
        <v>126035.503</v>
      </c>
    </row>
    <row r="1263">
      <c r="A1263" s="145">
        <v>78.25</v>
      </c>
      <c r="B1263" s="145">
        <f t="shared" si="1"/>
        <v>25274.75</v>
      </c>
      <c r="C1263" s="148"/>
      <c r="D1263" s="145">
        <v>161538.4615</v>
      </c>
      <c r="E1263" s="148"/>
      <c r="F1263" s="148"/>
      <c r="G1263" s="148">
        <v>182840.2367</v>
      </c>
      <c r="H1263" s="148">
        <v>216568.0473</v>
      </c>
      <c r="I1263" s="146">
        <v>170414.2012</v>
      </c>
      <c r="J1263" s="148">
        <v>184615.3846</v>
      </c>
      <c r="K1263" s="148">
        <v>214792.8994</v>
      </c>
      <c r="L1263" s="148">
        <v>186390.5325</v>
      </c>
      <c r="M1263" s="148"/>
      <c r="N1263" s="148">
        <v>140236.6864</v>
      </c>
      <c r="O1263" s="148">
        <v>124260.355</v>
      </c>
      <c r="P1263" s="148">
        <v>99408.28402</v>
      </c>
      <c r="Q1263" s="146">
        <v>110059.1716</v>
      </c>
      <c r="R1263" s="148">
        <v>115384.6154</v>
      </c>
      <c r="S1263" s="148">
        <v>126035.503</v>
      </c>
    </row>
    <row r="1264">
      <c r="A1264" s="145">
        <v>78.313</v>
      </c>
      <c r="B1264" s="145">
        <f t="shared" si="1"/>
        <v>25295.099</v>
      </c>
      <c r="C1264" s="148"/>
      <c r="D1264" s="145">
        <v>161538.4615</v>
      </c>
      <c r="E1264" s="148"/>
      <c r="F1264" s="148"/>
      <c r="G1264" s="148">
        <v>182840.2367</v>
      </c>
      <c r="H1264" s="148">
        <v>216568.0473</v>
      </c>
      <c r="I1264" s="146">
        <v>170414.2012</v>
      </c>
      <c r="J1264" s="148">
        <v>184615.3846</v>
      </c>
      <c r="K1264" s="148">
        <v>214792.8994</v>
      </c>
      <c r="L1264" s="148">
        <v>186390.5325</v>
      </c>
      <c r="M1264" s="148"/>
      <c r="N1264" s="148">
        <v>140236.6864</v>
      </c>
      <c r="O1264" s="148">
        <v>124260.355</v>
      </c>
      <c r="P1264" s="148">
        <v>99408.28402</v>
      </c>
      <c r="Q1264" s="146">
        <v>110059.1716</v>
      </c>
      <c r="R1264" s="148">
        <v>117159.7633</v>
      </c>
      <c r="S1264" s="148">
        <v>126035.503</v>
      </c>
    </row>
    <row r="1265">
      <c r="A1265" s="145">
        <v>78.375</v>
      </c>
      <c r="B1265" s="145">
        <f t="shared" si="1"/>
        <v>25315.125</v>
      </c>
      <c r="C1265" s="148"/>
      <c r="D1265" s="145">
        <v>161538.4615</v>
      </c>
      <c r="E1265" s="148"/>
      <c r="F1265" s="148"/>
      <c r="G1265" s="148">
        <v>182840.2367</v>
      </c>
      <c r="H1265" s="148">
        <v>216568.0473</v>
      </c>
      <c r="I1265" s="146">
        <v>170414.2012</v>
      </c>
      <c r="J1265" s="148">
        <v>184615.3846</v>
      </c>
      <c r="K1265" s="148">
        <v>214792.8994</v>
      </c>
      <c r="L1265" s="148">
        <v>186390.5325</v>
      </c>
      <c r="M1265" s="148"/>
      <c r="N1265" s="148">
        <v>140236.6864</v>
      </c>
      <c r="O1265" s="148">
        <v>124260.355</v>
      </c>
      <c r="P1265" s="148">
        <v>99408.28402</v>
      </c>
      <c r="Q1265" s="146">
        <v>110059.1716</v>
      </c>
      <c r="R1265" s="148">
        <v>117159.7633</v>
      </c>
      <c r="S1265" s="148">
        <v>126035.503</v>
      </c>
    </row>
    <row r="1266">
      <c r="A1266" s="145">
        <v>78.438</v>
      </c>
      <c r="B1266" s="145">
        <f t="shared" si="1"/>
        <v>25335.474</v>
      </c>
      <c r="C1266" s="148"/>
      <c r="D1266" s="145">
        <v>161538.4615</v>
      </c>
      <c r="E1266" s="148"/>
      <c r="F1266" s="148"/>
      <c r="G1266" s="148">
        <v>182840.2367</v>
      </c>
      <c r="H1266" s="148">
        <v>216568.0473</v>
      </c>
      <c r="I1266" s="146">
        <v>172189.3491</v>
      </c>
      <c r="J1266" s="148">
        <v>184615.3846</v>
      </c>
      <c r="K1266" s="148">
        <v>214792.8994</v>
      </c>
      <c r="L1266" s="148">
        <v>186390.5325</v>
      </c>
      <c r="M1266" s="148"/>
      <c r="N1266" s="148">
        <v>140236.6864</v>
      </c>
      <c r="O1266" s="148">
        <v>124260.355</v>
      </c>
      <c r="P1266" s="148">
        <v>99408.28402</v>
      </c>
      <c r="Q1266" s="146">
        <v>110059.1716</v>
      </c>
      <c r="R1266" s="148">
        <v>117159.7633</v>
      </c>
      <c r="S1266" s="148">
        <v>126035.503</v>
      </c>
    </row>
    <row r="1267">
      <c r="A1267" s="145">
        <v>78.5</v>
      </c>
      <c r="B1267" s="145">
        <f t="shared" si="1"/>
        <v>25355.5</v>
      </c>
      <c r="C1267" s="148"/>
      <c r="D1267" s="145">
        <v>161538.4615</v>
      </c>
      <c r="E1267" s="148"/>
      <c r="F1267" s="148"/>
      <c r="G1267" s="148">
        <v>182840.2367</v>
      </c>
      <c r="H1267" s="148">
        <v>216568.0473</v>
      </c>
      <c r="I1267" s="146">
        <v>172189.3491</v>
      </c>
      <c r="J1267" s="148">
        <v>184615.3846</v>
      </c>
      <c r="K1267" s="148">
        <v>214792.8994</v>
      </c>
      <c r="L1267" s="148">
        <v>186390.5325</v>
      </c>
      <c r="M1267" s="148"/>
      <c r="N1267" s="148">
        <v>140236.6864</v>
      </c>
      <c r="O1267" s="148">
        <v>124260.355</v>
      </c>
      <c r="P1267" s="148">
        <v>99408.28402</v>
      </c>
      <c r="Q1267" s="146">
        <v>110059.1716</v>
      </c>
      <c r="R1267" s="148">
        <v>117159.7633</v>
      </c>
      <c r="S1267" s="148">
        <v>126035.503</v>
      </c>
    </row>
    <row r="1268">
      <c r="A1268" s="145">
        <v>78.563</v>
      </c>
      <c r="B1268" s="145">
        <f t="shared" si="1"/>
        <v>25375.849</v>
      </c>
      <c r="C1268" s="148"/>
      <c r="D1268" s="145">
        <v>161538.4615</v>
      </c>
      <c r="E1268" s="148"/>
      <c r="F1268" s="148"/>
      <c r="G1268" s="148">
        <v>182840.2367</v>
      </c>
      <c r="H1268" s="148">
        <v>216568.0473</v>
      </c>
      <c r="I1268" s="146">
        <v>172189.3491</v>
      </c>
      <c r="J1268" s="148">
        <v>186390.5325</v>
      </c>
      <c r="K1268" s="148">
        <v>218343.1953</v>
      </c>
      <c r="L1268" s="148">
        <v>186390.5325</v>
      </c>
      <c r="M1268" s="148"/>
      <c r="N1268" s="148">
        <v>140236.6864</v>
      </c>
      <c r="O1268" s="148">
        <v>124260.355</v>
      </c>
      <c r="P1268" s="148">
        <v>99408.28402</v>
      </c>
      <c r="Q1268" s="146">
        <v>110059.1716</v>
      </c>
      <c r="R1268" s="148">
        <v>117159.7633</v>
      </c>
      <c r="S1268" s="148">
        <v>126035.503</v>
      </c>
    </row>
    <row r="1269">
      <c r="A1269" s="145">
        <v>78.625</v>
      </c>
      <c r="B1269" s="145">
        <f t="shared" si="1"/>
        <v>25395.875</v>
      </c>
      <c r="C1269" s="148"/>
      <c r="D1269" s="145">
        <v>161538.4615</v>
      </c>
      <c r="E1269" s="148"/>
      <c r="F1269" s="148"/>
      <c r="G1269" s="148">
        <v>182840.2367</v>
      </c>
      <c r="H1269" s="148">
        <v>216568.0473</v>
      </c>
      <c r="I1269" s="146">
        <v>172189.3491</v>
      </c>
      <c r="J1269" s="148">
        <v>186390.5325</v>
      </c>
      <c r="K1269" s="148">
        <v>218343.1953</v>
      </c>
      <c r="L1269" s="148">
        <v>186390.5325</v>
      </c>
      <c r="M1269" s="148"/>
      <c r="N1269" s="148">
        <v>140236.6864</v>
      </c>
      <c r="O1269" s="148">
        <v>124260.355</v>
      </c>
      <c r="P1269" s="148">
        <v>99408.28402</v>
      </c>
      <c r="Q1269" s="146">
        <v>110059.1716</v>
      </c>
      <c r="R1269" s="148">
        <v>117159.7633</v>
      </c>
      <c r="S1269" s="148">
        <v>127810.6509</v>
      </c>
    </row>
    <row r="1270">
      <c r="A1270" s="145">
        <v>78.688</v>
      </c>
      <c r="B1270" s="145">
        <f t="shared" si="1"/>
        <v>25416.224</v>
      </c>
      <c r="C1270" s="148"/>
      <c r="D1270" s="145">
        <v>161538.4615</v>
      </c>
      <c r="E1270" s="148"/>
      <c r="F1270" s="148"/>
      <c r="G1270" s="148">
        <v>182840.2367</v>
      </c>
      <c r="H1270" s="148">
        <v>216568.0473</v>
      </c>
      <c r="I1270" s="146">
        <v>172189.3491</v>
      </c>
      <c r="J1270" s="148">
        <v>186390.5325</v>
      </c>
      <c r="K1270" s="148">
        <v>218343.1953</v>
      </c>
      <c r="L1270" s="148">
        <v>186390.5325</v>
      </c>
      <c r="M1270" s="148"/>
      <c r="N1270" s="148">
        <v>140236.6864</v>
      </c>
      <c r="O1270" s="148">
        <v>126035.503</v>
      </c>
      <c r="P1270" s="148">
        <v>99408.28402</v>
      </c>
      <c r="Q1270" s="146">
        <v>110059.1716</v>
      </c>
      <c r="R1270" s="148">
        <v>117159.7633</v>
      </c>
      <c r="S1270" s="148">
        <v>127810.6509</v>
      </c>
    </row>
    <row r="1271">
      <c r="A1271" s="145">
        <v>78.766</v>
      </c>
      <c r="B1271" s="145">
        <f t="shared" si="1"/>
        <v>25441.418</v>
      </c>
      <c r="C1271" s="148"/>
      <c r="D1271" s="145">
        <v>161538.4615</v>
      </c>
      <c r="E1271" s="148"/>
      <c r="F1271" s="148"/>
      <c r="G1271" s="148">
        <v>182840.2367</v>
      </c>
      <c r="H1271" s="148">
        <v>216568.0473</v>
      </c>
      <c r="I1271" s="146">
        <v>172189.3491</v>
      </c>
      <c r="J1271" s="148">
        <v>186390.5325</v>
      </c>
      <c r="K1271" s="148">
        <v>218343.1953</v>
      </c>
      <c r="L1271" s="148">
        <v>186390.5325</v>
      </c>
      <c r="M1271" s="148"/>
      <c r="N1271" s="148">
        <v>140236.6864</v>
      </c>
      <c r="O1271" s="148">
        <v>126035.503</v>
      </c>
      <c r="P1271" s="148">
        <v>101183.432</v>
      </c>
      <c r="Q1271" s="146">
        <v>110059.1716</v>
      </c>
      <c r="R1271" s="148">
        <v>117159.7633</v>
      </c>
      <c r="S1271" s="148">
        <v>127810.6509</v>
      </c>
    </row>
    <row r="1272">
      <c r="A1272" s="145">
        <v>78.813</v>
      </c>
      <c r="B1272" s="145">
        <f t="shared" si="1"/>
        <v>25456.599</v>
      </c>
      <c r="C1272" s="148"/>
      <c r="D1272" s="145">
        <v>161538.4615</v>
      </c>
      <c r="E1272" s="148"/>
      <c r="F1272" s="148"/>
      <c r="G1272" s="148">
        <v>182840.2367</v>
      </c>
      <c r="H1272" s="148">
        <v>216568.0473</v>
      </c>
      <c r="I1272" s="146">
        <v>172189.3491</v>
      </c>
      <c r="J1272" s="148">
        <v>186390.5325</v>
      </c>
      <c r="K1272" s="148">
        <v>218343.1953</v>
      </c>
      <c r="L1272" s="148">
        <v>186390.5325</v>
      </c>
      <c r="M1272" s="148"/>
      <c r="N1272" s="148">
        <v>140236.6864</v>
      </c>
      <c r="O1272" s="148">
        <v>126035.503</v>
      </c>
      <c r="P1272" s="148">
        <v>101183.432</v>
      </c>
      <c r="Q1272" s="146">
        <v>110059.1716</v>
      </c>
      <c r="R1272" s="148">
        <v>117159.7633</v>
      </c>
      <c r="S1272" s="148">
        <v>127810.6509</v>
      </c>
    </row>
    <row r="1273">
      <c r="A1273" s="145">
        <v>78.875</v>
      </c>
      <c r="B1273" s="145">
        <f t="shared" si="1"/>
        <v>25476.625</v>
      </c>
      <c r="C1273" s="148"/>
      <c r="D1273" s="145">
        <v>161538.4615</v>
      </c>
      <c r="E1273" s="148"/>
      <c r="F1273" s="148"/>
      <c r="G1273" s="148">
        <v>182840.2367</v>
      </c>
      <c r="H1273" s="148">
        <v>216568.0473</v>
      </c>
      <c r="I1273" s="146">
        <v>172189.3491</v>
      </c>
      <c r="J1273" s="148">
        <v>186390.5325</v>
      </c>
      <c r="K1273" s="148">
        <v>218343.1953</v>
      </c>
      <c r="L1273" s="148">
        <v>186390.5325</v>
      </c>
      <c r="M1273" s="148"/>
      <c r="N1273" s="148">
        <v>143786.9822</v>
      </c>
      <c r="O1273" s="148">
        <v>126035.503</v>
      </c>
      <c r="P1273" s="148">
        <v>101183.432</v>
      </c>
      <c r="Q1273" s="146">
        <v>110059.1716</v>
      </c>
      <c r="R1273" s="148">
        <v>117159.7633</v>
      </c>
      <c r="S1273" s="148">
        <v>127810.6509</v>
      </c>
    </row>
    <row r="1274">
      <c r="A1274" s="145">
        <v>78.938</v>
      </c>
      <c r="B1274" s="145">
        <f t="shared" si="1"/>
        <v>25496.974</v>
      </c>
      <c r="C1274" s="148"/>
      <c r="D1274" s="145">
        <v>161538.4615</v>
      </c>
      <c r="E1274" s="148"/>
      <c r="F1274" s="148"/>
      <c r="G1274" s="148">
        <v>182840.2367</v>
      </c>
      <c r="H1274" s="148">
        <v>216568.0473</v>
      </c>
      <c r="I1274" s="146">
        <v>172189.3491</v>
      </c>
      <c r="J1274" s="148">
        <v>186390.5325</v>
      </c>
      <c r="K1274" s="148">
        <v>218343.1953</v>
      </c>
      <c r="L1274" s="148">
        <v>186390.5325</v>
      </c>
      <c r="M1274" s="148"/>
      <c r="N1274" s="148">
        <v>143786.9822</v>
      </c>
      <c r="O1274" s="148">
        <v>126035.503</v>
      </c>
      <c r="P1274" s="148">
        <v>101183.432</v>
      </c>
      <c r="Q1274" s="146">
        <v>110059.1716</v>
      </c>
      <c r="R1274" s="148">
        <v>117159.7633</v>
      </c>
      <c r="S1274" s="148">
        <v>127810.6509</v>
      </c>
    </row>
    <row r="1275">
      <c r="A1275" s="145">
        <v>79.016</v>
      </c>
      <c r="B1275" s="145">
        <f t="shared" si="1"/>
        <v>25522.168</v>
      </c>
      <c r="C1275" s="148"/>
      <c r="D1275" s="145">
        <v>161538.4615</v>
      </c>
      <c r="E1275" s="148"/>
      <c r="F1275" s="148"/>
      <c r="G1275" s="148">
        <v>182840.2367</v>
      </c>
      <c r="H1275" s="148">
        <v>216568.0473</v>
      </c>
      <c r="I1275" s="146">
        <v>172189.3491</v>
      </c>
      <c r="J1275" s="148">
        <v>186390.5325</v>
      </c>
      <c r="K1275" s="148">
        <v>218343.1953</v>
      </c>
      <c r="L1275" s="148">
        <v>186390.5325</v>
      </c>
      <c r="M1275" s="148"/>
      <c r="N1275" s="148">
        <v>143786.9822</v>
      </c>
      <c r="O1275" s="148">
        <v>126035.503</v>
      </c>
      <c r="P1275" s="148">
        <v>101183.432</v>
      </c>
      <c r="Q1275" s="146">
        <v>110059.1716</v>
      </c>
      <c r="R1275" s="148">
        <v>117159.7633</v>
      </c>
      <c r="S1275" s="148">
        <v>127810.6509</v>
      </c>
    </row>
    <row r="1276">
      <c r="A1276" s="145">
        <v>79.063</v>
      </c>
      <c r="B1276" s="145">
        <f t="shared" si="1"/>
        <v>25537.349</v>
      </c>
      <c r="C1276" s="148"/>
      <c r="D1276" s="145">
        <v>161538.4615</v>
      </c>
      <c r="E1276" s="148"/>
      <c r="F1276" s="148"/>
      <c r="G1276" s="148">
        <v>182840.2367</v>
      </c>
      <c r="H1276" s="148">
        <v>216568.0473</v>
      </c>
      <c r="I1276" s="146">
        <v>172189.3491</v>
      </c>
      <c r="J1276" s="148">
        <v>186390.5325</v>
      </c>
      <c r="K1276" s="148">
        <v>218343.1953</v>
      </c>
      <c r="L1276" s="148">
        <v>186390.5325</v>
      </c>
      <c r="M1276" s="148"/>
      <c r="N1276" s="148">
        <v>143786.9822</v>
      </c>
      <c r="O1276" s="148">
        <v>126035.503</v>
      </c>
      <c r="P1276" s="148">
        <v>101183.432</v>
      </c>
      <c r="Q1276" s="146">
        <v>110059.1716</v>
      </c>
      <c r="R1276" s="148">
        <v>117159.7633</v>
      </c>
      <c r="S1276" s="148">
        <v>127810.6509</v>
      </c>
    </row>
    <row r="1277">
      <c r="A1277" s="145">
        <v>79.125</v>
      </c>
      <c r="B1277" s="145">
        <f t="shared" si="1"/>
        <v>25557.375</v>
      </c>
      <c r="C1277" s="148"/>
      <c r="D1277" s="145">
        <v>161538.4615</v>
      </c>
      <c r="E1277" s="148"/>
      <c r="F1277" s="148"/>
      <c r="G1277" s="148">
        <v>182840.2367</v>
      </c>
      <c r="H1277" s="148">
        <v>216568.0473</v>
      </c>
      <c r="I1277" s="146">
        <v>172189.3491</v>
      </c>
      <c r="J1277" s="148">
        <v>186390.5325</v>
      </c>
      <c r="K1277" s="148">
        <v>218343.1953</v>
      </c>
      <c r="L1277" s="148">
        <v>186390.5325</v>
      </c>
      <c r="M1277" s="148"/>
      <c r="N1277" s="148">
        <v>143786.9822</v>
      </c>
      <c r="O1277" s="148">
        <v>126035.503</v>
      </c>
      <c r="P1277" s="148">
        <v>101183.432</v>
      </c>
      <c r="Q1277" s="146">
        <v>110059.1716</v>
      </c>
      <c r="R1277" s="148">
        <v>117159.7633</v>
      </c>
      <c r="S1277" s="148">
        <v>127810.6509</v>
      </c>
    </row>
    <row r="1278">
      <c r="A1278" s="145">
        <v>79.188</v>
      </c>
      <c r="B1278" s="145">
        <f t="shared" si="1"/>
        <v>25577.724</v>
      </c>
      <c r="C1278" s="148"/>
      <c r="D1278" s="145">
        <v>161538.4615</v>
      </c>
      <c r="E1278" s="148"/>
      <c r="F1278" s="148"/>
      <c r="G1278" s="148">
        <v>182840.2367</v>
      </c>
      <c r="H1278" s="148">
        <v>216568.0473</v>
      </c>
      <c r="I1278" s="146">
        <v>172189.3491</v>
      </c>
      <c r="J1278" s="148">
        <v>186390.5325</v>
      </c>
      <c r="K1278" s="148">
        <v>218343.1953</v>
      </c>
      <c r="L1278" s="148">
        <v>186390.5325</v>
      </c>
      <c r="M1278" s="148"/>
      <c r="N1278" s="148">
        <v>143786.9822</v>
      </c>
      <c r="O1278" s="148">
        <v>126035.503</v>
      </c>
      <c r="P1278" s="148">
        <v>101183.432</v>
      </c>
      <c r="Q1278" s="146">
        <v>110059.1716</v>
      </c>
      <c r="R1278" s="148">
        <v>117159.7633</v>
      </c>
      <c r="S1278" s="148">
        <v>127810.6509</v>
      </c>
    </row>
    <row r="1279">
      <c r="A1279" s="145">
        <v>79.25</v>
      </c>
      <c r="B1279" s="145">
        <f t="shared" si="1"/>
        <v>25597.75</v>
      </c>
      <c r="C1279" s="148"/>
      <c r="D1279" s="145">
        <v>161538.4615</v>
      </c>
      <c r="E1279" s="148"/>
      <c r="F1279" s="148"/>
      <c r="G1279" s="148">
        <v>182840.2367</v>
      </c>
      <c r="H1279" s="148">
        <v>216568.0473</v>
      </c>
      <c r="I1279" s="146">
        <v>172189.3491</v>
      </c>
      <c r="J1279" s="148">
        <v>186390.5325</v>
      </c>
      <c r="K1279" s="148">
        <v>218343.1953</v>
      </c>
      <c r="L1279" s="148">
        <v>186390.5325</v>
      </c>
      <c r="M1279" s="148"/>
      <c r="N1279" s="148">
        <v>143786.9822</v>
      </c>
      <c r="O1279" s="148">
        <v>126035.503</v>
      </c>
      <c r="P1279" s="148">
        <v>101183.432</v>
      </c>
      <c r="Q1279" s="146">
        <v>110059.1716</v>
      </c>
      <c r="R1279" s="148">
        <v>117159.7633</v>
      </c>
      <c r="S1279" s="148">
        <v>127810.6509</v>
      </c>
    </row>
    <row r="1280">
      <c r="A1280" s="145">
        <v>79.313</v>
      </c>
      <c r="B1280" s="145">
        <f t="shared" si="1"/>
        <v>25618.099</v>
      </c>
      <c r="C1280" s="148"/>
      <c r="D1280" s="145">
        <v>161538.4615</v>
      </c>
      <c r="E1280" s="148"/>
      <c r="F1280" s="148"/>
      <c r="G1280" s="148">
        <v>182840.2367</v>
      </c>
      <c r="H1280" s="148">
        <v>216568.0473</v>
      </c>
      <c r="I1280" s="146">
        <v>172189.3491</v>
      </c>
      <c r="J1280" s="148">
        <v>186390.5325</v>
      </c>
      <c r="K1280" s="148">
        <v>218343.1953</v>
      </c>
      <c r="L1280" s="148">
        <v>186390.5325</v>
      </c>
      <c r="M1280" s="148"/>
      <c r="N1280" s="148">
        <v>143786.9822</v>
      </c>
      <c r="O1280" s="148">
        <v>126035.503</v>
      </c>
      <c r="P1280" s="148">
        <v>101183.432</v>
      </c>
      <c r="Q1280" s="146">
        <v>110059.1716</v>
      </c>
      <c r="R1280" s="148">
        <v>118934.9112</v>
      </c>
      <c r="S1280" s="148">
        <v>127810.6509</v>
      </c>
    </row>
    <row r="1281">
      <c r="A1281" s="145">
        <v>79.375</v>
      </c>
      <c r="B1281" s="145">
        <f t="shared" si="1"/>
        <v>25638.125</v>
      </c>
      <c r="C1281" s="148"/>
      <c r="D1281" s="145">
        <v>161538.4615</v>
      </c>
      <c r="E1281" s="148"/>
      <c r="F1281" s="148"/>
      <c r="G1281" s="148">
        <v>184615.3846</v>
      </c>
      <c r="H1281" s="148">
        <v>216568.0473</v>
      </c>
      <c r="I1281" s="146">
        <v>172189.3491</v>
      </c>
      <c r="J1281" s="148">
        <v>186390.5325</v>
      </c>
      <c r="K1281" s="148">
        <v>218343.1953</v>
      </c>
      <c r="L1281" s="148">
        <v>186390.5325</v>
      </c>
      <c r="M1281" s="148"/>
      <c r="N1281" s="148">
        <v>143786.9822</v>
      </c>
      <c r="O1281" s="148">
        <v>126035.503</v>
      </c>
      <c r="P1281" s="148">
        <v>101183.432</v>
      </c>
      <c r="Q1281" s="146">
        <v>110059.1716</v>
      </c>
      <c r="R1281" s="148">
        <v>118934.9112</v>
      </c>
      <c r="S1281" s="148">
        <v>127810.6509</v>
      </c>
    </row>
    <row r="1282">
      <c r="A1282" s="145">
        <v>79.438</v>
      </c>
      <c r="B1282" s="145">
        <f t="shared" si="1"/>
        <v>25658.474</v>
      </c>
      <c r="C1282" s="148"/>
      <c r="D1282" s="145">
        <v>163313.6095</v>
      </c>
      <c r="E1282" s="148"/>
      <c r="F1282" s="148"/>
      <c r="G1282" s="148">
        <v>184615.3846</v>
      </c>
      <c r="H1282" s="148">
        <v>216568.0473</v>
      </c>
      <c r="I1282" s="146">
        <v>172189.3491</v>
      </c>
      <c r="J1282" s="148">
        <v>186390.5325</v>
      </c>
      <c r="K1282" s="148">
        <v>218343.1953</v>
      </c>
      <c r="L1282" s="148">
        <v>186390.5325</v>
      </c>
      <c r="M1282" s="148"/>
      <c r="N1282" s="148">
        <v>143786.9822</v>
      </c>
      <c r="O1282" s="148">
        <v>127810.6509</v>
      </c>
      <c r="P1282" s="148">
        <v>101183.432</v>
      </c>
      <c r="Q1282" s="146">
        <v>110059.1716</v>
      </c>
      <c r="R1282" s="148">
        <v>118934.9112</v>
      </c>
      <c r="S1282" s="148">
        <v>127810.6509</v>
      </c>
    </row>
    <row r="1283">
      <c r="A1283" s="145">
        <v>79.5</v>
      </c>
      <c r="B1283" s="145">
        <f t="shared" si="1"/>
        <v>25678.5</v>
      </c>
      <c r="C1283" s="148"/>
      <c r="D1283" s="145">
        <v>163313.6095</v>
      </c>
      <c r="E1283" s="148"/>
      <c r="F1283" s="148"/>
      <c r="G1283" s="148">
        <v>184615.3846</v>
      </c>
      <c r="H1283" s="148">
        <v>216568.0473</v>
      </c>
      <c r="I1283" s="146">
        <v>173964.497</v>
      </c>
      <c r="J1283" s="148">
        <v>186390.5325</v>
      </c>
      <c r="K1283" s="148">
        <v>218343.1953</v>
      </c>
      <c r="L1283" s="148">
        <v>188165.6805</v>
      </c>
      <c r="M1283" s="148"/>
      <c r="N1283" s="148">
        <v>143786.9822</v>
      </c>
      <c r="O1283" s="148">
        <v>127810.6509</v>
      </c>
      <c r="P1283" s="148">
        <v>101183.432</v>
      </c>
      <c r="Q1283" s="146">
        <v>110059.1716</v>
      </c>
      <c r="R1283" s="148">
        <v>118934.9112</v>
      </c>
      <c r="S1283" s="148">
        <v>127810.6509</v>
      </c>
    </row>
    <row r="1284">
      <c r="A1284" s="145">
        <v>79.563</v>
      </c>
      <c r="B1284" s="145">
        <f t="shared" si="1"/>
        <v>25698.849</v>
      </c>
      <c r="C1284" s="148"/>
      <c r="D1284" s="145">
        <v>163313.6095</v>
      </c>
      <c r="E1284" s="148"/>
      <c r="F1284" s="148"/>
      <c r="G1284" s="148">
        <v>184615.3846</v>
      </c>
      <c r="H1284" s="148">
        <v>216568.0473</v>
      </c>
      <c r="I1284" s="146">
        <v>173964.497</v>
      </c>
      <c r="J1284" s="148">
        <v>186390.5325</v>
      </c>
      <c r="K1284" s="148">
        <v>218343.1953</v>
      </c>
      <c r="L1284" s="148">
        <v>188165.6805</v>
      </c>
      <c r="M1284" s="148"/>
      <c r="N1284" s="148">
        <v>143786.9822</v>
      </c>
      <c r="O1284" s="148">
        <v>127810.6509</v>
      </c>
      <c r="P1284" s="148">
        <v>101183.432</v>
      </c>
      <c r="Q1284" s="146">
        <v>110059.1716</v>
      </c>
      <c r="R1284" s="148">
        <v>118934.9112</v>
      </c>
      <c r="S1284" s="148">
        <v>127810.6509</v>
      </c>
    </row>
    <row r="1285">
      <c r="A1285" s="145">
        <v>79.641</v>
      </c>
      <c r="B1285" s="145">
        <f t="shared" si="1"/>
        <v>25724.043</v>
      </c>
      <c r="C1285" s="148"/>
      <c r="D1285" s="145">
        <v>163313.6095</v>
      </c>
      <c r="E1285" s="148"/>
      <c r="F1285" s="148"/>
      <c r="G1285" s="148">
        <v>184615.3846</v>
      </c>
      <c r="H1285" s="148">
        <v>216568.0473</v>
      </c>
      <c r="I1285" s="146">
        <v>173964.497</v>
      </c>
      <c r="J1285" s="148">
        <v>186390.5325</v>
      </c>
      <c r="K1285" s="148">
        <v>218343.1953</v>
      </c>
      <c r="L1285" s="148">
        <v>188165.6805</v>
      </c>
      <c r="M1285" s="148"/>
      <c r="N1285" s="148">
        <v>143786.9822</v>
      </c>
      <c r="O1285" s="148">
        <v>127810.6509</v>
      </c>
      <c r="P1285" s="148">
        <v>101183.432</v>
      </c>
      <c r="Q1285" s="146">
        <v>110059.1716</v>
      </c>
      <c r="R1285" s="148">
        <v>118934.9112</v>
      </c>
      <c r="S1285" s="148">
        <v>127810.6509</v>
      </c>
    </row>
    <row r="1286">
      <c r="A1286" s="145">
        <v>79.688</v>
      </c>
      <c r="B1286" s="145">
        <f t="shared" si="1"/>
        <v>25739.224</v>
      </c>
      <c r="C1286" s="148"/>
      <c r="D1286" s="145">
        <v>163313.6095</v>
      </c>
      <c r="E1286" s="148"/>
      <c r="F1286" s="148"/>
      <c r="G1286" s="148">
        <v>184615.3846</v>
      </c>
      <c r="H1286" s="148">
        <v>216568.0473</v>
      </c>
      <c r="I1286" s="146">
        <v>173964.497</v>
      </c>
      <c r="J1286" s="148">
        <v>186390.5325</v>
      </c>
      <c r="K1286" s="148">
        <v>218343.1953</v>
      </c>
      <c r="L1286" s="148">
        <v>188165.6805</v>
      </c>
      <c r="M1286" s="148"/>
      <c r="N1286" s="148">
        <v>143786.9822</v>
      </c>
      <c r="O1286" s="148">
        <v>127810.6509</v>
      </c>
      <c r="P1286" s="148">
        <v>101183.432</v>
      </c>
      <c r="Q1286" s="146">
        <v>110059.1716</v>
      </c>
      <c r="R1286" s="148">
        <v>118934.9112</v>
      </c>
      <c r="S1286" s="148">
        <v>127810.6509</v>
      </c>
    </row>
    <row r="1287">
      <c r="A1287" s="145">
        <v>79.75</v>
      </c>
      <c r="B1287" s="145">
        <f t="shared" si="1"/>
        <v>25759.25</v>
      </c>
      <c r="C1287" s="148"/>
      <c r="D1287" s="145">
        <v>163313.6095</v>
      </c>
      <c r="E1287" s="148"/>
      <c r="F1287" s="148"/>
      <c r="G1287" s="148">
        <v>184615.3846</v>
      </c>
      <c r="H1287" s="148">
        <v>216568.0473</v>
      </c>
      <c r="I1287" s="146">
        <v>173964.497</v>
      </c>
      <c r="J1287" s="148">
        <v>186390.5325</v>
      </c>
      <c r="K1287" s="148">
        <v>218343.1953</v>
      </c>
      <c r="L1287" s="148">
        <v>188165.6805</v>
      </c>
      <c r="M1287" s="148"/>
      <c r="N1287" s="148">
        <v>143786.9822</v>
      </c>
      <c r="O1287" s="148">
        <v>127810.6509</v>
      </c>
      <c r="P1287" s="148">
        <v>101183.432</v>
      </c>
      <c r="Q1287" s="146">
        <v>110059.1716</v>
      </c>
      <c r="R1287" s="148">
        <v>118934.9112</v>
      </c>
      <c r="S1287" s="148">
        <v>127810.6509</v>
      </c>
    </row>
    <row r="1288">
      <c r="A1288" s="145">
        <v>79.813</v>
      </c>
      <c r="B1288" s="145">
        <f t="shared" si="1"/>
        <v>25779.599</v>
      </c>
      <c r="C1288" s="148"/>
      <c r="D1288" s="145">
        <v>163313.6095</v>
      </c>
      <c r="E1288" s="148"/>
      <c r="F1288" s="148"/>
      <c r="G1288" s="148">
        <v>184615.3846</v>
      </c>
      <c r="H1288" s="148">
        <v>216568.0473</v>
      </c>
      <c r="I1288" s="146">
        <v>173964.497</v>
      </c>
      <c r="J1288" s="148">
        <v>188165.6805</v>
      </c>
      <c r="K1288" s="148">
        <v>218343.1953</v>
      </c>
      <c r="L1288" s="148">
        <v>188165.6805</v>
      </c>
      <c r="M1288" s="148"/>
      <c r="N1288" s="148">
        <v>143786.9822</v>
      </c>
      <c r="O1288" s="148">
        <v>127810.6509</v>
      </c>
      <c r="P1288" s="148">
        <v>101183.432</v>
      </c>
      <c r="Q1288" s="146">
        <v>110059.1716</v>
      </c>
      <c r="R1288" s="148">
        <v>118934.9112</v>
      </c>
      <c r="S1288" s="148">
        <v>127810.6509</v>
      </c>
    </row>
    <row r="1289">
      <c r="A1289" s="145">
        <v>79.875</v>
      </c>
      <c r="B1289" s="145">
        <f t="shared" si="1"/>
        <v>25799.625</v>
      </c>
      <c r="C1289" s="148"/>
      <c r="D1289" s="145">
        <v>163313.6095</v>
      </c>
      <c r="E1289" s="148"/>
      <c r="F1289" s="148"/>
      <c r="G1289" s="148">
        <v>184615.3846</v>
      </c>
      <c r="H1289" s="148">
        <v>216568.0473</v>
      </c>
      <c r="I1289" s="146">
        <v>173964.497</v>
      </c>
      <c r="J1289" s="148">
        <v>188165.6805</v>
      </c>
      <c r="K1289" s="148">
        <v>218343.1953</v>
      </c>
      <c r="L1289" s="148">
        <v>188165.6805</v>
      </c>
      <c r="M1289" s="148"/>
      <c r="N1289" s="148">
        <v>143786.9822</v>
      </c>
      <c r="O1289" s="148">
        <v>127810.6509</v>
      </c>
      <c r="P1289" s="148">
        <v>101183.432</v>
      </c>
      <c r="Q1289" s="146">
        <v>110059.1716</v>
      </c>
      <c r="R1289" s="148">
        <v>118934.9112</v>
      </c>
      <c r="S1289" s="148">
        <v>127810.6509</v>
      </c>
    </row>
    <row r="1290">
      <c r="A1290" s="145">
        <v>79.938</v>
      </c>
      <c r="B1290" s="145">
        <f t="shared" si="1"/>
        <v>25819.974</v>
      </c>
      <c r="C1290" s="148"/>
      <c r="D1290" s="145">
        <v>163313.6095</v>
      </c>
      <c r="E1290" s="148"/>
      <c r="F1290" s="148"/>
      <c r="G1290" s="148">
        <v>184615.3846</v>
      </c>
      <c r="H1290" s="148">
        <v>216568.0473</v>
      </c>
      <c r="I1290" s="146">
        <v>173964.497</v>
      </c>
      <c r="J1290" s="148">
        <v>188165.6805</v>
      </c>
      <c r="K1290" s="148">
        <v>218343.1953</v>
      </c>
      <c r="L1290" s="148">
        <v>188165.6805</v>
      </c>
      <c r="M1290" s="148"/>
      <c r="N1290" s="148">
        <v>143786.9822</v>
      </c>
      <c r="O1290" s="148">
        <v>127810.6509</v>
      </c>
      <c r="P1290" s="148">
        <v>101183.432</v>
      </c>
      <c r="Q1290" s="146">
        <v>110059.1716</v>
      </c>
      <c r="R1290" s="148">
        <v>118934.9112</v>
      </c>
      <c r="S1290" s="148">
        <v>129585.7988</v>
      </c>
    </row>
    <row r="1291">
      <c r="A1291" s="145">
        <v>80.016</v>
      </c>
      <c r="B1291" s="145">
        <f t="shared" si="1"/>
        <v>25845.168</v>
      </c>
      <c r="C1291" s="148"/>
      <c r="D1291" s="145">
        <v>163313.6095</v>
      </c>
      <c r="E1291" s="148"/>
      <c r="F1291" s="148"/>
      <c r="G1291" s="148">
        <v>184615.3846</v>
      </c>
      <c r="H1291" s="148">
        <v>218343.1953</v>
      </c>
      <c r="I1291" s="146">
        <v>173964.497</v>
      </c>
      <c r="J1291" s="148">
        <v>188165.6805</v>
      </c>
      <c r="K1291" s="148">
        <v>220118.3432</v>
      </c>
      <c r="L1291" s="148">
        <v>188165.6805</v>
      </c>
      <c r="M1291" s="148"/>
      <c r="N1291" s="148">
        <v>143786.9822</v>
      </c>
      <c r="O1291" s="148">
        <v>127810.6509</v>
      </c>
      <c r="P1291" s="148">
        <v>101183.432</v>
      </c>
      <c r="Q1291" s="146">
        <v>111834.3195</v>
      </c>
      <c r="R1291" s="148">
        <v>118934.9112</v>
      </c>
      <c r="S1291" s="148">
        <v>129585.7988</v>
      </c>
    </row>
    <row r="1292">
      <c r="A1292" s="145"/>
      <c r="B1292" s="145"/>
      <c r="C1292" s="148"/>
      <c r="D1292" s="145"/>
      <c r="E1292" s="148"/>
      <c r="F1292" s="148"/>
      <c r="G1292" s="148"/>
      <c r="H1292" s="148"/>
      <c r="I1292" s="146"/>
      <c r="J1292" s="148"/>
      <c r="K1292" s="148"/>
      <c r="L1292" s="148"/>
      <c r="M1292" s="148"/>
      <c r="N1292" s="148"/>
      <c r="O1292" s="148"/>
      <c r="P1292" s="148"/>
      <c r="Q1292" s="146"/>
      <c r="R1292" s="148"/>
      <c r="S1292" s="148"/>
    </row>
    <row r="1293">
      <c r="A1293" s="145"/>
      <c r="B1293" s="145"/>
      <c r="C1293" s="148"/>
      <c r="D1293" s="145"/>
      <c r="E1293" s="148"/>
      <c r="F1293" s="148"/>
      <c r="G1293" s="148"/>
      <c r="H1293" s="148"/>
      <c r="I1293" s="146"/>
      <c r="J1293" s="148"/>
      <c r="K1293" s="148"/>
      <c r="L1293" s="148"/>
      <c r="M1293" s="148"/>
      <c r="N1293" s="148"/>
      <c r="O1293" s="148"/>
      <c r="P1293" s="148"/>
      <c r="Q1293" s="146"/>
      <c r="R1293" s="148"/>
      <c r="S1293" s="148"/>
    </row>
    <row r="1294">
      <c r="A1294" s="145"/>
      <c r="B1294" s="145"/>
      <c r="C1294" s="148"/>
      <c r="D1294" s="145"/>
      <c r="E1294" s="148"/>
      <c r="F1294" s="148"/>
      <c r="G1294" s="148"/>
      <c r="H1294" s="148"/>
      <c r="I1294" s="146"/>
      <c r="J1294" s="148"/>
      <c r="K1294" s="148"/>
      <c r="L1294" s="148"/>
      <c r="M1294" s="148"/>
      <c r="N1294" s="148"/>
      <c r="O1294" s="148"/>
      <c r="P1294" s="148"/>
      <c r="Q1294" s="146"/>
      <c r="R1294" s="148"/>
      <c r="S1294" s="148"/>
    </row>
    <row r="1295">
      <c r="A1295" s="145"/>
      <c r="B1295" s="145"/>
      <c r="C1295" s="148"/>
      <c r="D1295" s="145"/>
      <c r="E1295" s="148"/>
      <c r="F1295" s="148"/>
      <c r="G1295" s="148"/>
      <c r="H1295" s="148"/>
      <c r="I1295" s="146"/>
      <c r="J1295" s="148"/>
      <c r="K1295" s="148"/>
      <c r="L1295" s="148"/>
      <c r="M1295" s="148"/>
      <c r="N1295" s="148"/>
      <c r="O1295" s="148"/>
      <c r="P1295" s="148"/>
      <c r="Q1295" s="146"/>
      <c r="R1295" s="148"/>
      <c r="S1295" s="148"/>
    </row>
    <row r="1296">
      <c r="A1296" s="145"/>
      <c r="B1296" s="145"/>
      <c r="C1296" s="148"/>
      <c r="D1296" s="145"/>
      <c r="E1296" s="148"/>
      <c r="F1296" s="148"/>
      <c r="G1296" s="148"/>
      <c r="H1296" s="148"/>
      <c r="I1296" s="146"/>
      <c r="J1296" s="148"/>
      <c r="K1296" s="148"/>
      <c r="L1296" s="148"/>
      <c r="M1296" s="148"/>
      <c r="N1296" s="148"/>
      <c r="O1296" s="148"/>
      <c r="P1296" s="148"/>
      <c r="Q1296" s="146"/>
      <c r="R1296" s="148"/>
      <c r="S1296" s="148"/>
    </row>
    <row r="1297">
      <c r="A1297" s="145"/>
      <c r="B1297" s="145"/>
      <c r="C1297" s="148"/>
      <c r="D1297" s="145"/>
      <c r="E1297" s="148"/>
      <c r="F1297" s="148"/>
      <c r="G1297" s="148"/>
      <c r="H1297" s="148"/>
      <c r="I1297" s="146"/>
      <c r="J1297" s="148"/>
      <c r="K1297" s="148"/>
      <c r="L1297" s="148"/>
      <c r="M1297" s="148"/>
      <c r="N1297" s="148"/>
      <c r="O1297" s="148"/>
      <c r="P1297" s="148"/>
      <c r="Q1297" s="146"/>
      <c r="R1297" s="148"/>
      <c r="S1297" s="148"/>
    </row>
    <row r="1298">
      <c r="A1298" s="145"/>
      <c r="B1298" s="145"/>
      <c r="C1298" s="148"/>
      <c r="D1298" s="145"/>
      <c r="E1298" s="148"/>
      <c r="F1298" s="148"/>
      <c r="G1298" s="148"/>
      <c r="H1298" s="148"/>
      <c r="I1298" s="146"/>
      <c r="J1298" s="148"/>
      <c r="K1298" s="148"/>
      <c r="L1298" s="148"/>
      <c r="M1298" s="148"/>
      <c r="N1298" s="148"/>
      <c r="O1298" s="148"/>
      <c r="P1298" s="148"/>
      <c r="Q1298" s="146"/>
      <c r="R1298" s="148"/>
      <c r="S1298" s="148"/>
    </row>
    <row r="1299">
      <c r="A1299" s="145"/>
      <c r="B1299" s="145"/>
      <c r="C1299" s="148"/>
      <c r="D1299" s="145"/>
      <c r="E1299" s="148"/>
      <c r="F1299" s="148"/>
      <c r="G1299" s="148"/>
      <c r="H1299" s="148"/>
      <c r="I1299" s="146"/>
      <c r="J1299" s="148"/>
      <c r="K1299" s="148"/>
      <c r="L1299" s="148"/>
      <c r="M1299" s="148"/>
      <c r="N1299" s="148"/>
      <c r="O1299" s="148"/>
      <c r="P1299" s="148"/>
      <c r="Q1299" s="146"/>
      <c r="R1299" s="148"/>
      <c r="S1299" s="148"/>
    </row>
    <row r="1300">
      <c r="A1300" s="145"/>
      <c r="B1300" s="145"/>
      <c r="C1300" s="148"/>
      <c r="D1300" s="145"/>
      <c r="E1300" s="148"/>
      <c r="F1300" s="148"/>
      <c r="G1300" s="148"/>
      <c r="H1300" s="148"/>
      <c r="I1300" s="146"/>
      <c r="J1300" s="148"/>
      <c r="K1300" s="148"/>
      <c r="L1300" s="148"/>
      <c r="M1300" s="148"/>
      <c r="N1300" s="148"/>
      <c r="O1300" s="148"/>
      <c r="P1300" s="148"/>
      <c r="Q1300" s="146"/>
      <c r="R1300" s="148"/>
      <c r="S1300" s="148"/>
    </row>
    <row r="1301">
      <c r="A1301" s="145"/>
      <c r="B1301" s="145"/>
      <c r="C1301" s="148"/>
      <c r="D1301" s="145"/>
      <c r="E1301" s="148"/>
      <c r="F1301" s="148"/>
      <c r="G1301" s="148"/>
      <c r="H1301" s="148"/>
      <c r="I1301" s="146"/>
      <c r="J1301" s="148"/>
      <c r="K1301" s="148"/>
      <c r="L1301" s="148"/>
      <c r="M1301" s="148"/>
      <c r="N1301" s="148"/>
      <c r="O1301" s="148"/>
      <c r="P1301" s="148"/>
      <c r="Q1301" s="146"/>
      <c r="R1301" s="148"/>
      <c r="S1301" s="148"/>
    </row>
    <row r="1302">
      <c r="A1302" s="145"/>
      <c r="B1302" s="145"/>
      <c r="C1302" s="148"/>
      <c r="D1302" s="145"/>
      <c r="E1302" s="148"/>
      <c r="F1302" s="148"/>
      <c r="G1302" s="148"/>
      <c r="H1302" s="148"/>
      <c r="I1302" s="146"/>
      <c r="J1302" s="148"/>
      <c r="K1302" s="148"/>
      <c r="L1302" s="148"/>
      <c r="M1302" s="148"/>
      <c r="N1302" s="148"/>
      <c r="O1302" s="148"/>
      <c r="P1302" s="148"/>
      <c r="Q1302" s="146"/>
      <c r="R1302" s="148"/>
      <c r="S1302" s="148"/>
    </row>
    <row r="1303">
      <c r="A1303" s="145"/>
      <c r="B1303" s="145"/>
      <c r="C1303" s="148"/>
      <c r="D1303" s="145"/>
      <c r="E1303" s="148"/>
      <c r="F1303" s="148"/>
      <c r="G1303" s="148"/>
      <c r="H1303" s="148"/>
      <c r="I1303" s="146"/>
      <c r="J1303" s="148"/>
      <c r="K1303" s="148"/>
      <c r="L1303" s="148"/>
      <c r="M1303" s="148"/>
      <c r="N1303" s="148"/>
      <c r="O1303" s="148"/>
      <c r="P1303" s="148"/>
      <c r="Q1303" s="146"/>
      <c r="R1303" s="148"/>
      <c r="S1303" s="148"/>
    </row>
    <row r="1304">
      <c r="A1304" s="145"/>
      <c r="B1304" s="145"/>
      <c r="C1304" s="148"/>
      <c r="D1304" s="145"/>
      <c r="E1304" s="148"/>
      <c r="F1304" s="148"/>
      <c r="G1304" s="148"/>
      <c r="H1304" s="148"/>
      <c r="I1304" s="146"/>
      <c r="J1304" s="148"/>
      <c r="K1304" s="148"/>
      <c r="L1304" s="148"/>
      <c r="M1304" s="148"/>
      <c r="N1304" s="148"/>
      <c r="O1304" s="148"/>
      <c r="P1304" s="148"/>
      <c r="Q1304" s="146"/>
      <c r="R1304" s="148"/>
      <c r="S1304" s="148"/>
    </row>
    <row r="1305">
      <c r="A1305" s="145"/>
      <c r="B1305" s="145"/>
      <c r="C1305" s="148"/>
      <c r="D1305" s="145"/>
      <c r="E1305" s="148"/>
      <c r="F1305" s="148"/>
      <c r="G1305" s="148"/>
      <c r="H1305" s="148"/>
      <c r="I1305" s="146"/>
      <c r="J1305" s="148"/>
      <c r="K1305" s="148"/>
      <c r="L1305" s="148"/>
      <c r="M1305" s="148"/>
      <c r="N1305" s="148"/>
      <c r="O1305" s="148"/>
      <c r="P1305" s="148"/>
      <c r="Q1305" s="146"/>
      <c r="R1305" s="148"/>
      <c r="S1305" s="148"/>
    </row>
    <row r="1306">
      <c r="A1306" s="145"/>
      <c r="B1306" s="145"/>
      <c r="C1306" s="148"/>
      <c r="D1306" s="145"/>
      <c r="E1306" s="148"/>
      <c r="F1306" s="148"/>
      <c r="G1306" s="148"/>
      <c r="H1306" s="148"/>
      <c r="I1306" s="146"/>
      <c r="J1306" s="148"/>
      <c r="K1306" s="148"/>
      <c r="L1306" s="148"/>
      <c r="M1306" s="148"/>
      <c r="N1306" s="148"/>
      <c r="O1306" s="148"/>
      <c r="P1306" s="148"/>
      <c r="Q1306" s="146"/>
      <c r="R1306" s="148"/>
      <c r="S1306" s="148"/>
    </row>
    <row r="1307">
      <c r="A1307" s="145"/>
      <c r="B1307" s="145"/>
      <c r="C1307" s="148"/>
      <c r="D1307" s="145"/>
      <c r="E1307" s="148"/>
      <c r="F1307" s="148"/>
      <c r="G1307" s="148"/>
      <c r="H1307" s="148"/>
      <c r="I1307" s="146"/>
      <c r="J1307" s="148"/>
      <c r="K1307" s="148"/>
      <c r="L1307" s="148"/>
      <c r="M1307" s="148"/>
      <c r="N1307" s="148"/>
      <c r="O1307" s="148"/>
      <c r="P1307" s="148"/>
      <c r="Q1307" s="146"/>
      <c r="R1307" s="148"/>
      <c r="S1307" s="148"/>
    </row>
    <row r="1308">
      <c r="A1308" s="145"/>
      <c r="B1308" s="145"/>
      <c r="C1308" s="148"/>
      <c r="D1308" s="145"/>
      <c r="E1308" s="148"/>
      <c r="F1308" s="148"/>
      <c r="G1308" s="148"/>
      <c r="H1308" s="148"/>
      <c r="I1308" s="146"/>
      <c r="J1308" s="148"/>
      <c r="K1308" s="148"/>
      <c r="L1308" s="148"/>
      <c r="M1308" s="148"/>
      <c r="N1308" s="148"/>
      <c r="O1308" s="148"/>
      <c r="P1308" s="148"/>
      <c r="Q1308" s="146"/>
      <c r="R1308" s="148"/>
      <c r="S1308" s="148"/>
    </row>
    <row r="1309">
      <c r="A1309" s="145"/>
      <c r="B1309" s="145"/>
      <c r="C1309" s="148"/>
      <c r="D1309" s="145"/>
      <c r="E1309" s="148"/>
      <c r="F1309" s="148"/>
      <c r="G1309" s="148"/>
      <c r="H1309" s="148"/>
      <c r="I1309" s="146"/>
      <c r="J1309" s="148"/>
      <c r="K1309" s="148"/>
      <c r="L1309" s="148"/>
      <c r="M1309" s="148"/>
      <c r="N1309" s="148"/>
      <c r="O1309" s="148"/>
      <c r="P1309" s="148"/>
      <c r="Q1309" s="146"/>
      <c r="R1309" s="148"/>
      <c r="S1309" s="148"/>
    </row>
    <row r="1310">
      <c r="A1310" s="145"/>
      <c r="B1310" s="145"/>
      <c r="C1310" s="148"/>
      <c r="D1310" s="145"/>
      <c r="E1310" s="148"/>
      <c r="F1310" s="148"/>
      <c r="G1310" s="148"/>
      <c r="H1310" s="148"/>
      <c r="I1310" s="146"/>
      <c r="J1310" s="148"/>
      <c r="K1310" s="148"/>
      <c r="L1310" s="148"/>
      <c r="M1310" s="148"/>
      <c r="N1310" s="148"/>
      <c r="O1310" s="148"/>
      <c r="P1310" s="148"/>
      <c r="Q1310" s="146"/>
      <c r="R1310" s="148"/>
      <c r="S1310" s="148"/>
    </row>
    <row r="1311">
      <c r="A1311" s="145"/>
      <c r="B1311" s="145"/>
      <c r="C1311" s="148"/>
      <c r="D1311" s="145"/>
      <c r="E1311" s="148"/>
      <c r="F1311" s="148"/>
      <c r="G1311" s="148"/>
      <c r="H1311" s="148"/>
      <c r="I1311" s="146"/>
      <c r="J1311" s="148"/>
      <c r="K1311" s="148"/>
      <c r="L1311" s="148"/>
      <c r="M1311" s="148"/>
      <c r="N1311" s="148"/>
      <c r="O1311" s="148"/>
      <c r="P1311" s="148"/>
      <c r="Q1311" s="146"/>
      <c r="R1311" s="148"/>
      <c r="S1311" s="148"/>
    </row>
    <row r="1312">
      <c r="A1312" s="145"/>
      <c r="B1312" s="145"/>
      <c r="C1312" s="148"/>
      <c r="D1312" s="145"/>
      <c r="E1312" s="148"/>
      <c r="F1312" s="148"/>
      <c r="G1312" s="148"/>
      <c r="H1312" s="148"/>
      <c r="I1312" s="146"/>
      <c r="J1312" s="148"/>
      <c r="K1312" s="148"/>
      <c r="L1312" s="148"/>
      <c r="M1312" s="148"/>
      <c r="N1312" s="148"/>
      <c r="O1312" s="148"/>
      <c r="P1312" s="148"/>
      <c r="Q1312" s="146"/>
      <c r="R1312" s="148"/>
      <c r="S1312" s="148"/>
    </row>
    <row r="1313">
      <c r="A1313" s="145"/>
      <c r="B1313" s="145"/>
      <c r="C1313" s="148"/>
      <c r="D1313" s="145"/>
      <c r="E1313" s="148"/>
      <c r="F1313" s="148"/>
      <c r="G1313" s="148"/>
      <c r="H1313" s="148"/>
      <c r="I1313" s="146"/>
      <c r="J1313" s="148"/>
      <c r="K1313" s="148"/>
      <c r="L1313" s="148"/>
      <c r="M1313" s="148"/>
      <c r="N1313" s="148"/>
      <c r="O1313" s="148"/>
      <c r="P1313" s="148"/>
      <c r="Q1313" s="146"/>
      <c r="R1313" s="148"/>
      <c r="S1313" s="148"/>
    </row>
    <row r="1314">
      <c r="A1314" s="145"/>
      <c r="B1314" s="145"/>
      <c r="C1314" s="148"/>
      <c r="D1314" s="145"/>
      <c r="E1314" s="148"/>
      <c r="F1314" s="148"/>
      <c r="G1314" s="148"/>
      <c r="H1314" s="148"/>
      <c r="I1314" s="146"/>
      <c r="J1314" s="148"/>
      <c r="K1314" s="148"/>
      <c r="L1314" s="148"/>
      <c r="M1314" s="148"/>
      <c r="N1314" s="148"/>
      <c r="O1314" s="148"/>
      <c r="P1314" s="148"/>
      <c r="Q1314" s="146"/>
      <c r="R1314" s="148"/>
      <c r="S1314" s="148"/>
    </row>
    <row r="1315">
      <c r="A1315" s="145"/>
      <c r="B1315" s="145"/>
      <c r="C1315" s="148"/>
      <c r="D1315" s="145"/>
      <c r="E1315" s="148"/>
      <c r="F1315" s="148"/>
      <c r="G1315" s="148"/>
      <c r="H1315" s="148"/>
      <c r="I1315" s="146"/>
      <c r="J1315" s="148"/>
      <c r="K1315" s="148"/>
      <c r="L1315" s="148"/>
      <c r="M1315" s="148"/>
      <c r="N1315" s="148"/>
      <c r="O1315" s="148"/>
      <c r="P1315" s="148"/>
      <c r="Q1315" s="146"/>
      <c r="R1315" s="148"/>
      <c r="S1315" s="148"/>
    </row>
    <row r="1316">
      <c r="A1316" s="145"/>
      <c r="B1316" s="145"/>
      <c r="C1316" s="148"/>
      <c r="D1316" s="145"/>
      <c r="E1316" s="148"/>
      <c r="F1316" s="148"/>
      <c r="G1316" s="148"/>
      <c r="H1316" s="148"/>
      <c r="I1316" s="146"/>
      <c r="J1316" s="148"/>
      <c r="K1316" s="148"/>
      <c r="L1316" s="148"/>
      <c r="M1316" s="148"/>
      <c r="N1316" s="148"/>
      <c r="O1316" s="148"/>
      <c r="P1316" s="148"/>
      <c r="Q1316" s="146"/>
      <c r="R1316" s="148"/>
      <c r="S1316" s="148"/>
    </row>
    <row r="1317">
      <c r="A1317" s="145"/>
      <c r="B1317" s="145"/>
      <c r="C1317" s="148"/>
      <c r="D1317" s="145"/>
      <c r="E1317" s="148"/>
      <c r="F1317" s="148"/>
      <c r="G1317" s="148"/>
      <c r="H1317" s="148"/>
      <c r="I1317" s="146"/>
      <c r="J1317" s="148"/>
      <c r="K1317" s="148"/>
      <c r="L1317" s="148"/>
      <c r="M1317" s="148"/>
      <c r="N1317" s="148"/>
      <c r="O1317" s="148"/>
      <c r="P1317" s="148"/>
      <c r="Q1317" s="146"/>
      <c r="R1317" s="148"/>
      <c r="S1317" s="148"/>
    </row>
    <row r="1318">
      <c r="A1318" s="145"/>
      <c r="B1318" s="145"/>
      <c r="C1318" s="148"/>
      <c r="D1318" s="145"/>
      <c r="E1318" s="148"/>
      <c r="F1318" s="148"/>
      <c r="G1318" s="148"/>
      <c r="H1318" s="148"/>
      <c r="I1318" s="146"/>
      <c r="J1318" s="148"/>
      <c r="K1318" s="148"/>
      <c r="L1318" s="148"/>
      <c r="M1318" s="148"/>
      <c r="N1318" s="148"/>
      <c r="O1318" s="148"/>
      <c r="P1318" s="148"/>
      <c r="Q1318" s="146"/>
      <c r="R1318" s="148"/>
      <c r="S1318" s="148"/>
    </row>
    <row r="1319">
      <c r="A1319" s="145"/>
      <c r="B1319" s="145"/>
      <c r="C1319" s="148"/>
      <c r="D1319" s="145"/>
      <c r="E1319" s="148"/>
      <c r="F1319" s="148"/>
      <c r="G1319" s="148"/>
      <c r="H1319" s="148"/>
      <c r="I1319" s="146"/>
      <c r="J1319" s="148"/>
      <c r="K1319" s="148"/>
      <c r="L1319" s="148"/>
      <c r="M1319" s="148"/>
      <c r="N1319" s="148"/>
      <c r="O1319" s="148"/>
      <c r="P1319" s="148"/>
      <c r="Q1319" s="146"/>
      <c r="R1319" s="148"/>
      <c r="S1319" s="148"/>
    </row>
    <row r="1320">
      <c r="A1320" s="145"/>
      <c r="B1320" s="145"/>
      <c r="C1320" s="148"/>
      <c r="D1320" s="145"/>
      <c r="E1320" s="148"/>
      <c r="F1320" s="148"/>
      <c r="G1320" s="148"/>
      <c r="H1320" s="148"/>
      <c r="I1320" s="146"/>
      <c r="J1320" s="148"/>
      <c r="K1320" s="148"/>
      <c r="L1320" s="148"/>
      <c r="M1320" s="148"/>
      <c r="N1320" s="148"/>
      <c r="O1320" s="148"/>
      <c r="P1320" s="148"/>
      <c r="Q1320" s="146"/>
      <c r="R1320" s="148"/>
      <c r="S1320" s="148"/>
    </row>
    <row r="1321">
      <c r="A1321" s="145"/>
      <c r="B1321" s="145"/>
      <c r="C1321" s="148"/>
      <c r="D1321" s="145"/>
      <c r="E1321" s="148"/>
      <c r="F1321" s="148"/>
      <c r="G1321" s="148"/>
      <c r="H1321" s="148"/>
      <c r="I1321" s="146"/>
      <c r="J1321" s="148"/>
      <c r="K1321" s="148"/>
      <c r="L1321" s="148"/>
      <c r="M1321" s="148"/>
      <c r="N1321" s="148"/>
      <c r="O1321" s="148"/>
      <c r="P1321" s="148"/>
      <c r="Q1321" s="146"/>
      <c r="R1321" s="148"/>
      <c r="S1321" s="148"/>
    </row>
    <row r="1322">
      <c r="A1322" s="145"/>
      <c r="B1322" s="145"/>
      <c r="C1322" s="148"/>
      <c r="D1322" s="145"/>
      <c r="E1322" s="148"/>
      <c r="F1322" s="148"/>
      <c r="G1322" s="148"/>
      <c r="H1322" s="148"/>
      <c r="I1322" s="146"/>
      <c r="J1322" s="148"/>
      <c r="K1322" s="148"/>
      <c r="L1322" s="148"/>
      <c r="M1322" s="148"/>
      <c r="N1322" s="148"/>
      <c r="O1322" s="148"/>
      <c r="P1322" s="148"/>
      <c r="Q1322" s="146"/>
      <c r="R1322" s="148"/>
      <c r="S1322" s="148"/>
    </row>
    <row r="1323">
      <c r="A1323" s="145"/>
      <c r="B1323" s="145"/>
      <c r="C1323" s="148"/>
      <c r="D1323" s="145"/>
      <c r="E1323" s="148"/>
      <c r="F1323" s="148"/>
      <c r="G1323" s="148"/>
      <c r="H1323" s="148"/>
      <c r="I1323" s="146"/>
      <c r="J1323" s="148"/>
      <c r="K1323" s="148"/>
      <c r="L1323" s="148"/>
      <c r="M1323" s="148"/>
      <c r="N1323" s="148"/>
      <c r="O1323" s="148"/>
      <c r="P1323" s="148"/>
      <c r="Q1323" s="146"/>
      <c r="R1323" s="148"/>
      <c r="S1323" s="148"/>
    </row>
    <row r="1324">
      <c r="A1324" s="145"/>
      <c r="B1324" s="145"/>
      <c r="C1324" s="148"/>
      <c r="D1324" s="145"/>
      <c r="E1324" s="148"/>
      <c r="F1324" s="148"/>
      <c r="G1324" s="148"/>
      <c r="H1324" s="148"/>
      <c r="I1324" s="146"/>
      <c r="J1324" s="148"/>
      <c r="K1324" s="148"/>
      <c r="L1324" s="148"/>
      <c r="M1324" s="148"/>
      <c r="N1324" s="148"/>
      <c r="O1324" s="148"/>
      <c r="P1324" s="148"/>
      <c r="Q1324" s="146"/>
      <c r="R1324" s="148"/>
      <c r="S1324" s="148"/>
    </row>
    <row r="1325">
      <c r="A1325" s="145"/>
      <c r="B1325" s="145"/>
      <c r="C1325" s="148"/>
      <c r="D1325" s="145"/>
      <c r="E1325" s="148"/>
      <c r="F1325" s="148"/>
      <c r="G1325" s="148"/>
      <c r="H1325" s="148"/>
      <c r="I1325" s="146"/>
      <c r="J1325" s="148"/>
      <c r="K1325" s="148"/>
      <c r="L1325" s="148"/>
      <c r="M1325" s="148"/>
      <c r="N1325" s="148"/>
      <c r="O1325" s="148"/>
      <c r="P1325" s="148"/>
      <c r="Q1325" s="146"/>
      <c r="R1325" s="148"/>
      <c r="S1325" s="148"/>
    </row>
    <row r="1326">
      <c r="A1326" s="145"/>
      <c r="B1326" s="145"/>
      <c r="C1326" s="148"/>
      <c r="D1326" s="145"/>
      <c r="E1326" s="148"/>
      <c r="F1326" s="148"/>
      <c r="G1326" s="148"/>
      <c r="H1326" s="148"/>
      <c r="I1326" s="146"/>
      <c r="J1326" s="148"/>
      <c r="K1326" s="148"/>
      <c r="L1326" s="148"/>
      <c r="M1326" s="148"/>
      <c r="N1326" s="148"/>
      <c r="O1326" s="148"/>
      <c r="P1326" s="148"/>
      <c r="Q1326" s="146"/>
      <c r="R1326" s="148"/>
      <c r="S1326" s="148"/>
    </row>
    <row r="1327">
      <c r="A1327" s="145"/>
      <c r="B1327" s="145"/>
      <c r="C1327" s="148"/>
      <c r="D1327" s="145"/>
      <c r="E1327" s="148"/>
      <c r="F1327" s="148"/>
      <c r="G1327" s="148"/>
      <c r="H1327" s="148"/>
      <c r="I1327" s="146"/>
      <c r="J1327" s="148"/>
      <c r="K1327" s="148"/>
      <c r="L1327" s="148"/>
      <c r="M1327" s="148"/>
      <c r="N1327" s="148"/>
      <c r="O1327" s="148"/>
      <c r="P1327" s="148"/>
      <c r="Q1327" s="146"/>
      <c r="R1327" s="148"/>
      <c r="S1327" s="148"/>
    </row>
    <row r="1328">
      <c r="A1328" s="145"/>
      <c r="B1328" s="145"/>
      <c r="C1328" s="148"/>
      <c r="D1328" s="145"/>
      <c r="E1328" s="148"/>
      <c r="F1328" s="148"/>
      <c r="G1328" s="148"/>
      <c r="H1328" s="148"/>
      <c r="I1328" s="146"/>
      <c r="J1328" s="148"/>
      <c r="K1328" s="148"/>
      <c r="L1328" s="148"/>
      <c r="M1328" s="148"/>
      <c r="N1328" s="148"/>
      <c r="O1328" s="148"/>
      <c r="P1328" s="148"/>
      <c r="Q1328" s="146"/>
      <c r="R1328" s="148"/>
      <c r="S1328" s="148"/>
    </row>
    <row r="1329">
      <c r="A1329" s="145"/>
      <c r="B1329" s="145"/>
      <c r="C1329" s="148"/>
      <c r="D1329" s="145"/>
      <c r="E1329" s="148"/>
      <c r="F1329" s="148"/>
      <c r="G1329" s="148"/>
      <c r="H1329" s="148"/>
      <c r="I1329" s="146"/>
      <c r="J1329" s="148"/>
      <c r="K1329" s="148"/>
      <c r="L1329" s="148"/>
      <c r="M1329" s="148"/>
      <c r="N1329" s="148"/>
      <c r="O1329" s="148"/>
      <c r="P1329" s="148"/>
      <c r="Q1329" s="146"/>
      <c r="R1329" s="148"/>
      <c r="S1329" s="148"/>
    </row>
    <row r="1330">
      <c r="A1330" s="145"/>
      <c r="B1330" s="145"/>
      <c r="C1330" s="148"/>
      <c r="D1330" s="145"/>
      <c r="E1330" s="148"/>
      <c r="F1330" s="148"/>
      <c r="G1330" s="148"/>
      <c r="H1330" s="148"/>
      <c r="I1330" s="146"/>
      <c r="J1330" s="148"/>
      <c r="K1330" s="148"/>
      <c r="L1330" s="148"/>
      <c r="M1330" s="148"/>
      <c r="N1330" s="148"/>
      <c r="O1330" s="148"/>
      <c r="P1330" s="148"/>
      <c r="Q1330" s="146"/>
      <c r="R1330" s="148"/>
      <c r="S1330" s="148"/>
    </row>
    <row r="1331">
      <c r="A1331" s="145"/>
      <c r="B1331" s="145"/>
      <c r="C1331" s="148"/>
      <c r="D1331" s="145"/>
      <c r="E1331" s="148"/>
      <c r="F1331" s="148"/>
      <c r="G1331" s="148"/>
      <c r="H1331" s="148"/>
      <c r="I1331" s="146"/>
      <c r="J1331" s="148"/>
      <c r="K1331" s="148"/>
      <c r="L1331" s="148"/>
      <c r="M1331" s="148"/>
      <c r="N1331" s="148"/>
      <c r="O1331" s="148"/>
      <c r="P1331" s="148"/>
      <c r="Q1331" s="146"/>
      <c r="R1331" s="148"/>
      <c r="S1331" s="148"/>
    </row>
    <row r="1332">
      <c r="A1332" s="145"/>
      <c r="B1332" s="145"/>
      <c r="C1332" s="148"/>
      <c r="D1332" s="145"/>
      <c r="E1332" s="148"/>
      <c r="F1332" s="148"/>
      <c r="G1332" s="148"/>
      <c r="H1332" s="148"/>
      <c r="I1332" s="146"/>
      <c r="J1332" s="148"/>
      <c r="K1332" s="148"/>
      <c r="L1332" s="148"/>
      <c r="M1332" s="148"/>
      <c r="N1332" s="148"/>
      <c r="O1332" s="148"/>
      <c r="P1332" s="148"/>
      <c r="Q1332" s="146"/>
      <c r="R1332" s="148"/>
      <c r="S1332" s="148"/>
    </row>
    <row r="1333">
      <c r="A1333" s="145"/>
      <c r="B1333" s="145"/>
      <c r="C1333" s="148"/>
      <c r="D1333" s="145"/>
      <c r="E1333" s="148"/>
      <c r="F1333" s="148"/>
      <c r="G1333" s="148"/>
      <c r="H1333" s="148"/>
      <c r="I1333" s="146"/>
      <c r="J1333" s="148"/>
      <c r="K1333" s="148"/>
      <c r="L1333" s="148"/>
      <c r="M1333" s="148"/>
      <c r="N1333" s="148"/>
      <c r="O1333" s="148"/>
      <c r="P1333" s="148"/>
      <c r="Q1333" s="146"/>
      <c r="R1333" s="148"/>
      <c r="S1333" s="148"/>
    </row>
    <row r="1334">
      <c r="A1334" s="145"/>
      <c r="B1334" s="145"/>
      <c r="C1334" s="148"/>
      <c r="D1334" s="145"/>
      <c r="E1334" s="148"/>
      <c r="F1334" s="148"/>
      <c r="G1334" s="148"/>
      <c r="H1334" s="148"/>
      <c r="I1334" s="146"/>
      <c r="J1334" s="148"/>
      <c r="K1334" s="148"/>
      <c r="L1334" s="148"/>
      <c r="M1334" s="148"/>
      <c r="N1334" s="148"/>
      <c r="O1334" s="148"/>
      <c r="P1334" s="148"/>
      <c r="Q1334" s="146"/>
      <c r="R1334" s="148"/>
      <c r="S1334" s="148"/>
    </row>
    <row r="1335">
      <c r="A1335" s="145"/>
      <c r="B1335" s="145"/>
      <c r="C1335" s="148"/>
      <c r="D1335" s="145"/>
      <c r="E1335" s="148"/>
      <c r="F1335" s="148"/>
      <c r="G1335" s="148"/>
      <c r="H1335" s="148"/>
      <c r="I1335" s="146"/>
      <c r="J1335" s="148"/>
      <c r="K1335" s="148"/>
      <c r="L1335" s="148"/>
      <c r="M1335" s="148"/>
      <c r="N1335" s="148"/>
      <c r="O1335" s="148"/>
      <c r="P1335" s="148"/>
      <c r="Q1335" s="146"/>
      <c r="R1335" s="148"/>
      <c r="S1335" s="148"/>
    </row>
    <row r="1336">
      <c r="A1336" s="145"/>
      <c r="B1336" s="145"/>
      <c r="C1336" s="148"/>
      <c r="D1336" s="145"/>
      <c r="E1336" s="148"/>
      <c r="F1336" s="148"/>
      <c r="G1336" s="148"/>
      <c r="H1336" s="148"/>
      <c r="I1336" s="146"/>
      <c r="J1336" s="148"/>
      <c r="K1336" s="148"/>
      <c r="L1336" s="148"/>
      <c r="M1336" s="148"/>
      <c r="N1336" s="148"/>
      <c r="O1336" s="148"/>
      <c r="P1336" s="148"/>
      <c r="Q1336" s="146"/>
      <c r="R1336" s="148"/>
      <c r="S1336" s="148"/>
    </row>
    <row r="1337">
      <c r="A1337" s="145"/>
      <c r="B1337" s="145"/>
      <c r="C1337" s="148"/>
      <c r="D1337" s="145"/>
      <c r="E1337" s="148"/>
      <c r="F1337" s="148"/>
      <c r="G1337" s="148"/>
      <c r="H1337" s="148"/>
      <c r="I1337" s="146"/>
      <c r="J1337" s="148"/>
      <c r="K1337" s="148"/>
      <c r="L1337" s="148"/>
      <c r="M1337" s="148"/>
      <c r="N1337" s="148"/>
      <c r="O1337" s="148"/>
      <c r="P1337" s="148"/>
      <c r="Q1337" s="146"/>
      <c r="R1337" s="148"/>
      <c r="S1337" s="148"/>
    </row>
    <row r="1338">
      <c r="A1338" s="145"/>
      <c r="B1338" s="145"/>
      <c r="C1338" s="148"/>
      <c r="D1338" s="145"/>
      <c r="E1338" s="148"/>
      <c r="F1338" s="148"/>
      <c r="G1338" s="148"/>
      <c r="H1338" s="148"/>
      <c r="I1338" s="146"/>
      <c r="J1338" s="148"/>
      <c r="K1338" s="148"/>
      <c r="L1338" s="148"/>
      <c r="M1338" s="148"/>
      <c r="N1338" s="148"/>
      <c r="O1338" s="148"/>
      <c r="P1338" s="148"/>
      <c r="Q1338" s="146"/>
      <c r="R1338" s="148"/>
      <c r="S1338" s="148"/>
    </row>
    <row r="1339">
      <c r="A1339" s="145"/>
      <c r="B1339" s="145"/>
      <c r="C1339" s="148"/>
      <c r="D1339" s="145"/>
      <c r="E1339" s="148"/>
      <c r="F1339" s="148"/>
      <c r="G1339" s="148"/>
      <c r="H1339" s="148"/>
      <c r="I1339" s="146"/>
      <c r="J1339" s="148"/>
      <c r="K1339" s="148"/>
      <c r="L1339" s="148"/>
      <c r="M1339" s="148"/>
      <c r="N1339" s="148"/>
      <c r="O1339" s="148"/>
      <c r="P1339" s="148"/>
      <c r="Q1339" s="146"/>
      <c r="R1339" s="148"/>
      <c r="S1339" s="148"/>
    </row>
    <row r="1340">
      <c r="A1340" s="145"/>
      <c r="B1340" s="145"/>
      <c r="C1340" s="148"/>
      <c r="D1340" s="145"/>
      <c r="E1340" s="148"/>
      <c r="F1340" s="148"/>
      <c r="G1340" s="148"/>
      <c r="H1340" s="148"/>
      <c r="I1340" s="146"/>
      <c r="J1340" s="148"/>
      <c r="K1340" s="148"/>
      <c r="L1340" s="148"/>
      <c r="M1340" s="148"/>
      <c r="N1340" s="148"/>
      <c r="O1340" s="148"/>
      <c r="P1340" s="148"/>
      <c r="Q1340" s="146"/>
      <c r="R1340" s="148"/>
      <c r="S1340" s="148"/>
    </row>
    <row r="1341">
      <c r="A1341" s="145"/>
      <c r="B1341" s="145"/>
      <c r="C1341" s="148"/>
      <c r="D1341" s="145"/>
      <c r="E1341" s="148"/>
      <c r="F1341" s="148"/>
      <c r="G1341" s="148"/>
      <c r="H1341" s="148"/>
      <c r="I1341" s="146"/>
      <c r="J1341" s="148"/>
      <c r="K1341" s="148"/>
      <c r="L1341" s="148"/>
      <c r="M1341" s="148"/>
      <c r="N1341" s="148"/>
      <c r="O1341" s="148"/>
      <c r="P1341" s="148"/>
      <c r="Q1341" s="146"/>
      <c r="R1341" s="148"/>
      <c r="S1341" s="148"/>
    </row>
    <row r="1342">
      <c r="A1342" s="145"/>
      <c r="B1342" s="145"/>
      <c r="C1342" s="148"/>
      <c r="D1342" s="145"/>
      <c r="E1342" s="148"/>
      <c r="F1342" s="148"/>
      <c r="G1342" s="148"/>
      <c r="H1342" s="148"/>
      <c r="I1342" s="146"/>
      <c r="J1342" s="148"/>
      <c r="K1342" s="148"/>
      <c r="L1342" s="148"/>
      <c r="M1342" s="148"/>
      <c r="N1342" s="148"/>
      <c r="O1342" s="148"/>
      <c r="P1342" s="148"/>
      <c r="Q1342" s="146"/>
      <c r="R1342" s="148"/>
      <c r="S1342" s="148"/>
    </row>
    <row r="1343">
      <c r="A1343" s="145"/>
      <c r="B1343" s="145"/>
      <c r="C1343" s="148"/>
      <c r="D1343" s="145"/>
      <c r="E1343" s="148"/>
      <c r="F1343" s="148"/>
      <c r="G1343" s="148"/>
      <c r="H1343" s="148"/>
      <c r="I1343" s="146"/>
      <c r="J1343" s="148"/>
      <c r="K1343" s="148"/>
      <c r="L1343" s="148"/>
      <c r="M1343" s="148"/>
      <c r="N1343" s="148"/>
      <c r="O1343" s="148"/>
      <c r="P1343" s="148"/>
      <c r="Q1343" s="146"/>
      <c r="R1343" s="152"/>
      <c r="S1343" s="148"/>
    </row>
    <row r="1344">
      <c r="A1344" s="145"/>
      <c r="B1344" s="145"/>
      <c r="C1344" s="148"/>
      <c r="D1344" s="145"/>
      <c r="E1344" s="148"/>
      <c r="F1344" s="148"/>
      <c r="G1344" s="148"/>
      <c r="H1344" s="148"/>
      <c r="I1344" s="146"/>
      <c r="J1344" s="148"/>
      <c r="K1344" s="148"/>
      <c r="L1344" s="148"/>
      <c r="M1344" s="148"/>
      <c r="N1344" s="148"/>
      <c r="O1344" s="148"/>
      <c r="P1344" s="148"/>
      <c r="Q1344" s="146"/>
      <c r="R1344" s="152"/>
      <c r="S1344" s="148"/>
    </row>
    <row r="1345">
      <c r="A1345" s="145"/>
      <c r="B1345" s="145"/>
      <c r="C1345" s="148"/>
      <c r="D1345" s="145"/>
      <c r="E1345" s="148"/>
      <c r="F1345" s="148"/>
      <c r="G1345" s="148"/>
      <c r="H1345" s="148"/>
      <c r="I1345" s="146"/>
      <c r="J1345" s="148"/>
      <c r="K1345" s="148"/>
      <c r="L1345" s="148"/>
      <c r="M1345" s="148"/>
      <c r="N1345" s="148"/>
      <c r="O1345" s="148"/>
      <c r="P1345" s="148"/>
      <c r="Q1345" s="146"/>
      <c r="R1345" s="152"/>
      <c r="S1345" s="148"/>
    </row>
    <row r="1346">
      <c r="A1346" s="145"/>
      <c r="B1346" s="145"/>
      <c r="C1346" s="148"/>
      <c r="D1346" s="145"/>
      <c r="E1346" s="148"/>
      <c r="F1346" s="148"/>
      <c r="G1346" s="148"/>
      <c r="H1346" s="148"/>
      <c r="I1346" s="146"/>
      <c r="J1346" s="148"/>
      <c r="K1346" s="148"/>
      <c r="L1346" s="148"/>
      <c r="M1346" s="148"/>
      <c r="N1346" s="148"/>
      <c r="O1346" s="148"/>
      <c r="P1346" s="148"/>
      <c r="Q1346" s="146"/>
      <c r="R1346" s="152"/>
      <c r="S1346" s="148"/>
    </row>
    <row r="1347">
      <c r="A1347" s="145"/>
      <c r="B1347" s="145"/>
      <c r="C1347" s="148"/>
      <c r="D1347" s="145"/>
      <c r="E1347" s="148"/>
      <c r="F1347" s="148"/>
      <c r="G1347" s="148"/>
      <c r="H1347" s="148"/>
      <c r="I1347" s="146"/>
      <c r="J1347" s="148"/>
      <c r="K1347" s="148"/>
      <c r="L1347" s="148"/>
      <c r="M1347" s="148"/>
      <c r="N1347" s="148"/>
      <c r="O1347" s="148"/>
      <c r="P1347" s="148"/>
      <c r="Q1347" s="146"/>
      <c r="R1347" s="152"/>
      <c r="S1347" s="148"/>
    </row>
    <row r="1348">
      <c r="A1348" s="145"/>
      <c r="B1348" s="145"/>
      <c r="C1348" s="148"/>
      <c r="D1348" s="145"/>
      <c r="E1348" s="148"/>
      <c r="F1348" s="148"/>
      <c r="G1348" s="148"/>
      <c r="H1348" s="148"/>
      <c r="I1348" s="146"/>
      <c r="J1348" s="148"/>
      <c r="K1348" s="148"/>
      <c r="L1348" s="148"/>
      <c r="M1348" s="148"/>
      <c r="N1348" s="148"/>
      <c r="O1348" s="148"/>
      <c r="P1348" s="148"/>
      <c r="Q1348" s="146"/>
      <c r="R1348" s="152"/>
      <c r="S1348" s="148"/>
    </row>
    <row r="1349">
      <c r="A1349" s="145"/>
      <c r="B1349" s="145"/>
      <c r="C1349" s="148"/>
      <c r="D1349" s="145"/>
      <c r="E1349" s="148"/>
      <c r="F1349" s="148"/>
      <c r="G1349" s="148"/>
      <c r="H1349" s="148"/>
      <c r="I1349" s="146"/>
      <c r="J1349" s="148"/>
      <c r="K1349" s="148"/>
      <c r="L1349" s="148"/>
      <c r="M1349" s="148"/>
      <c r="N1349" s="148"/>
      <c r="O1349" s="148"/>
      <c r="P1349" s="148"/>
      <c r="Q1349" s="146"/>
      <c r="R1349" s="152"/>
      <c r="S1349" s="148"/>
    </row>
    <row r="1350">
      <c r="A1350" s="145"/>
      <c r="B1350" s="145"/>
      <c r="C1350" s="148"/>
      <c r="D1350" s="145"/>
      <c r="E1350" s="148"/>
      <c r="F1350" s="148"/>
      <c r="G1350" s="148"/>
      <c r="H1350" s="148"/>
      <c r="I1350" s="146"/>
      <c r="J1350" s="148"/>
      <c r="K1350" s="148"/>
      <c r="L1350" s="148"/>
      <c r="M1350" s="148"/>
      <c r="N1350" s="148"/>
      <c r="O1350" s="148"/>
      <c r="P1350" s="148"/>
      <c r="Q1350" s="146"/>
      <c r="R1350" s="152"/>
      <c r="S1350" s="148"/>
    </row>
    <row r="1351">
      <c r="A1351" s="145"/>
      <c r="B1351" s="145"/>
      <c r="C1351" s="148"/>
      <c r="D1351" s="145"/>
      <c r="E1351" s="148"/>
      <c r="F1351" s="148"/>
      <c r="G1351" s="148"/>
      <c r="H1351" s="148"/>
      <c r="I1351" s="146"/>
      <c r="J1351" s="148"/>
      <c r="K1351" s="148"/>
      <c r="L1351" s="148"/>
      <c r="M1351" s="148"/>
      <c r="N1351" s="148"/>
      <c r="O1351" s="148"/>
      <c r="P1351" s="148"/>
      <c r="Q1351" s="146"/>
      <c r="R1351" s="152"/>
      <c r="S1351" s="148"/>
    </row>
    <row r="1352">
      <c r="A1352" s="145"/>
      <c r="B1352" s="145"/>
      <c r="C1352" s="148"/>
      <c r="D1352" s="145"/>
      <c r="E1352" s="148"/>
      <c r="F1352" s="148"/>
      <c r="G1352" s="148"/>
      <c r="H1352" s="148"/>
      <c r="I1352" s="146"/>
      <c r="J1352" s="148"/>
      <c r="K1352" s="148"/>
      <c r="L1352" s="148"/>
      <c r="M1352" s="148"/>
      <c r="N1352" s="148"/>
      <c r="O1352" s="148"/>
      <c r="P1352" s="148"/>
      <c r="Q1352" s="146"/>
      <c r="R1352" s="152"/>
      <c r="S1352" s="148"/>
    </row>
    <row r="1353">
      <c r="A1353" s="145"/>
      <c r="B1353" s="145"/>
      <c r="C1353" s="148"/>
      <c r="D1353" s="145"/>
      <c r="E1353" s="148"/>
      <c r="F1353" s="148"/>
      <c r="G1353" s="148"/>
      <c r="H1353" s="148"/>
      <c r="I1353" s="146"/>
      <c r="J1353" s="148"/>
      <c r="K1353" s="148"/>
      <c r="L1353" s="148"/>
      <c r="M1353" s="148"/>
      <c r="N1353" s="148"/>
      <c r="O1353" s="148"/>
      <c r="P1353" s="148"/>
      <c r="Q1353" s="146"/>
      <c r="R1353" s="152"/>
      <c r="S1353" s="148"/>
    </row>
    <row r="1354">
      <c r="A1354" s="145"/>
      <c r="B1354" s="145"/>
      <c r="C1354" s="148"/>
      <c r="D1354" s="145"/>
      <c r="E1354" s="148"/>
      <c r="F1354" s="148"/>
      <c r="G1354" s="148"/>
      <c r="H1354" s="148"/>
      <c r="I1354" s="146"/>
      <c r="J1354" s="148"/>
      <c r="K1354" s="148"/>
      <c r="L1354" s="148"/>
      <c r="M1354" s="148"/>
      <c r="N1354" s="148"/>
      <c r="O1354" s="148"/>
      <c r="P1354" s="148"/>
      <c r="Q1354" s="146"/>
      <c r="R1354" s="152"/>
      <c r="S1354" s="148"/>
    </row>
    <row r="1355">
      <c r="A1355" s="145"/>
      <c r="B1355" s="145"/>
      <c r="C1355" s="148"/>
      <c r="D1355" s="145"/>
      <c r="E1355" s="148"/>
      <c r="F1355" s="148"/>
      <c r="G1355" s="148"/>
      <c r="H1355" s="148"/>
      <c r="I1355" s="146"/>
      <c r="J1355" s="148"/>
      <c r="K1355" s="148"/>
      <c r="L1355" s="148"/>
      <c r="M1355" s="148"/>
      <c r="N1355" s="148"/>
      <c r="O1355" s="148"/>
      <c r="P1355" s="148"/>
      <c r="Q1355" s="146"/>
      <c r="R1355" s="152"/>
      <c r="S1355" s="148"/>
    </row>
    <row r="1356">
      <c r="A1356" s="145"/>
      <c r="B1356" s="145"/>
      <c r="C1356" s="148"/>
      <c r="D1356" s="145"/>
      <c r="E1356" s="148"/>
      <c r="F1356" s="148"/>
      <c r="G1356" s="148"/>
      <c r="H1356" s="148"/>
      <c r="I1356" s="146"/>
      <c r="J1356" s="148"/>
      <c r="K1356" s="148"/>
      <c r="L1356" s="148"/>
      <c r="M1356" s="148"/>
      <c r="N1356" s="148"/>
      <c r="O1356" s="148"/>
      <c r="P1356" s="148"/>
      <c r="Q1356" s="146"/>
      <c r="R1356" s="152"/>
      <c r="S1356" s="148"/>
    </row>
    <row r="1357">
      <c r="A1357" s="145"/>
      <c r="B1357" s="145"/>
      <c r="C1357" s="148"/>
      <c r="D1357" s="145"/>
      <c r="E1357" s="148"/>
      <c r="F1357" s="148"/>
      <c r="G1357" s="148"/>
      <c r="H1357" s="148"/>
      <c r="I1357" s="146"/>
      <c r="J1357" s="148"/>
      <c r="K1357" s="148"/>
      <c r="L1357" s="148"/>
      <c r="M1357" s="148"/>
      <c r="N1357" s="148"/>
      <c r="O1357" s="148"/>
      <c r="P1357" s="148"/>
      <c r="Q1357" s="146"/>
      <c r="R1357" s="152"/>
      <c r="S1357" s="148"/>
    </row>
    <row r="1358">
      <c r="A1358" s="145"/>
      <c r="B1358" s="145"/>
      <c r="C1358" s="148"/>
      <c r="D1358" s="145"/>
      <c r="E1358" s="148"/>
      <c r="F1358" s="148"/>
      <c r="G1358" s="148"/>
      <c r="H1358" s="148"/>
      <c r="I1358" s="146"/>
      <c r="J1358" s="148"/>
      <c r="K1358" s="148"/>
      <c r="L1358" s="148"/>
      <c r="M1358" s="148"/>
      <c r="N1358" s="148"/>
      <c r="O1358" s="148"/>
      <c r="P1358" s="148"/>
      <c r="Q1358" s="146"/>
      <c r="R1358" s="152"/>
      <c r="S1358" s="152"/>
    </row>
    <row r="1359">
      <c r="A1359" s="145"/>
      <c r="B1359" s="145"/>
      <c r="C1359" s="148"/>
      <c r="D1359" s="145"/>
      <c r="E1359" s="148"/>
      <c r="F1359" s="148"/>
      <c r="G1359" s="148"/>
      <c r="H1359" s="148"/>
      <c r="I1359" s="146"/>
      <c r="J1359" s="148"/>
      <c r="K1359" s="148"/>
      <c r="L1359" s="148"/>
      <c r="M1359" s="148"/>
      <c r="N1359" s="148"/>
      <c r="O1359" s="148"/>
      <c r="P1359" s="148"/>
      <c r="Q1359" s="146"/>
      <c r="R1359" s="152"/>
      <c r="S1359" s="152"/>
    </row>
    <row r="1360">
      <c r="A1360" s="145"/>
      <c r="B1360" s="145"/>
      <c r="C1360" s="148"/>
      <c r="D1360" s="145"/>
      <c r="E1360" s="148"/>
      <c r="F1360" s="148"/>
      <c r="G1360" s="148"/>
      <c r="H1360" s="148"/>
      <c r="I1360" s="146"/>
      <c r="J1360" s="148"/>
      <c r="K1360" s="148"/>
      <c r="L1360" s="148"/>
      <c r="M1360" s="148"/>
      <c r="N1360" s="148"/>
      <c r="O1360" s="148"/>
      <c r="P1360" s="148"/>
      <c r="Q1360" s="146"/>
      <c r="R1360" s="152"/>
      <c r="S1360" s="152"/>
    </row>
    <row r="1361">
      <c r="A1361" s="145"/>
      <c r="B1361" s="145"/>
      <c r="C1361" s="148"/>
      <c r="D1361" s="145"/>
      <c r="E1361" s="148"/>
      <c r="F1361" s="148"/>
      <c r="G1361" s="148"/>
      <c r="H1361" s="148"/>
      <c r="I1361" s="146"/>
      <c r="J1361" s="148"/>
      <c r="K1361" s="148"/>
      <c r="L1361" s="148"/>
      <c r="M1361" s="148"/>
      <c r="N1361" s="148"/>
      <c r="O1361" s="148"/>
      <c r="P1361" s="148"/>
      <c r="Q1361" s="146"/>
      <c r="R1361" s="152"/>
      <c r="S1361" s="152"/>
    </row>
    <row r="1362">
      <c r="A1362" s="145"/>
      <c r="B1362" s="145"/>
      <c r="C1362" s="148"/>
      <c r="D1362" s="145"/>
      <c r="E1362" s="148"/>
      <c r="F1362" s="148"/>
      <c r="G1362" s="148"/>
      <c r="H1362" s="148"/>
      <c r="I1362" s="146"/>
      <c r="J1362" s="148"/>
      <c r="K1362" s="148"/>
      <c r="L1362" s="148"/>
      <c r="M1362" s="148"/>
      <c r="N1362" s="148"/>
      <c r="O1362" s="148"/>
      <c r="P1362" s="148"/>
      <c r="Q1362" s="146"/>
      <c r="R1362" s="152"/>
      <c r="S1362" s="152"/>
    </row>
    <row r="1363">
      <c r="A1363" s="145"/>
      <c r="B1363" s="145"/>
      <c r="C1363" s="148"/>
      <c r="D1363" s="145"/>
      <c r="E1363" s="148"/>
      <c r="F1363" s="148"/>
      <c r="G1363" s="148"/>
      <c r="H1363" s="148"/>
      <c r="I1363" s="146"/>
      <c r="J1363" s="148"/>
      <c r="K1363" s="148"/>
      <c r="L1363" s="148"/>
      <c r="M1363" s="148"/>
      <c r="N1363" s="148"/>
      <c r="O1363" s="148"/>
      <c r="P1363" s="148"/>
      <c r="Q1363" s="146"/>
      <c r="R1363" s="152"/>
      <c r="S1363" s="152"/>
    </row>
    <row r="1364">
      <c r="A1364" s="145"/>
      <c r="B1364" s="145"/>
      <c r="C1364" s="148"/>
      <c r="D1364" s="145"/>
      <c r="E1364" s="148"/>
      <c r="F1364" s="148"/>
      <c r="G1364" s="148"/>
      <c r="H1364" s="148"/>
      <c r="I1364" s="146"/>
      <c r="J1364" s="148"/>
      <c r="K1364" s="148"/>
      <c r="L1364" s="148"/>
      <c r="M1364" s="148"/>
      <c r="N1364" s="148"/>
      <c r="O1364" s="148"/>
      <c r="P1364" s="148"/>
      <c r="Q1364" s="146"/>
      <c r="R1364" s="152"/>
      <c r="S1364" s="152"/>
    </row>
    <row r="1365">
      <c r="A1365" s="145"/>
      <c r="B1365" s="145"/>
      <c r="C1365" s="148"/>
      <c r="D1365" s="145"/>
      <c r="E1365" s="148"/>
      <c r="F1365" s="148"/>
      <c r="G1365" s="148"/>
      <c r="H1365" s="148"/>
      <c r="I1365" s="146"/>
      <c r="J1365" s="148"/>
      <c r="K1365" s="148"/>
      <c r="L1365" s="148"/>
      <c r="M1365" s="148"/>
      <c r="N1365" s="148"/>
      <c r="O1365" s="148"/>
      <c r="P1365" s="148"/>
      <c r="Q1365" s="146"/>
      <c r="R1365" s="152"/>
      <c r="S1365" s="152"/>
    </row>
    <row r="1366">
      <c r="A1366" s="145"/>
      <c r="B1366" s="145"/>
      <c r="C1366" s="148"/>
      <c r="D1366" s="145"/>
      <c r="E1366" s="148"/>
      <c r="F1366" s="148"/>
      <c r="G1366" s="148"/>
      <c r="H1366" s="148"/>
      <c r="I1366" s="146"/>
      <c r="J1366" s="148"/>
      <c r="K1366" s="148"/>
      <c r="L1366" s="148"/>
      <c r="M1366" s="148"/>
      <c r="N1366" s="148"/>
      <c r="O1366" s="148"/>
      <c r="P1366" s="148"/>
      <c r="Q1366" s="146"/>
      <c r="R1366" s="152"/>
      <c r="S1366" s="152"/>
    </row>
    <row r="1367">
      <c r="A1367" s="145"/>
      <c r="B1367" s="145"/>
      <c r="C1367" s="148"/>
      <c r="D1367" s="145"/>
      <c r="E1367" s="148"/>
      <c r="F1367" s="148"/>
      <c r="G1367" s="148"/>
      <c r="H1367" s="148"/>
      <c r="I1367" s="146"/>
      <c r="J1367" s="148"/>
      <c r="K1367" s="148"/>
      <c r="L1367" s="148"/>
      <c r="M1367" s="148"/>
      <c r="N1367" s="148"/>
      <c r="O1367" s="148"/>
      <c r="P1367" s="148"/>
      <c r="Q1367" s="146"/>
      <c r="R1367" s="152"/>
      <c r="S1367" s="152"/>
    </row>
    <row r="1368">
      <c r="A1368" s="145"/>
      <c r="B1368" s="145"/>
      <c r="C1368" s="148"/>
      <c r="D1368" s="145"/>
      <c r="E1368" s="148"/>
      <c r="F1368" s="148"/>
      <c r="G1368" s="148"/>
      <c r="H1368" s="148"/>
      <c r="I1368" s="146"/>
      <c r="J1368" s="148"/>
      <c r="K1368" s="148"/>
      <c r="L1368" s="148"/>
      <c r="M1368" s="148"/>
      <c r="N1368" s="148"/>
      <c r="O1368" s="148"/>
      <c r="P1368" s="148"/>
      <c r="Q1368" s="146"/>
      <c r="R1368" s="152"/>
      <c r="S1368" s="152"/>
    </row>
    <row r="1369">
      <c r="A1369" s="145"/>
      <c r="B1369" s="145"/>
      <c r="C1369" s="148"/>
      <c r="D1369" s="145"/>
      <c r="E1369" s="148"/>
      <c r="F1369" s="148"/>
      <c r="G1369" s="148"/>
      <c r="H1369" s="148"/>
      <c r="I1369" s="146"/>
      <c r="J1369" s="148"/>
      <c r="K1369" s="148"/>
      <c r="L1369" s="148"/>
      <c r="M1369" s="148"/>
      <c r="N1369" s="148"/>
      <c r="O1369" s="148"/>
      <c r="P1369" s="148"/>
      <c r="Q1369" s="146"/>
      <c r="R1369" s="152"/>
      <c r="S1369" s="152"/>
    </row>
    <row r="1370">
      <c r="A1370" s="145"/>
      <c r="B1370" s="145"/>
      <c r="C1370" s="148"/>
      <c r="D1370" s="145"/>
      <c r="E1370" s="148"/>
      <c r="F1370" s="148"/>
      <c r="G1370" s="148"/>
      <c r="H1370" s="148"/>
      <c r="I1370" s="146"/>
      <c r="J1370" s="148"/>
      <c r="K1370" s="148"/>
      <c r="L1370" s="148"/>
      <c r="M1370" s="148"/>
      <c r="N1370" s="148"/>
      <c r="O1370" s="148"/>
      <c r="P1370" s="148"/>
      <c r="Q1370" s="146"/>
      <c r="R1370" s="152"/>
      <c r="S1370" s="152"/>
    </row>
    <row r="1371">
      <c r="A1371" s="145"/>
      <c r="B1371" s="145"/>
      <c r="C1371" s="148"/>
      <c r="D1371" s="145"/>
      <c r="E1371" s="148"/>
      <c r="F1371" s="148"/>
      <c r="G1371" s="148"/>
      <c r="H1371" s="148"/>
      <c r="I1371" s="146"/>
      <c r="J1371" s="148"/>
      <c r="K1371" s="148"/>
      <c r="L1371" s="148"/>
      <c r="M1371" s="148"/>
      <c r="N1371" s="148"/>
      <c r="O1371" s="148"/>
      <c r="P1371" s="148"/>
      <c r="Q1371" s="146"/>
      <c r="R1371" s="152"/>
      <c r="S1371" s="152"/>
    </row>
    <row r="1372">
      <c r="A1372" s="145"/>
      <c r="B1372" s="145"/>
      <c r="C1372" s="148"/>
      <c r="D1372" s="145"/>
      <c r="E1372" s="148"/>
      <c r="F1372" s="148"/>
      <c r="G1372" s="148"/>
      <c r="H1372" s="148"/>
      <c r="I1372" s="146"/>
      <c r="J1372" s="148"/>
      <c r="K1372" s="148"/>
      <c r="L1372" s="148"/>
      <c r="M1372" s="148"/>
      <c r="N1372" s="148"/>
      <c r="O1372" s="148"/>
      <c r="P1372" s="148"/>
      <c r="Q1372" s="146"/>
      <c r="R1372" s="152"/>
      <c r="S1372" s="152"/>
    </row>
    <row r="1373">
      <c r="A1373" s="145"/>
      <c r="B1373" s="145"/>
      <c r="C1373" s="148"/>
      <c r="D1373" s="145"/>
      <c r="E1373" s="148"/>
      <c r="F1373" s="148"/>
      <c r="G1373" s="148"/>
      <c r="H1373" s="148"/>
      <c r="I1373" s="146"/>
      <c r="J1373" s="148"/>
      <c r="K1373" s="148"/>
      <c r="L1373" s="148"/>
      <c r="M1373" s="148"/>
      <c r="N1373" s="148"/>
      <c r="O1373" s="148"/>
      <c r="P1373" s="148"/>
      <c r="Q1373" s="146"/>
      <c r="R1373" s="152"/>
      <c r="S1373" s="152"/>
    </row>
    <row r="1374">
      <c r="A1374" s="145"/>
      <c r="B1374" s="145"/>
      <c r="C1374" s="148"/>
      <c r="D1374" s="145"/>
      <c r="E1374" s="148"/>
      <c r="F1374" s="148"/>
      <c r="G1374" s="148"/>
      <c r="H1374" s="148"/>
      <c r="I1374" s="146"/>
      <c r="J1374" s="148"/>
      <c r="K1374" s="148"/>
      <c r="L1374" s="148"/>
      <c r="M1374" s="148"/>
      <c r="N1374" s="148"/>
      <c r="O1374" s="148"/>
      <c r="P1374" s="148"/>
      <c r="Q1374" s="146"/>
      <c r="R1374" s="152"/>
      <c r="S1374" s="152"/>
    </row>
    <row r="1375">
      <c r="A1375" s="145"/>
      <c r="B1375" s="145"/>
      <c r="C1375" s="148"/>
      <c r="D1375" s="145"/>
      <c r="E1375" s="148"/>
      <c r="F1375" s="148"/>
      <c r="G1375" s="148"/>
      <c r="H1375" s="148"/>
      <c r="I1375" s="146"/>
      <c r="J1375" s="148"/>
      <c r="K1375" s="148"/>
      <c r="L1375" s="148"/>
      <c r="M1375" s="148"/>
      <c r="N1375" s="148"/>
      <c r="O1375" s="148"/>
      <c r="P1375" s="148"/>
      <c r="Q1375" s="146"/>
      <c r="R1375" s="152"/>
      <c r="S1375" s="152"/>
    </row>
    <row r="1376">
      <c r="A1376" s="145"/>
      <c r="B1376" s="145"/>
      <c r="C1376" s="148"/>
      <c r="D1376" s="145"/>
      <c r="E1376" s="148"/>
      <c r="F1376" s="148"/>
      <c r="G1376" s="148"/>
      <c r="H1376" s="148"/>
      <c r="I1376" s="146"/>
      <c r="J1376" s="148"/>
      <c r="K1376" s="148"/>
      <c r="L1376" s="148"/>
      <c r="M1376" s="148"/>
      <c r="N1376" s="148"/>
      <c r="O1376" s="148"/>
      <c r="P1376" s="148"/>
      <c r="Q1376" s="146"/>
      <c r="R1376" s="152"/>
      <c r="S1376" s="152"/>
    </row>
    <row r="1377">
      <c r="A1377" s="145"/>
      <c r="B1377" s="145"/>
      <c r="C1377" s="148"/>
      <c r="D1377" s="145"/>
      <c r="E1377" s="148"/>
      <c r="F1377" s="148"/>
      <c r="G1377" s="148"/>
      <c r="H1377" s="148"/>
      <c r="I1377" s="146"/>
      <c r="J1377" s="148"/>
      <c r="K1377" s="148"/>
      <c r="L1377" s="148"/>
      <c r="M1377" s="148"/>
      <c r="N1377" s="148"/>
      <c r="O1377" s="148"/>
      <c r="P1377" s="148"/>
      <c r="Q1377" s="146"/>
      <c r="R1377" s="152"/>
      <c r="S1377" s="152"/>
    </row>
    <row r="1378">
      <c r="A1378" s="145"/>
      <c r="B1378" s="145"/>
      <c r="C1378" s="148"/>
      <c r="D1378" s="145"/>
      <c r="E1378" s="148"/>
      <c r="F1378" s="148"/>
      <c r="G1378" s="148"/>
      <c r="H1378" s="148"/>
      <c r="I1378" s="146"/>
      <c r="J1378" s="148"/>
      <c r="K1378" s="148"/>
      <c r="L1378" s="148"/>
      <c r="M1378" s="148"/>
      <c r="N1378" s="148"/>
      <c r="O1378" s="148"/>
      <c r="P1378" s="148"/>
      <c r="Q1378" s="146"/>
      <c r="R1378" s="152"/>
      <c r="S1378" s="152"/>
    </row>
    <row r="1379">
      <c r="A1379" s="145"/>
      <c r="B1379" s="145"/>
      <c r="C1379" s="148"/>
      <c r="D1379" s="145"/>
      <c r="E1379" s="148"/>
      <c r="F1379" s="148"/>
      <c r="G1379" s="148"/>
      <c r="H1379" s="148"/>
      <c r="I1379" s="146"/>
      <c r="J1379" s="148"/>
      <c r="K1379" s="148"/>
      <c r="L1379" s="148"/>
      <c r="M1379" s="148"/>
      <c r="N1379" s="148"/>
      <c r="O1379" s="148"/>
      <c r="P1379" s="148"/>
      <c r="Q1379" s="146"/>
      <c r="R1379" s="152"/>
      <c r="S1379" s="152"/>
    </row>
    <row r="1380">
      <c r="A1380" s="145"/>
      <c r="B1380" s="145"/>
      <c r="C1380" s="148"/>
      <c r="D1380" s="145"/>
      <c r="E1380" s="148"/>
      <c r="F1380" s="148"/>
      <c r="G1380" s="148"/>
      <c r="H1380" s="148"/>
      <c r="I1380" s="146"/>
      <c r="J1380" s="148"/>
      <c r="K1380" s="148"/>
      <c r="L1380" s="148"/>
      <c r="M1380" s="148"/>
      <c r="N1380" s="148"/>
      <c r="O1380" s="148"/>
      <c r="P1380" s="148"/>
      <c r="Q1380" s="146"/>
      <c r="R1380" s="152"/>
      <c r="S1380" s="152"/>
    </row>
    <row r="1381">
      <c r="A1381" s="145"/>
      <c r="B1381" s="145"/>
      <c r="C1381" s="148"/>
      <c r="D1381" s="145"/>
      <c r="E1381" s="148"/>
      <c r="F1381" s="148"/>
      <c r="G1381" s="148"/>
      <c r="H1381" s="148"/>
      <c r="I1381" s="146"/>
      <c r="J1381" s="148"/>
      <c r="K1381" s="148"/>
      <c r="L1381" s="148"/>
      <c r="M1381" s="148"/>
      <c r="N1381" s="148"/>
      <c r="O1381" s="148"/>
      <c r="P1381" s="148"/>
      <c r="Q1381" s="146"/>
      <c r="R1381" s="152"/>
      <c r="S1381" s="152"/>
    </row>
    <row r="1382">
      <c r="A1382" s="145"/>
      <c r="B1382" s="145"/>
      <c r="C1382" s="148"/>
      <c r="D1382" s="145"/>
      <c r="E1382" s="148"/>
      <c r="F1382" s="148"/>
      <c r="G1382" s="148"/>
      <c r="H1382" s="148"/>
      <c r="I1382" s="146"/>
      <c r="J1382" s="148"/>
      <c r="K1382" s="148"/>
      <c r="L1382" s="148"/>
      <c r="M1382" s="148"/>
      <c r="N1382" s="148"/>
      <c r="O1382" s="148"/>
      <c r="P1382" s="148"/>
      <c r="Q1382" s="146"/>
      <c r="R1382" s="152"/>
      <c r="S1382" s="152"/>
    </row>
    <row r="1383">
      <c r="A1383" s="145"/>
      <c r="B1383" s="145"/>
      <c r="C1383" s="148"/>
      <c r="D1383" s="145"/>
      <c r="E1383" s="148"/>
      <c r="F1383" s="148"/>
      <c r="G1383" s="148"/>
      <c r="H1383" s="148"/>
      <c r="I1383" s="146"/>
      <c r="J1383" s="148"/>
      <c r="K1383" s="148"/>
      <c r="L1383" s="148"/>
      <c r="M1383" s="148"/>
      <c r="N1383" s="148"/>
      <c r="O1383" s="148"/>
      <c r="P1383" s="148"/>
      <c r="Q1383" s="146"/>
      <c r="R1383" s="152"/>
      <c r="S1383" s="152"/>
    </row>
    <row r="1384">
      <c r="A1384" s="145"/>
      <c r="B1384" s="145"/>
      <c r="C1384" s="148"/>
      <c r="D1384" s="145"/>
      <c r="E1384" s="148"/>
      <c r="F1384" s="148"/>
      <c r="G1384" s="148"/>
      <c r="H1384" s="148"/>
      <c r="I1384" s="146"/>
      <c r="J1384" s="148"/>
      <c r="K1384" s="148"/>
      <c r="L1384" s="148"/>
      <c r="M1384" s="148"/>
      <c r="N1384" s="148"/>
      <c r="O1384" s="148"/>
      <c r="P1384" s="148"/>
      <c r="Q1384" s="146"/>
      <c r="R1384" s="152"/>
      <c r="S1384" s="152"/>
    </row>
    <row r="1385">
      <c r="A1385" s="145"/>
      <c r="B1385" s="145"/>
      <c r="C1385" s="148"/>
      <c r="D1385" s="145"/>
      <c r="E1385" s="148"/>
      <c r="F1385" s="148"/>
      <c r="G1385" s="148"/>
      <c r="H1385" s="148"/>
      <c r="I1385" s="146"/>
      <c r="J1385" s="148"/>
      <c r="K1385" s="148"/>
      <c r="L1385" s="148"/>
      <c r="M1385" s="148"/>
      <c r="N1385" s="148"/>
      <c r="O1385" s="148"/>
      <c r="P1385" s="148"/>
      <c r="Q1385" s="146"/>
      <c r="R1385" s="152"/>
      <c r="S1385" s="152"/>
    </row>
    <row r="1386">
      <c r="A1386" s="145"/>
      <c r="B1386" s="145"/>
      <c r="C1386" s="148"/>
      <c r="D1386" s="145"/>
      <c r="E1386" s="148"/>
      <c r="F1386" s="148"/>
      <c r="G1386" s="148"/>
      <c r="H1386" s="148"/>
      <c r="I1386" s="146"/>
      <c r="J1386" s="148"/>
      <c r="K1386" s="148"/>
      <c r="L1386" s="148"/>
      <c r="M1386" s="148"/>
      <c r="N1386" s="148"/>
      <c r="O1386" s="148"/>
      <c r="P1386" s="148"/>
      <c r="Q1386" s="146"/>
      <c r="R1386" s="152"/>
      <c r="S1386" s="152"/>
    </row>
    <row r="1387">
      <c r="A1387" s="145"/>
      <c r="B1387" s="145"/>
      <c r="C1387" s="148"/>
      <c r="D1387" s="145"/>
      <c r="E1387" s="148"/>
      <c r="F1387" s="148"/>
      <c r="G1387" s="148"/>
      <c r="H1387" s="148"/>
      <c r="I1387" s="146"/>
      <c r="J1387" s="148"/>
      <c r="K1387" s="148"/>
      <c r="L1387" s="148"/>
      <c r="M1387" s="148"/>
      <c r="N1387" s="148"/>
      <c r="O1387" s="148"/>
      <c r="P1387" s="148"/>
      <c r="Q1387" s="146"/>
      <c r="R1387" s="152"/>
      <c r="S1387" s="152"/>
    </row>
    <row r="1388">
      <c r="A1388" s="145"/>
      <c r="B1388" s="145"/>
      <c r="C1388" s="148"/>
      <c r="D1388" s="145"/>
      <c r="E1388" s="148"/>
      <c r="F1388" s="148"/>
      <c r="G1388" s="148"/>
      <c r="H1388" s="148"/>
      <c r="I1388" s="146"/>
      <c r="J1388" s="148"/>
      <c r="K1388" s="148"/>
      <c r="L1388" s="148"/>
      <c r="M1388" s="148"/>
      <c r="N1388" s="148"/>
      <c r="O1388" s="148"/>
      <c r="P1388" s="148"/>
      <c r="Q1388" s="146"/>
      <c r="R1388" s="152"/>
      <c r="S1388" s="152"/>
    </row>
    <row r="1389">
      <c r="A1389" s="145"/>
      <c r="B1389" s="145"/>
      <c r="C1389" s="148"/>
      <c r="D1389" s="145"/>
      <c r="E1389" s="148"/>
      <c r="F1389" s="148"/>
      <c r="G1389" s="148"/>
      <c r="H1389" s="148"/>
      <c r="I1389" s="146"/>
      <c r="J1389" s="148"/>
      <c r="K1389" s="148"/>
      <c r="L1389" s="148"/>
      <c r="M1389" s="148"/>
      <c r="N1389" s="148"/>
      <c r="O1389" s="148"/>
      <c r="P1389" s="148"/>
      <c r="Q1389" s="146"/>
      <c r="R1389" s="152"/>
      <c r="S1389" s="152"/>
    </row>
    <row r="1390">
      <c r="A1390" s="145"/>
      <c r="B1390" s="145"/>
      <c r="C1390" s="148"/>
      <c r="D1390" s="145"/>
      <c r="E1390" s="148"/>
      <c r="F1390" s="148"/>
      <c r="G1390" s="148"/>
      <c r="H1390" s="148"/>
      <c r="I1390" s="146"/>
      <c r="J1390" s="148"/>
      <c r="K1390" s="148"/>
      <c r="L1390" s="148"/>
      <c r="M1390" s="148"/>
      <c r="N1390" s="148"/>
      <c r="O1390" s="148"/>
      <c r="P1390" s="148"/>
      <c r="Q1390" s="146"/>
      <c r="R1390" s="152"/>
      <c r="S1390" s="152"/>
    </row>
    <row r="1391">
      <c r="A1391" s="145"/>
      <c r="B1391" s="145"/>
      <c r="C1391" s="148"/>
      <c r="D1391" s="145"/>
      <c r="E1391" s="148"/>
      <c r="F1391" s="148"/>
      <c r="G1391" s="148"/>
      <c r="H1391" s="148"/>
      <c r="I1391" s="146"/>
      <c r="J1391" s="148"/>
      <c r="K1391" s="148"/>
      <c r="L1391" s="148"/>
      <c r="M1391" s="148"/>
      <c r="N1391" s="148"/>
      <c r="O1391" s="148"/>
      <c r="P1391" s="148"/>
      <c r="Q1391" s="146"/>
      <c r="R1391" s="152"/>
      <c r="S1391" s="152"/>
    </row>
    <row r="1392">
      <c r="A1392" s="145"/>
      <c r="B1392" s="145"/>
      <c r="C1392" s="148"/>
      <c r="D1392" s="145"/>
      <c r="E1392" s="148"/>
      <c r="F1392" s="148"/>
      <c r="G1392" s="148"/>
      <c r="H1392" s="148"/>
      <c r="I1392" s="146"/>
      <c r="J1392" s="148"/>
      <c r="K1392" s="148"/>
      <c r="L1392" s="148"/>
      <c r="M1392" s="148"/>
      <c r="N1392" s="148"/>
      <c r="O1392" s="148"/>
      <c r="P1392" s="148"/>
      <c r="Q1392" s="146"/>
      <c r="R1392" s="152"/>
      <c r="S1392" s="152"/>
    </row>
    <row r="1393">
      <c r="A1393" s="145"/>
      <c r="B1393" s="145"/>
      <c r="C1393" s="148"/>
      <c r="D1393" s="145"/>
      <c r="E1393" s="148"/>
      <c r="F1393" s="148"/>
      <c r="G1393" s="148"/>
      <c r="H1393" s="148"/>
      <c r="I1393" s="146"/>
      <c r="J1393" s="148"/>
      <c r="K1393" s="148"/>
      <c r="L1393" s="148"/>
      <c r="M1393" s="148"/>
      <c r="N1393" s="148"/>
      <c r="O1393" s="148"/>
      <c r="P1393" s="148"/>
      <c r="Q1393" s="146"/>
      <c r="R1393" s="152"/>
      <c r="S1393" s="152"/>
    </row>
    <row r="1394">
      <c r="A1394" s="145"/>
      <c r="B1394" s="145"/>
      <c r="C1394" s="148"/>
      <c r="D1394" s="145"/>
      <c r="E1394" s="148"/>
      <c r="F1394" s="148"/>
      <c r="G1394" s="148"/>
      <c r="H1394" s="148"/>
      <c r="I1394" s="146"/>
      <c r="J1394" s="148"/>
      <c r="K1394" s="148"/>
      <c r="L1394" s="148"/>
      <c r="M1394" s="148"/>
      <c r="N1394" s="148"/>
      <c r="O1394" s="148"/>
      <c r="P1394" s="148"/>
      <c r="Q1394" s="146"/>
      <c r="R1394" s="152"/>
      <c r="S1394" s="152"/>
    </row>
    <row r="1395">
      <c r="A1395" s="145"/>
      <c r="B1395" s="145"/>
      <c r="C1395" s="148"/>
      <c r="D1395" s="145"/>
      <c r="E1395" s="148"/>
      <c r="F1395" s="148"/>
      <c r="G1395" s="148"/>
      <c r="H1395" s="148"/>
      <c r="I1395" s="146"/>
      <c r="J1395" s="148"/>
      <c r="K1395" s="148"/>
      <c r="L1395" s="148"/>
      <c r="M1395" s="148"/>
      <c r="N1395" s="148"/>
      <c r="O1395" s="148"/>
      <c r="P1395" s="148"/>
      <c r="Q1395" s="146"/>
      <c r="R1395" s="152"/>
      <c r="S1395" s="152"/>
    </row>
    <row r="1396">
      <c r="A1396" s="145"/>
      <c r="B1396" s="145"/>
      <c r="C1396" s="148"/>
      <c r="D1396" s="145"/>
      <c r="E1396" s="148"/>
      <c r="F1396" s="148"/>
      <c r="G1396" s="148"/>
      <c r="H1396" s="148"/>
      <c r="I1396" s="146"/>
      <c r="J1396" s="148"/>
      <c r="K1396" s="148"/>
      <c r="L1396" s="148"/>
      <c r="M1396" s="148"/>
      <c r="N1396" s="148"/>
      <c r="O1396" s="148"/>
      <c r="P1396" s="148"/>
      <c r="Q1396" s="146"/>
      <c r="R1396" s="152"/>
      <c r="S1396" s="152"/>
    </row>
    <row r="1397">
      <c r="A1397" s="145"/>
      <c r="B1397" s="145"/>
      <c r="C1397" s="148"/>
      <c r="D1397" s="145"/>
      <c r="E1397" s="148"/>
      <c r="F1397" s="148"/>
      <c r="G1397" s="148"/>
      <c r="H1397" s="148"/>
      <c r="I1397" s="146"/>
      <c r="J1397" s="148"/>
      <c r="K1397" s="148"/>
      <c r="L1397" s="148"/>
      <c r="M1397" s="148"/>
      <c r="N1397" s="148"/>
      <c r="O1397" s="148"/>
      <c r="P1397" s="148"/>
      <c r="Q1397" s="146"/>
      <c r="R1397" s="152"/>
      <c r="S1397" s="152"/>
    </row>
    <row r="1398">
      <c r="A1398" s="145"/>
      <c r="B1398" s="145"/>
      <c r="C1398" s="148"/>
      <c r="D1398" s="145"/>
      <c r="E1398" s="148"/>
      <c r="F1398" s="148"/>
      <c r="G1398" s="148"/>
      <c r="H1398" s="148"/>
      <c r="I1398" s="146"/>
      <c r="J1398" s="148"/>
      <c r="K1398" s="148"/>
      <c r="L1398" s="148"/>
      <c r="M1398" s="148"/>
      <c r="N1398" s="148"/>
      <c r="O1398" s="148"/>
      <c r="P1398" s="148"/>
      <c r="Q1398" s="146"/>
      <c r="R1398" s="152"/>
      <c r="S1398" s="152"/>
    </row>
    <row r="1399">
      <c r="A1399" s="145"/>
      <c r="B1399" s="145"/>
      <c r="C1399" s="148"/>
      <c r="D1399" s="145"/>
      <c r="E1399" s="148"/>
      <c r="F1399" s="148"/>
      <c r="G1399" s="148"/>
      <c r="H1399" s="148"/>
      <c r="I1399" s="146"/>
      <c r="J1399" s="148"/>
      <c r="K1399" s="148"/>
      <c r="L1399" s="148"/>
      <c r="M1399" s="148"/>
      <c r="N1399" s="148"/>
      <c r="O1399" s="148"/>
      <c r="P1399" s="148"/>
      <c r="Q1399" s="146"/>
      <c r="R1399" s="152"/>
      <c r="S1399" s="152"/>
    </row>
    <row r="1400">
      <c r="A1400" s="145"/>
      <c r="B1400" s="145"/>
      <c r="C1400" s="148"/>
      <c r="D1400" s="145"/>
      <c r="E1400" s="148"/>
      <c r="F1400" s="148"/>
      <c r="G1400" s="148"/>
      <c r="H1400" s="148"/>
      <c r="I1400" s="146"/>
      <c r="J1400" s="148"/>
      <c r="K1400" s="148"/>
      <c r="L1400" s="148"/>
      <c r="M1400" s="148"/>
      <c r="N1400" s="148"/>
      <c r="O1400" s="148"/>
      <c r="P1400" s="148"/>
      <c r="Q1400" s="146"/>
      <c r="R1400" s="152"/>
      <c r="S1400" s="152"/>
    </row>
    <row r="1401">
      <c r="A1401" s="145"/>
      <c r="B1401" s="145"/>
      <c r="C1401" s="148"/>
      <c r="D1401" s="145"/>
      <c r="E1401" s="148"/>
      <c r="F1401" s="148"/>
      <c r="G1401" s="148"/>
      <c r="H1401" s="148"/>
      <c r="I1401" s="146"/>
      <c r="J1401" s="148"/>
      <c r="K1401" s="148"/>
      <c r="L1401" s="148"/>
      <c r="M1401" s="148"/>
      <c r="N1401" s="148"/>
      <c r="O1401" s="148"/>
      <c r="P1401" s="148"/>
      <c r="Q1401" s="146"/>
      <c r="R1401" s="152"/>
      <c r="S1401" s="152"/>
    </row>
    <row r="1402">
      <c r="A1402" s="145"/>
      <c r="B1402" s="145"/>
      <c r="C1402" s="148"/>
      <c r="D1402" s="145"/>
      <c r="E1402" s="148"/>
      <c r="F1402" s="148"/>
      <c r="G1402" s="148"/>
      <c r="H1402" s="148"/>
      <c r="I1402" s="146"/>
      <c r="J1402" s="148"/>
      <c r="K1402" s="148"/>
      <c r="L1402" s="148"/>
      <c r="M1402" s="148"/>
      <c r="N1402" s="148"/>
      <c r="O1402" s="148"/>
      <c r="P1402" s="148"/>
      <c r="Q1402" s="146"/>
      <c r="R1402" s="152"/>
      <c r="S1402" s="152"/>
    </row>
  </sheetData>
  <conditionalFormatting sqref="A1:B1402 H11:H72 N11:O72">
    <cfRule type="containsText" dxfId="4" priority="1" operator="containsText" text="!">
      <formula>NOT(ISERROR(SEARCH(("!"),(A1))))</formula>
    </cfRule>
  </conditionalFormatting>
  <conditionalFormatting sqref="B11:S1402">
    <cfRule type="colorScale" priority="2">
      <colorScale>
        <cfvo type="min"/>
        <cfvo type="percentile" val="50"/>
        <cfvo type="max"/>
        <color rgb="FFE67C73"/>
        <color rgb="FFFFD666"/>
        <color rgb="FF57BB8A"/>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60.13"/>
    <col customWidth="1" min="2" max="3" width="9.0"/>
    <col customWidth="1" min="4" max="4" width="6.38"/>
    <col customWidth="1" min="5" max="5" width="4.38"/>
    <col customWidth="1" min="6" max="6" width="14.13"/>
    <col customWidth="1" min="7" max="7" width="13.13"/>
    <col customWidth="1" min="8" max="9" width="7.63"/>
    <col customWidth="1" min="10" max="10" width="8.13"/>
    <col customWidth="1" min="11" max="15" width="7.63"/>
    <col customWidth="1" min="16" max="16" width="8.25"/>
    <col customWidth="1" hidden="1" min="17" max="18" width="9.13"/>
    <col customWidth="1" min="19" max="19" width="9.13"/>
    <col customWidth="1" min="20" max="20" width="8.88"/>
    <col customWidth="1" hidden="1" min="21" max="22" width="8.88"/>
  </cols>
  <sheetData>
    <row r="1" ht="30.0" customHeight="1">
      <c r="A1" s="153" t="s">
        <v>295</v>
      </c>
      <c r="B1" s="153" t="s">
        <v>636</v>
      </c>
      <c r="C1" s="153" t="s">
        <v>1737</v>
      </c>
      <c r="D1" s="154" t="s">
        <v>1638</v>
      </c>
      <c r="E1" s="155" t="s">
        <v>292</v>
      </c>
      <c r="F1" s="153" t="s">
        <v>300</v>
      </c>
      <c r="G1" s="155" t="s">
        <v>1738</v>
      </c>
      <c r="H1" s="155" t="s">
        <v>1739</v>
      </c>
      <c r="I1" s="154" t="s">
        <v>1740</v>
      </c>
      <c r="J1" s="155" t="s">
        <v>1347</v>
      </c>
      <c r="K1" s="155" t="s">
        <v>1741</v>
      </c>
      <c r="L1" s="155" t="s">
        <v>1742</v>
      </c>
      <c r="M1" s="155" t="s">
        <v>311</v>
      </c>
      <c r="N1" s="155" t="s">
        <v>1743</v>
      </c>
      <c r="O1" s="155">
        <v>200.0</v>
      </c>
      <c r="P1" s="154" t="s">
        <v>1744</v>
      </c>
      <c r="Q1" s="155" t="s">
        <v>1745</v>
      </c>
      <c r="R1" s="155" t="s">
        <v>1746</v>
      </c>
      <c r="S1" s="155" t="s">
        <v>1747</v>
      </c>
      <c r="T1" s="155" t="s">
        <v>1675</v>
      </c>
      <c r="U1" s="155" t="s">
        <v>1748</v>
      </c>
      <c r="V1" s="155" t="s">
        <v>1749</v>
      </c>
    </row>
    <row r="2" ht="37.5" customHeight="1">
      <c r="A2" s="50" t="s">
        <v>1750</v>
      </c>
      <c r="B2" s="117" t="s">
        <v>1751</v>
      </c>
      <c r="C2" s="117" t="s">
        <v>1752</v>
      </c>
      <c r="D2" s="156"/>
      <c r="E2" s="111">
        <v>10.0</v>
      </c>
      <c r="F2" s="50"/>
      <c r="G2" s="157" t="s">
        <v>1753</v>
      </c>
      <c r="H2" s="158">
        <v>0.95</v>
      </c>
      <c r="I2" s="159">
        <v>9.35</v>
      </c>
      <c r="J2" s="160">
        <f>1659.403+6*127.172</f>
        <v>2422.435</v>
      </c>
      <c r="K2" s="158">
        <f t="shared" ref="K2:K3" si="1">1.3*1.06</f>
        <v>1.378</v>
      </c>
      <c r="L2" s="118">
        <v>1.22</v>
      </c>
      <c r="M2" s="158">
        <f t="shared" ref="M2:M3" si="2">1.25*2.5</f>
        <v>3.125</v>
      </c>
      <c r="N2" s="118">
        <v>1.3</v>
      </c>
      <c r="O2" s="158">
        <v>1.1</v>
      </c>
      <c r="P2" s="161">
        <f t="shared" ref="P2:P10" si="3">PRODUCT(J2:O2)</f>
        <v>18198.98806</v>
      </c>
      <c r="Q2" s="162"/>
      <c r="R2" s="162"/>
      <c r="S2" s="162">
        <f t="shared" ref="S2:S16" si="4">IFERROR(P2*E2,"INF")</f>
        <v>181989.8806</v>
      </c>
      <c r="T2" s="162">
        <f t="shared" ref="T2:T227" si="5">IFERROR(S2/I2,P2/H2)</f>
        <v>19464.15835</v>
      </c>
      <c r="U2" s="163"/>
      <c r="V2" s="163"/>
    </row>
    <row r="3" ht="37.5" customHeight="1">
      <c r="A3" s="50" t="s">
        <v>1754</v>
      </c>
      <c r="B3" s="117" t="s">
        <v>1751</v>
      </c>
      <c r="C3" s="117" t="s">
        <v>1752</v>
      </c>
      <c r="D3" s="156"/>
      <c r="E3" s="111">
        <v>10.0</v>
      </c>
      <c r="F3" s="50"/>
      <c r="G3" s="157" t="s">
        <v>1753</v>
      </c>
      <c r="H3" s="158">
        <v>0.95</v>
      </c>
      <c r="I3" s="159">
        <v>9.35</v>
      </c>
      <c r="J3" s="160">
        <f>1659.403</f>
        <v>1659.403</v>
      </c>
      <c r="K3" s="158">
        <f t="shared" si="1"/>
        <v>1.378</v>
      </c>
      <c r="L3" s="118">
        <v>1.22</v>
      </c>
      <c r="M3" s="158">
        <f t="shared" si="2"/>
        <v>3.125</v>
      </c>
      <c r="N3" s="118">
        <v>1.3</v>
      </c>
      <c r="O3" s="158">
        <v>1.1</v>
      </c>
      <c r="P3" s="161">
        <f t="shared" si="3"/>
        <v>12466.56995</v>
      </c>
      <c r="Q3" s="162"/>
      <c r="R3" s="162"/>
      <c r="S3" s="162">
        <f t="shared" si="4"/>
        <v>124665.6995</v>
      </c>
      <c r="T3" s="162">
        <f t="shared" si="5"/>
        <v>13333.2299</v>
      </c>
      <c r="U3" s="164"/>
      <c r="V3" s="163"/>
    </row>
    <row r="4" ht="37.5" customHeight="1">
      <c r="A4" s="117" t="s">
        <v>1755</v>
      </c>
      <c r="B4" s="50" t="s">
        <v>1756</v>
      </c>
      <c r="C4" s="50" t="s">
        <v>1756</v>
      </c>
      <c r="D4" s="156"/>
      <c r="E4" s="49" t="s">
        <v>1757</v>
      </c>
      <c r="F4" s="50"/>
      <c r="G4" s="165" t="s">
        <v>582</v>
      </c>
      <c r="H4" s="118">
        <v>1.5</v>
      </c>
      <c r="I4" s="159" t="s">
        <v>582</v>
      </c>
      <c r="J4" s="160">
        <v>778.076</v>
      </c>
      <c r="K4" s="166"/>
      <c r="L4" s="118"/>
      <c r="M4" s="118">
        <f>(1+1.5+1.65+4)*1.1</f>
        <v>8.965</v>
      </c>
      <c r="N4" s="118">
        <v>1.3</v>
      </c>
      <c r="O4" s="118">
        <f>1.3*1.65</f>
        <v>2.145</v>
      </c>
      <c r="P4" s="161">
        <f t="shared" si="3"/>
        <v>19451.04606</v>
      </c>
      <c r="Q4" s="162"/>
      <c r="R4" s="162"/>
      <c r="S4" s="162" t="str">
        <f t="shared" si="4"/>
        <v>INF</v>
      </c>
      <c r="T4" s="162">
        <f t="shared" si="5"/>
        <v>12967.36404</v>
      </c>
      <c r="U4" s="164" t="str">
        <f t="shared" ref="U4:U5" si="6">IFERROR(IF(ISBLANK(Q4),"N/A",(S4/Q4)*(104237/2032)),"N/A")</f>
        <v>N/A</v>
      </c>
      <c r="V4" s="163" t="str">
        <f t="shared" ref="V4:V5" si="7">IF(ISBLANK(R4),"N/A",(T4/R4)*(104237/2032))</f>
        <v>N/A</v>
      </c>
    </row>
    <row r="5" ht="37.5" customHeight="1">
      <c r="A5" s="50" t="s">
        <v>1758</v>
      </c>
      <c r="B5" s="117" t="s">
        <v>1751</v>
      </c>
      <c r="C5" s="117" t="s">
        <v>1752</v>
      </c>
      <c r="D5" s="167"/>
      <c r="E5" s="111">
        <v>14.0</v>
      </c>
      <c r="F5" s="117"/>
      <c r="G5" s="165" t="s">
        <v>1753</v>
      </c>
      <c r="H5" s="158">
        <v>1.333</v>
      </c>
      <c r="I5" s="159">
        <f>H5*(E5-1)</f>
        <v>17.329</v>
      </c>
      <c r="J5" s="160">
        <v>2069.603</v>
      </c>
      <c r="K5" s="118"/>
      <c r="L5" s="118">
        <v>1.22</v>
      </c>
      <c r="M5" s="158">
        <f>1.25*2.5</f>
        <v>3.125</v>
      </c>
      <c r="N5" s="118">
        <v>1.3</v>
      </c>
      <c r="O5" s="158">
        <v>1.1</v>
      </c>
      <c r="P5" s="161">
        <f t="shared" si="3"/>
        <v>11283.21686</v>
      </c>
      <c r="Q5" s="162">
        <v>3874920.363083247</v>
      </c>
      <c r="R5" s="162">
        <v>175335.76303544102</v>
      </c>
      <c r="S5" s="162">
        <f t="shared" si="4"/>
        <v>157965.036</v>
      </c>
      <c r="T5" s="162">
        <f t="shared" si="5"/>
        <v>9115.646372</v>
      </c>
      <c r="U5" s="164">
        <f t="shared" si="6"/>
        <v>2.091203944</v>
      </c>
      <c r="V5" s="163">
        <f t="shared" si="7"/>
        <v>2.666951767</v>
      </c>
    </row>
    <row r="6" ht="37.5" customHeight="1">
      <c r="A6" s="50" t="s">
        <v>1759</v>
      </c>
      <c r="B6" s="117" t="s">
        <v>1751</v>
      </c>
      <c r="C6" s="117" t="s">
        <v>1752</v>
      </c>
      <c r="D6" s="156"/>
      <c r="E6" s="111">
        <v>10.0</v>
      </c>
      <c r="F6" s="50"/>
      <c r="G6" s="157" t="s">
        <v>1753</v>
      </c>
      <c r="H6" s="158">
        <v>0.95</v>
      </c>
      <c r="I6" s="159">
        <v>9.35</v>
      </c>
      <c r="J6" s="160">
        <f>1659.403+6*127.172</f>
        <v>2422.435</v>
      </c>
      <c r="K6" s="158">
        <f>1.3*1.06</f>
        <v>1.378</v>
      </c>
      <c r="L6" s="118">
        <v>1.22</v>
      </c>
      <c r="M6" s="158">
        <v>1.25</v>
      </c>
      <c r="N6" s="118">
        <v>1.3</v>
      </c>
      <c r="O6" s="158">
        <v>1.1</v>
      </c>
      <c r="P6" s="161">
        <f t="shared" si="3"/>
        <v>7279.595224</v>
      </c>
      <c r="Q6" s="162"/>
      <c r="R6" s="162"/>
      <c r="S6" s="162">
        <f t="shared" si="4"/>
        <v>72795.95224</v>
      </c>
      <c r="T6" s="162">
        <f t="shared" si="5"/>
        <v>7785.663341</v>
      </c>
      <c r="U6" s="164"/>
      <c r="V6" s="163"/>
    </row>
    <row r="7" ht="37.5" customHeight="1">
      <c r="A7" s="50" t="s">
        <v>1760</v>
      </c>
      <c r="B7" s="117" t="s">
        <v>1751</v>
      </c>
      <c r="C7" s="117" t="s">
        <v>1761</v>
      </c>
      <c r="D7" s="167"/>
      <c r="E7" s="111">
        <v>9.0</v>
      </c>
      <c r="F7" s="50"/>
      <c r="G7" s="165" t="s">
        <v>1753</v>
      </c>
      <c r="H7" s="118">
        <v>1.083</v>
      </c>
      <c r="I7" s="159">
        <f>H7*(E7-1)</f>
        <v>8.664</v>
      </c>
      <c r="J7" s="168">
        <v>2312.279</v>
      </c>
      <c r="K7" s="118">
        <f>(0.24666+(3.5/4.5))/1.24666*1.418+(1/4.5)/1.24666*1.47</f>
        <v>1.427269212</v>
      </c>
      <c r="L7" s="118">
        <v>1.22</v>
      </c>
      <c r="M7" s="158">
        <v>1.25</v>
      </c>
      <c r="N7" s="118">
        <v>1.3</v>
      </c>
      <c r="O7" s="158">
        <v>1.1</v>
      </c>
      <c r="P7" s="161">
        <f t="shared" si="3"/>
        <v>7197.008468</v>
      </c>
      <c r="Q7" s="162">
        <v>3653747.5851445636</v>
      </c>
      <c r="R7" s="162">
        <v>337372.8148794611</v>
      </c>
      <c r="S7" s="162">
        <f t="shared" si="4"/>
        <v>64773.07621</v>
      </c>
      <c r="T7" s="162">
        <f t="shared" si="5"/>
        <v>7476.116829</v>
      </c>
      <c r="U7" s="164">
        <f t="shared" ref="U7:U9" si="8">IFERROR(IF(ISBLANK(Q7),"N/A",(S7/Q7)*(104237/2032)),"N/A")</f>
        <v>0.9093983917</v>
      </c>
      <c r="V7" s="163">
        <f t="shared" ref="V7:V9" si="9">IF(ISBLANK(R7),"N/A",(T7/R7)*(104237/2032))</f>
        <v>1.13674799</v>
      </c>
    </row>
    <row r="8" ht="37.5" customHeight="1">
      <c r="A8" s="117" t="s">
        <v>1762</v>
      </c>
      <c r="B8" s="50" t="s">
        <v>1756</v>
      </c>
      <c r="C8" s="50" t="s">
        <v>1756</v>
      </c>
      <c r="D8" s="156"/>
      <c r="E8" s="49" t="s">
        <v>1757</v>
      </c>
      <c r="F8" s="50"/>
      <c r="G8" s="165" t="s">
        <v>582</v>
      </c>
      <c r="H8" s="118">
        <v>1.5</v>
      </c>
      <c r="I8" s="159" t="s">
        <v>582</v>
      </c>
      <c r="J8" s="160">
        <v>778.076</v>
      </c>
      <c r="K8" s="166"/>
      <c r="L8" s="118"/>
      <c r="M8" s="118">
        <f>1+1.5+1+1.65</f>
        <v>5.15</v>
      </c>
      <c r="N8" s="118">
        <v>1.3</v>
      </c>
      <c r="O8" s="118">
        <f>1.3*1.65</f>
        <v>2.145</v>
      </c>
      <c r="P8" s="161">
        <f t="shared" si="3"/>
        <v>11173.77437</v>
      </c>
      <c r="Q8" s="162"/>
      <c r="R8" s="162"/>
      <c r="S8" s="162" t="str">
        <f t="shared" si="4"/>
        <v>INF</v>
      </c>
      <c r="T8" s="162">
        <f t="shared" si="5"/>
        <v>7449.182913</v>
      </c>
      <c r="U8" s="164" t="str">
        <f t="shared" si="8"/>
        <v>N/A</v>
      </c>
      <c r="V8" s="163" t="str">
        <f t="shared" si="9"/>
        <v>N/A</v>
      </c>
    </row>
    <row r="9" ht="37.5" customHeight="1">
      <c r="A9" s="50" t="s">
        <v>1763</v>
      </c>
      <c r="B9" s="117" t="s">
        <v>1751</v>
      </c>
      <c r="C9" s="117" t="s">
        <v>1761</v>
      </c>
      <c r="D9" s="167"/>
      <c r="E9" s="111">
        <v>9.0</v>
      </c>
      <c r="F9" s="117" t="s">
        <v>1764</v>
      </c>
      <c r="G9" s="157" t="s">
        <v>1765</v>
      </c>
      <c r="H9" s="118">
        <v>1.166</v>
      </c>
      <c r="I9" s="159">
        <f>H9*(E9-5)+1.45*4</f>
        <v>10.464</v>
      </c>
      <c r="J9" s="168">
        <v>2312.279</v>
      </c>
      <c r="K9" s="158">
        <v>1.35</v>
      </c>
      <c r="L9" s="118">
        <v>1.22</v>
      </c>
      <c r="M9" s="158">
        <v>1.25</v>
      </c>
      <c r="N9" s="118">
        <v>1.3</v>
      </c>
      <c r="O9" s="158">
        <v>1.1</v>
      </c>
      <c r="P9" s="161">
        <f t="shared" si="3"/>
        <v>6807.378279</v>
      </c>
      <c r="Q9" s="162"/>
      <c r="R9" s="162"/>
      <c r="S9" s="162">
        <f t="shared" si="4"/>
        <v>61266.40452</v>
      </c>
      <c r="T9" s="162">
        <f t="shared" si="5"/>
        <v>5854.96985</v>
      </c>
      <c r="U9" s="164" t="str">
        <f t="shared" si="8"/>
        <v>N/A</v>
      </c>
      <c r="V9" s="163" t="str">
        <f t="shared" si="9"/>
        <v>N/A</v>
      </c>
    </row>
    <row r="10" ht="37.5" customHeight="1">
      <c r="A10" s="50" t="s">
        <v>1766</v>
      </c>
      <c r="B10" s="117" t="s">
        <v>1751</v>
      </c>
      <c r="C10" s="117" t="s">
        <v>1752</v>
      </c>
      <c r="D10" s="156"/>
      <c r="E10" s="111">
        <v>10.0</v>
      </c>
      <c r="F10" s="50"/>
      <c r="G10" s="157" t="s">
        <v>1753</v>
      </c>
      <c r="H10" s="158">
        <v>0.95</v>
      </c>
      <c r="I10" s="159">
        <v>9.35</v>
      </c>
      <c r="J10" s="160">
        <f>1659.403</f>
        <v>1659.403</v>
      </c>
      <c r="K10" s="158">
        <f>1.3*1.06</f>
        <v>1.378</v>
      </c>
      <c r="L10" s="118">
        <v>1.22</v>
      </c>
      <c r="M10" s="158">
        <v>1.25</v>
      </c>
      <c r="N10" s="118">
        <v>1.3</v>
      </c>
      <c r="O10" s="158">
        <v>1.1</v>
      </c>
      <c r="P10" s="161">
        <f t="shared" si="3"/>
        <v>4986.627981</v>
      </c>
      <c r="Q10" s="162"/>
      <c r="R10" s="162"/>
      <c r="S10" s="162">
        <f t="shared" si="4"/>
        <v>49866.27981</v>
      </c>
      <c r="T10" s="162">
        <f t="shared" si="5"/>
        <v>5333.291958</v>
      </c>
      <c r="U10" s="164"/>
      <c r="V10" s="163"/>
    </row>
    <row r="11" ht="37.5" customHeight="1">
      <c r="A11" s="50" t="s">
        <v>1767</v>
      </c>
      <c r="B11" s="117" t="s">
        <v>1756</v>
      </c>
      <c r="C11" s="117" t="s">
        <v>1756</v>
      </c>
      <c r="D11" s="156"/>
      <c r="E11" s="49" t="s">
        <v>1757</v>
      </c>
      <c r="F11" s="50"/>
      <c r="G11" s="165" t="s">
        <v>582</v>
      </c>
      <c r="H11" s="118">
        <v>0.917</v>
      </c>
      <c r="I11" s="159" t="s">
        <v>582</v>
      </c>
      <c r="J11" s="160">
        <v>369.886</v>
      </c>
      <c r="K11" s="166"/>
      <c r="L11" s="118"/>
      <c r="M11" s="118">
        <f>1+1.65+2+1.5</f>
        <v>6.15</v>
      </c>
      <c r="N11" s="118">
        <v>1.3</v>
      </c>
      <c r="O11" s="158">
        <v>1.3</v>
      </c>
      <c r="P11" s="161">
        <f>PRODUCT(J11:O11)+511.708*1.22*1.25*1.3</f>
        <v>4858.871251</v>
      </c>
      <c r="Q11" s="162"/>
      <c r="R11" s="162"/>
      <c r="S11" s="162" t="str">
        <f t="shared" si="4"/>
        <v>INF</v>
      </c>
      <c r="T11" s="162">
        <f t="shared" si="5"/>
        <v>5298.660034</v>
      </c>
      <c r="U11" s="164" t="str">
        <f t="shared" ref="U11:U14" si="10">IFERROR(IF(ISBLANK(Q11),"N/A",(S11/Q11)*(104237/2032)),"N/A")</f>
        <v>N/A</v>
      </c>
      <c r="V11" s="163" t="str">
        <f t="shared" ref="V11:V14" si="11">IF(ISBLANK(R11),"N/A",(T11/R11)*(104237/2032))</f>
        <v>N/A</v>
      </c>
    </row>
    <row r="12" ht="37.5" customHeight="1">
      <c r="A12" s="50" t="s">
        <v>1768</v>
      </c>
      <c r="B12" s="117" t="s">
        <v>1769</v>
      </c>
      <c r="C12" s="117" t="s">
        <v>1769</v>
      </c>
      <c r="D12" s="156"/>
      <c r="E12" s="49" t="s">
        <v>1757</v>
      </c>
      <c r="F12" s="50"/>
      <c r="G12" s="165" t="s">
        <v>582</v>
      </c>
      <c r="H12" s="118">
        <v>1.567</v>
      </c>
      <c r="I12" s="159" t="s">
        <v>582</v>
      </c>
      <c r="J12" s="160">
        <v>1889.593</v>
      </c>
      <c r="K12" s="166"/>
      <c r="L12" s="118"/>
      <c r="M12" s="158">
        <v>2.0</v>
      </c>
      <c r="N12" s="118">
        <v>1.3</v>
      </c>
      <c r="O12" s="158">
        <v>1.65</v>
      </c>
      <c r="P12" s="161">
        <f t="shared" ref="P12:P41" si="12">PRODUCT(J12:O12)</f>
        <v>8106.35397</v>
      </c>
      <c r="Q12" s="162"/>
      <c r="R12" s="162"/>
      <c r="S12" s="162" t="str">
        <f t="shared" si="4"/>
        <v>INF</v>
      </c>
      <c r="T12" s="162">
        <f t="shared" si="5"/>
        <v>5173.167817</v>
      </c>
      <c r="U12" s="164" t="str">
        <f t="shared" si="10"/>
        <v>N/A</v>
      </c>
      <c r="V12" s="163" t="str">
        <f t="shared" si="11"/>
        <v>N/A</v>
      </c>
    </row>
    <row r="13" ht="37.5" customHeight="1">
      <c r="A13" s="50" t="s">
        <v>1770</v>
      </c>
      <c r="B13" s="117" t="s">
        <v>1771</v>
      </c>
      <c r="C13" s="117" t="s">
        <v>1772</v>
      </c>
      <c r="D13" s="167"/>
      <c r="E13" s="111">
        <v>18.0</v>
      </c>
      <c r="F13" s="50"/>
      <c r="G13" s="157" t="s">
        <v>1773</v>
      </c>
      <c r="H13" s="118">
        <v>0.833</v>
      </c>
      <c r="I13" s="159">
        <f>H13*(E13-1)</f>
        <v>14.161</v>
      </c>
      <c r="J13" s="160">
        <v>712.149</v>
      </c>
      <c r="K13" s="118">
        <f>(2*1.35*15+1.35*3)/18</f>
        <v>2.475</v>
      </c>
      <c r="L13" s="118">
        <v>1.22</v>
      </c>
      <c r="M13" s="158">
        <v>1.25</v>
      </c>
      <c r="N13" s="118">
        <v>1.3</v>
      </c>
      <c r="O13" s="158">
        <v>1.15</v>
      </c>
      <c r="P13" s="161">
        <f t="shared" si="12"/>
        <v>4018.436486</v>
      </c>
      <c r="Q13" s="162">
        <v>3666581.350361645</v>
      </c>
      <c r="R13" s="162">
        <v>191376.44711945538</v>
      </c>
      <c r="S13" s="162">
        <f t="shared" si="4"/>
        <v>72331.85675</v>
      </c>
      <c r="T13" s="162">
        <f t="shared" si="5"/>
        <v>5107.821252</v>
      </c>
      <c r="U13" s="164">
        <f t="shared" si="10"/>
        <v>1.011967321</v>
      </c>
      <c r="V13" s="163">
        <f t="shared" si="11"/>
        <v>1.369132258</v>
      </c>
    </row>
    <row r="14" ht="37.5" customHeight="1">
      <c r="A14" s="50" t="s">
        <v>1774</v>
      </c>
      <c r="B14" s="117" t="s">
        <v>1769</v>
      </c>
      <c r="C14" s="117" t="s">
        <v>1769</v>
      </c>
      <c r="D14" s="156"/>
      <c r="E14" s="49" t="s">
        <v>1757</v>
      </c>
      <c r="F14" s="50"/>
      <c r="G14" s="165" t="s">
        <v>582</v>
      </c>
      <c r="H14" s="118">
        <v>1.567</v>
      </c>
      <c r="I14" s="159" t="s">
        <v>582</v>
      </c>
      <c r="J14" s="160">
        <v>1827.135</v>
      </c>
      <c r="K14" s="166"/>
      <c r="L14" s="118"/>
      <c r="M14" s="158">
        <v>2.0</v>
      </c>
      <c r="N14" s="118">
        <v>1.3</v>
      </c>
      <c r="O14" s="158">
        <v>1.65</v>
      </c>
      <c r="P14" s="161">
        <f t="shared" si="12"/>
        <v>7838.40915</v>
      </c>
      <c r="Q14" s="162"/>
      <c r="R14" s="162"/>
      <c r="S14" s="162" t="str">
        <f t="shared" si="4"/>
        <v>INF</v>
      </c>
      <c r="T14" s="162">
        <f t="shared" si="5"/>
        <v>5002.17559</v>
      </c>
      <c r="U14" s="164" t="str">
        <f t="shared" si="10"/>
        <v>N/A</v>
      </c>
      <c r="V14" s="163" t="str">
        <f t="shared" si="11"/>
        <v>N/A</v>
      </c>
    </row>
    <row r="15" ht="37.5" customHeight="1">
      <c r="A15" s="50" t="s">
        <v>1775</v>
      </c>
      <c r="B15" s="117" t="s">
        <v>1756</v>
      </c>
      <c r="C15" s="117" t="s">
        <v>1756</v>
      </c>
      <c r="D15" s="156"/>
      <c r="E15" s="49" t="s">
        <v>1757</v>
      </c>
      <c r="F15" s="50"/>
      <c r="G15" s="165" t="s">
        <v>582</v>
      </c>
      <c r="H15" s="118">
        <v>0.883</v>
      </c>
      <c r="I15" s="159" t="s">
        <v>582</v>
      </c>
      <c r="J15" s="160">
        <f>369.886*1.36</f>
        <v>503.04496</v>
      </c>
      <c r="K15" s="166"/>
      <c r="L15" s="118"/>
      <c r="M15" s="118">
        <f>1.65+2+1.5</f>
        <v>5.15</v>
      </c>
      <c r="N15" s="118">
        <v>1.3</v>
      </c>
      <c r="O15" s="158">
        <v>1.3</v>
      </c>
      <c r="P15" s="161">
        <f t="shared" si="12"/>
        <v>4378.251809</v>
      </c>
      <c r="Q15" s="162"/>
      <c r="R15" s="162"/>
      <c r="S15" s="162" t="str">
        <f t="shared" si="4"/>
        <v>INF</v>
      </c>
      <c r="T15" s="162">
        <f t="shared" si="5"/>
        <v>4958.38257</v>
      </c>
      <c r="U15" s="164"/>
      <c r="V15" s="163"/>
    </row>
    <row r="16" ht="37.5" customHeight="1">
      <c r="A16" s="169" t="s">
        <v>1776</v>
      </c>
      <c r="B16" s="170" t="s">
        <v>1751</v>
      </c>
      <c r="C16" s="170" t="s">
        <v>1777</v>
      </c>
      <c r="D16" s="156"/>
      <c r="E16" s="130">
        <v>20.0</v>
      </c>
      <c r="F16" s="169"/>
      <c r="G16" s="171" t="s">
        <v>1753</v>
      </c>
      <c r="H16" s="172">
        <v>1.367</v>
      </c>
      <c r="I16" s="173">
        <f>H16*(E16-1)</f>
        <v>25.973</v>
      </c>
      <c r="J16" s="174">
        <v>1890.733</v>
      </c>
      <c r="K16" s="175">
        <f>1.333*1.135</f>
        <v>1.512955</v>
      </c>
      <c r="L16" s="175">
        <v>1.22</v>
      </c>
      <c r="M16" s="172">
        <v>1.25</v>
      </c>
      <c r="N16" s="175">
        <v>1.3</v>
      </c>
      <c r="O16" s="172">
        <v>1.1</v>
      </c>
      <c r="P16" s="176">
        <f t="shared" si="12"/>
        <v>6238.240248</v>
      </c>
      <c r="Q16" s="177"/>
      <c r="R16" s="177"/>
      <c r="S16" s="177">
        <f t="shared" si="4"/>
        <v>124764.805</v>
      </c>
      <c r="T16" s="177">
        <f t="shared" si="5"/>
        <v>4803.634734</v>
      </c>
      <c r="U16" s="178"/>
      <c r="V16" s="179"/>
    </row>
    <row r="17" ht="37.5" customHeight="1">
      <c r="A17" s="170" t="s">
        <v>1778</v>
      </c>
      <c r="B17" s="170" t="s">
        <v>1771</v>
      </c>
      <c r="C17" s="170" t="s">
        <v>1779</v>
      </c>
      <c r="D17" s="180"/>
      <c r="E17" s="130">
        <v>63.0</v>
      </c>
      <c r="F17" s="169"/>
      <c r="G17" s="171"/>
      <c r="H17" s="172">
        <v>1.983</v>
      </c>
      <c r="I17" s="173">
        <f>H17*32</f>
        <v>63.456</v>
      </c>
      <c r="J17" s="174">
        <f>4042.776</f>
        <v>4042.776</v>
      </c>
      <c r="K17" s="175"/>
      <c r="L17" s="172">
        <v>1.22</v>
      </c>
      <c r="M17" s="172">
        <v>1.25</v>
      </c>
      <c r="N17" s="175">
        <v>1.3</v>
      </c>
      <c r="O17" s="172">
        <v>1.15</v>
      </c>
      <c r="P17" s="176">
        <f t="shared" si="12"/>
        <v>9217.023933</v>
      </c>
      <c r="Q17" s="177"/>
      <c r="R17" s="177"/>
      <c r="S17" s="162">
        <f>P17*32</f>
        <v>294944.7659</v>
      </c>
      <c r="T17" s="162">
        <f t="shared" si="5"/>
        <v>4648.020138</v>
      </c>
      <c r="U17" s="178"/>
      <c r="V17" s="179"/>
    </row>
    <row r="18" ht="37.5" customHeight="1">
      <c r="A18" s="50" t="s">
        <v>1780</v>
      </c>
      <c r="B18" s="117" t="s">
        <v>1751</v>
      </c>
      <c r="C18" s="117" t="s">
        <v>1761</v>
      </c>
      <c r="D18" s="156"/>
      <c r="E18" s="111">
        <v>9.0</v>
      </c>
      <c r="F18" s="50" t="s">
        <v>1781</v>
      </c>
      <c r="G18" s="157" t="s">
        <v>1782</v>
      </c>
      <c r="H18" s="158">
        <v>1.166</v>
      </c>
      <c r="I18" s="159">
        <f>H18*(E18-5)+2.15*4</f>
        <v>13.264</v>
      </c>
      <c r="J18" s="168">
        <v>2312.279</v>
      </c>
      <c r="K18" s="158">
        <f>1.35</f>
        <v>1.35</v>
      </c>
      <c r="L18" s="118">
        <v>1.22</v>
      </c>
      <c r="M18" s="158">
        <v>1.25</v>
      </c>
      <c r="N18" s="118">
        <v>1.3</v>
      </c>
      <c r="O18" s="158">
        <v>1.1</v>
      </c>
      <c r="P18" s="161">
        <f t="shared" si="12"/>
        <v>6807.378279</v>
      </c>
      <c r="Q18" s="162"/>
      <c r="R18" s="162"/>
      <c r="S18" s="162">
        <f t="shared" ref="S18:S19" si="13">IFERROR(P18*E18,"INF")</f>
        <v>61266.40452</v>
      </c>
      <c r="T18" s="162">
        <f t="shared" si="5"/>
        <v>4618.999134</v>
      </c>
      <c r="U18" s="164" t="str">
        <f t="shared" ref="U18:U19" si="14">IFERROR(IF(ISBLANK(Q18),"N/A",(S18/Q18)*(104237/2032)),"N/A")</f>
        <v>N/A</v>
      </c>
      <c r="V18" s="163" t="str">
        <f t="shared" ref="V18:V19" si="15">IF(ISBLANK(R18),"N/A",(T18/R18)*(104237/2032))</f>
        <v>N/A</v>
      </c>
    </row>
    <row r="19" ht="37.5" customHeight="1">
      <c r="A19" s="50" t="s">
        <v>1783</v>
      </c>
      <c r="B19" s="117" t="s">
        <v>1756</v>
      </c>
      <c r="C19" s="117" t="s">
        <v>1756</v>
      </c>
      <c r="D19" s="167"/>
      <c r="E19" s="49" t="s">
        <v>1757</v>
      </c>
      <c r="F19" s="50"/>
      <c r="G19" s="165" t="s">
        <v>582</v>
      </c>
      <c r="H19" s="158">
        <v>1.467</v>
      </c>
      <c r="I19" s="159" t="s">
        <v>582</v>
      </c>
      <c r="J19" s="160">
        <v>518.05</v>
      </c>
      <c r="K19" s="166"/>
      <c r="L19" s="118"/>
      <c r="M19" s="118">
        <f>1+4+2</f>
        <v>7</v>
      </c>
      <c r="N19" s="118">
        <v>1.3</v>
      </c>
      <c r="O19" s="158">
        <f>1.3*1.1</f>
        <v>1.43</v>
      </c>
      <c r="P19" s="161">
        <f t="shared" si="12"/>
        <v>6741.38465</v>
      </c>
      <c r="Q19" s="162" t="s">
        <v>1757</v>
      </c>
      <c r="R19" s="162">
        <v>189567.19094036697</v>
      </c>
      <c r="S19" s="162" t="str">
        <f t="shared" si="13"/>
        <v>INF</v>
      </c>
      <c r="T19" s="162">
        <f t="shared" si="5"/>
        <v>4595.354226</v>
      </c>
      <c r="U19" s="164" t="str">
        <f t="shared" si="14"/>
        <v>N/A</v>
      </c>
      <c r="V19" s="163">
        <f t="shared" si="15"/>
        <v>1.243523564</v>
      </c>
    </row>
    <row r="20" ht="37.5" customHeight="1">
      <c r="A20" s="117" t="s">
        <v>1784</v>
      </c>
      <c r="B20" s="117" t="s">
        <v>1751</v>
      </c>
      <c r="C20" s="117" t="s">
        <v>1779</v>
      </c>
      <c r="D20" s="181"/>
      <c r="E20" s="111">
        <v>64.0</v>
      </c>
      <c r="F20" s="50"/>
      <c r="G20" s="157" t="s">
        <v>1785</v>
      </c>
      <c r="H20" s="158">
        <v>18.967</v>
      </c>
      <c r="I20" s="159">
        <f>H20*2+10</f>
        <v>47.934</v>
      </c>
      <c r="J20" s="160">
        <f>26433.14+507.869*10</f>
        <v>31511.83</v>
      </c>
      <c r="K20" s="158">
        <v>1.25</v>
      </c>
      <c r="L20" s="118">
        <v>1.1</v>
      </c>
      <c r="M20" s="158">
        <v>1.25</v>
      </c>
      <c r="N20" s="118">
        <v>1.3</v>
      </c>
      <c r="O20" s="158">
        <v>1.1</v>
      </c>
      <c r="P20" s="161">
        <f t="shared" si="12"/>
        <v>77450.16967</v>
      </c>
      <c r="Q20" s="162"/>
      <c r="R20" s="162"/>
      <c r="S20" s="162">
        <f>P20*(2+26433.14/31512)</f>
        <v>219867.6908</v>
      </c>
      <c r="T20" s="162">
        <f t="shared" si="5"/>
        <v>4586.883856</v>
      </c>
      <c r="U20" s="164"/>
      <c r="V20" s="163"/>
    </row>
    <row r="21" ht="37.5" customHeight="1">
      <c r="A21" s="169" t="s">
        <v>1786</v>
      </c>
      <c r="B21" s="170" t="s">
        <v>1771</v>
      </c>
      <c r="C21" s="170" t="s">
        <v>1777</v>
      </c>
      <c r="D21" s="182"/>
      <c r="E21" s="130">
        <v>20.0</v>
      </c>
      <c r="F21" s="169"/>
      <c r="G21" s="183" t="s">
        <v>1787</v>
      </c>
      <c r="H21" s="175">
        <v>1.717</v>
      </c>
      <c r="I21" s="173">
        <f>H21*5</f>
        <v>8.585</v>
      </c>
      <c r="J21" s="184">
        <f>(5*3197.353+1259.252)/6</f>
        <v>2874.336167</v>
      </c>
      <c r="K21" s="175"/>
      <c r="L21" s="175">
        <v>1.22</v>
      </c>
      <c r="M21" s="172">
        <v>1.25</v>
      </c>
      <c r="N21" s="175">
        <v>1.3</v>
      </c>
      <c r="O21" s="172">
        <v>1.15</v>
      </c>
      <c r="P21" s="176">
        <f t="shared" si="12"/>
        <v>6553.127168</v>
      </c>
      <c r="Q21" s="177">
        <v>2197053.3322043605</v>
      </c>
      <c r="R21" s="177">
        <v>98082.73804483752</v>
      </c>
      <c r="S21" s="177">
        <f>IFERROR(P21*6,"INF")</f>
        <v>39318.76301</v>
      </c>
      <c r="T21" s="177">
        <f t="shared" si="5"/>
        <v>4579.93745</v>
      </c>
      <c r="U21" s="178"/>
      <c r="V21" s="179"/>
    </row>
    <row r="22" ht="37.5" customHeight="1">
      <c r="A22" s="117" t="s">
        <v>1788</v>
      </c>
      <c r="B22" s="117" t="s">
        <v>1751</v>
      </c>
      <c r="C22" s="117" t="s">
        <v>1761</v>
      </c>
      <c r="D22" s="167"/>
      <c r="E22" s="111">
        <v>11.0</v>
      </c>
      <c r="F22" s="117" t="s">
        <v>1764</v>
      </c>
      <c r="G22" s="157" t="s">
        <v>1753</v>
      </c>
      <c r="H22" s="158">
        <v>1.45</v>
      </c>
      <c r="I22" s="159">
        <f>H22*(E22-1)</f>
        <v>14.5</v>
      </c>
      <c r="J22" s="168">
        <v>2145.968</v>
      </c>
      <c r="K22" s="158">
        <f>(1.3*9+1*2)/11</f>
        <v>1.245454545</v>
      </c>
      <c r="L22" s="118">
        <v>1.22</v>
      </c>
      <c r="M22" s="158">
        <v>1.25</v>
      </c>
      <c r="N22" s="118">
        <v>1.3</v>
      </c>
      <c r="O22" s="158">
        <v>1.1</v>
      </c>
      <c r="P22" s="161">
        <f t="shared" si="12"/>
        <v>5828.502737</v>
      </c>
      <c r="Q22" s="162"/>
      <c r="R22" s="162"/>
      <c r="S22" s="162">
        <f t="shared" ref="S22:S28" si="16">IFERROR(P22*E22,"INF")</f>
        <v>64113.53011</v>
      </c>
      <c r="T22" s="162">
        <f t="shared" si="5"/>
        <v>4421.622766</v>
      </c>
      <c r="U22" s="164" t="str">
        <f t="shared" ref="U22:U25" si="17">IFERROR(IF(ISBLANK(Q22),"N/A",(S22/Q22)*(104237/2032)),"N/A")</f>
        <v>N/A</v>
      </c>
      <c r="V22" s="163" t="str">
        <f t="shared" ref="V22:V25" si="18">IF(ISBLANK(R22),"N/A",(T22/R22)*(104237/2032))</f>
        <v>N/A</v>
      </c>
    </row>
    <row r="23" ht="37.5" customHeight="1">
      <c r="A23" s="50" t="s">
        <v>1789</v>
      </c>
      <c r="B23" s="117" t="s">
        <v>1751</v>
      </c>
      <c r="C23" s="117" t="s">
        <v>1772</v>
      </c>
      <c r="D23" s="167"/>
      <c r="E23" s="111">
        <v>16.0</v>
      </c>
      <c r="F23" s="50" t="s">
        <v>1790</v>
      </c>
      <c r="G23" s="165" t="s">
        <v>1791</v>
      </c>
      <c r="H23" s="118">
        <v>1.183</v>
      </c>
      <c r="I23" s="159">
        <v>20.333</v>
      </c>
      <c r="J23" s="160">
        <v>1667.836</v>
      </c>
      <c r="K23" s="118">
        <v>1.5</v>
      </c>
      <c r="L23" s="118">
        <v>1.22</v>
      </c>
      <c r="M23" s="158">
        <v>1.25</v>
      </c>
      <c r="N23" s="118">
        <v>1.3</v>
      </c>
      <c r="O23" s="158">
        <v>1.1</v>
      </c>
      <c r="P23" s="161">
        <f t="shared" si="12"/>
        <v>5455.700036</v>
      </c>
      <c r="Q23" s="162">
        <v>5517030.253603916</v>
      </c>
      <c r="R23" s="162">
        <v>191377.48902469527</v>
      </c>
      <c r="S23" s="162">
        <f t="shared" si="16"/>
        <v>87291.20057</v>
      </c>
      <c r="T23" s="162">
        <f t="shared" si="5"/>
        <v>4293.080242</v>
      </c>
      <c r="U23" s="164">
        <f t="shared" si="17"/>
        <v>0.8116397365</v>
      </c>
      <c r="V23" s="163">
        <f t="shared" si="18"/>
        <v>1.150737733</v>
      </c>
    </row>
    <row r="24" ht="37.5" customHeight="1">
      <c r="A24" s="50" t="s">
        <v>1792</v>
      </c>
      <c r="B24" s="117" t="s">
        <v>1771</v>
      </c>
      <c r="C24" s="117" t="s">
        <v>1793</v>
      </c>
      <c r="D24" s="167"/>
      <c r="E24" s="111">
        <v>17.0</v>
      </c>
      <c r="F24" s="50" t="s">
        <v>1794</v>
      </c>
      <c r="G24" s="165" t="s">
        <v>1795</v>
      </c>
      <c r="H24" s="118">
        <v>0.516</v>
      </c>
      <c r="I24" s="159">
        <f>1+10.7</f>
        <v>11.7</v>
      </c>
      <c r="J24" s="160">
        <f>(7217*7/8*1.5+7102.93*1.5+7102.93*2/8)/17</f>
        <v>1288.378824</v>
      </c>
      <c r="K24" s="118"/>
      <c r="L24" s="118">
        <v>1.22</v>
      </c>
      <c r="M24" s="158">
        <v>1.25</v>
      </c>
      <c r="N24" s="118">
        <v>1.3</v>
      </c>
      <c r="O24" s="158">
        <v>1.15</v>
      </c>
      <c r="P24" s="161">
        <f t="shared" si="12"/>
        <v>2937.34267</v>
      </c>
      <c r="Q24" s="162">
        <v>2735580.38</v>
      </c>
      <c r="R24" s="162">
        <v>167662.4405491542</v>
      </c>
      <c r="S24" s="162">
        <f t="shared" si="16"/>
        <v>49934.8254</v>
      </c>
      <c r="T24" s="162">
        <f t="shared" si="5"/>
        <v>4267.933794</v>
      </c>
      <c r="U24" s="164">
        <f t="shared" si="17"/>
        <v>0.9363802724</v>
      </c>
      <c r="V24" s="163">
        <f t="shared" si="18"/>
        <v>1.305810301</v>
      </c>
    </row>
    <row r="25" ht="37.5" customHeight="1">
      <c r="A25" s="50" t="s">
        <v>1796</v>
      </c>
      <c r="B25" s="117" t="s">
        <v>1771</v>
      </c>
      <c r="C25" s="117" t="s">
        <v>1777</v>
      </c>
      <c r="D25" s="167"/>
      <c r="E25" s="111">
        <v>20.0</v>
      </c>
      <c r="F25" s="50" t="s">
        <v>1797</v>
      </c>
      <c r="G25" s="165" t="s">
        <v>1798</v>
      </c>
      <c r="H25" s="118">
        <v>0.65</v>
      </c>
      <c r="I25" s="159">
        <f>H25*16+1.817*3+1.767*3</f>
        <v>21.152</v>
      </c>
      <c r="J25" s="160">
        <f>(19*564.934+4*7157.662)/20</f>
        <v>1968.2197</v>
      </c>
      <c r="K25" s="118"/>
      <c r="L25" s="118">
        <v>1.22</v>
      </c>
      <c r="M25" s="158">
        <v>1.25</v>
      </c>
      <c r="N25" s="118">
        <v>1.3</v>
      </c>
      <c r="O25" s="158">
        <v>1.15</v>
      </c>
      <c r="P25" s="161">
        <f t="shared" si="12"/>
        <v>4487.294889</v>
      </c>
      <c r="Q25" s="162">
        <v>3783101.1683108946</v>
      </c>
      <c r="R25" s="162">
        <v>143844.15088634577</v>
      </c>
      <c r="S25" s="162">
        <f t="shared" si="16"/>
        <v>89745.89777</v>
      </c>
      <c r="T25" s="162">
        <f t="shared" si="5"/>
        <v>4242.903639</v>
      </c>
      <c r="U25" s="164">
        <f t="shared" si="17"/>
        <v>1.216927908</v>
      </c>
      <c r="V25" s="163">
        <f t="shared" si="18"/>
        <v>1.513105332</v>
      </c>
    </row>
    <row r="26" ht="37.5" customHeight="1">
      <c r="A26" s="169" t="s">
        <v>1799</v>
      </c>
      <c r="B26" s="170" t="s">
        <v>1751</v>
      </c>
      <c r="C26" s="170" t="s">
        <v>1777</v>
      </c>
      <c r="D26" s="156"/>
      <c r="E26" s="130">
        <v>20.0</v>
      </c>
      <c r="F26" s="169"/>
      <c r="G26" s="171" t="s">
        <v>1753</v>
      </c>
      <c r="H26" s="172">
        <v>1.367</v>
      </c>
      <c r="I26" s="173">
        <f>H26*(E26-1)</f>
        <v>25.973</v>
      </c>
      <c r="J26" s="174">
        <v>1890.733</v>
      </c>
      <c r="K26" s="175">
        <f>1.333</f>
        <v>1.333</v>
      </c>
      <c r="L26" s="175">
        <v>1.22</v>
      </c>
      <c r="M26" s="172">
        <v>1.25</v>
      </c>
      <c r="N26" s="175">
        <v>1.3</v>
      </c>
      <c r="O26" s="172">
        <v>1.1</v>
      </c>
      <c r="P26" s="176">
        <f t="shared" si="12"/>
        <v>5496.246914</v>
      </c>
      <c r="Q26" s="177"/>
      <c r="R26" s="177"/>
      <c r="S26" s="177">
        <f t="shared" si="16"/>
        <v>109924.9383</v>
      </c>
      <c r="T26" s="177">
        <f t="shared" si="5"/>
        <v>4232.277299</v>
      </c>
      <c r="U26" s="178"/>
      <c r="V26" s="179"/>
    </row>
    <row r="27" ht="37.5" customHeight="1">
      <c r="A27" s="170" t="s">
        <v>1800</v>
      </c>
      <c r="B27" s="170" t="s">
        <v>1771</v>
      </c>
      <c r="C27" s="170" t="s">
        <v>1777</v>
      </c>
      <c r="D27" s="180"/>
      <c r="E27" s="130">
        <v>26.0</v>
      </c>
      <c r="F27" s="169"/>
      <c r="G27" s="171" t="s">
        <v>1801</v>
      </c>
      <c r="H27" s="175">
        <v>0.433</v>
      </c>
      <c r="I27" s="185">
        <v>15.35</v>
      </c>
      <c r="J27" s="174">
        <v>642.128</v>
      </c>
      <c r="K27" s="175">
        <f>1.15*(1.3*24+1*2)/26*1.159</f>
        <v>1.701946923</v>
      </c>
      <c r="L27" s="175">
        <v>1.22</v>
      </c>
      <c r="M27" s="172">
        <v>1.25</v>
      </c>
      <c r="N27" s="175">
        <v>1.3</v>
      </c>
      <c r="O27" s="172">
        <v>1.15</v>
      </c>
      <c r="P27" s="176">
        <f t="shared" si="12"/>
        <v>2491.601916</v>
      </c>
      <c r="Q27" s="177"/>
      <c r="R27" s="177"/>
      <c r="S27" s="177">
        <f t="shared" si="16"/>
        <v>64781.64981</v>
      </c>
      <c r="T27" s="177">
        <f t="shared" si="5"/>
        <v>4220.302919</v>
      </c>
      <c r="U27" s="178"/>
      <c r="V27" s="179"/>
    </row>
    <row r="28" ht="37.5" customHeight="1">
      <c r="A28" s="50" t="s">
        <v>1802</v>
      </c>
      <c r="B28" s="117" t="s">
        <v>1769</v>
      </c>
      <c r="C28" s="117" t="s">
        <v>1769</v>
      </c>
      <c r="D28" s="156"/>
      <c r="E28" s="49" t="s">
        <v>1757</v>
      </c>
      <c r="F28" s="50"/>
      <c r="G28" s="165" t="s">
        <v>582</v>
      </c>
      <c r="H28" s="118">
        <v>1.567</v>
      </c>
      <c r="I28" s="159" t="s">
        <v>582</v>
      </c>
      <c r="J28" s="160">
        <v>2217.984</v>
      </c>
      <c r="K28" s="166"/>
      <c r="L28" s="118"/>
      <c r="M28" s="158">
        <v>1.35</v>
      </c>
      <c r="N28" s="118">
        <v>1.3</v>
      </c>
      <c r="O28" s="158">
        <v>1.65</v>
      </c>
      <c r="P28" s="161">
        <f t="shared" si="12"/>
        <v>6422.727168</v>
      </c>
      <c r="Q28" s="162"/>
      <c r="R28" s="162"/>
      <c r="S28" s="162" t="str">
        <f t="shared" si="16"/>
        <v>INF</v>
      </c>
      <c r="T28" s="162">
        <f t="shared" si="5"/>
        <v>4098.741013</v>
      </c>
      <c r="U28" s="164" t="str">
        <f>IFERROR(IF(ISBLANK(Q28),"N/A",(S28/Q28)*(104237/2032)),"N/A")</f>
        <v>N/A</v>
      </c>
      <c r="V28" s="163" t="str">
        <f>IF(ISBLANK(R28),"N/A",(T28/R28)*(104237/2032))</f>
        <v>N/A</v>
      </c>
    </row>
    <row r="29" ht="37.5" customHeight="1">
      <c r="A29" s="117" t="s">
        <v>1803</v>
      </c>
      <c r="B29" s="117" t="s">
        <v>1751</v>
      </c>
      <c r="C29" s="117" t="s">
        <v>1779</v>
      </c>
      <c r="D29" s="181"/>
      <c r="E29" s="111">
        <v>64.0</v>
      </c>
      <c r="F29" s="50"/>
      <c r="G29" s="157" t="s">
        <v>1785</v>
      </c>
      <c r="H29" s="158">
        <v>18.967</v>
      </c>
      <c r="I29" s="159">
        <f>H29*2+10</f>
        <v>47.934</v>
      </c>
      <c r="J29" s="160">
        <f>26433.14+507.869*10</f>
        <v>31511.83</v>
      </c>
      <c r="K29" s="166"/>
      <c r="L29" s="158">
        <v>1.22</v>
      </c>
      <c r="M29" s="158">
        <v>1.25</v>
      </c>
      <c r="N29" s="118">
        <v>1.3</v>
      </c>
      <c r="O29" s="158">
        <v>1.1</v>
      </c>
      <c r="P29" s="161">
        <f t="shared" si="12"/>
        <v>68719.42327</v>
      </c>
      <c r="Q29" s="162"/>
      <c r="R29" s="162"/>
      <c r="S29" s="162">
        <f>P29*(2+26433.14/31512)</f>
        <v>195082.6056</v>
      </c>
      <c r="T29" s="162">
        <f t="shared" si="5"/>
        <v>4069.816949</v>
      </c>
      <c r="U29" s="164"/>
      <c r="V29" s="163"/>
    </row>
    <row r="30" ht="37.5" customHeight="1">
      <c r="A30" s="50" t="s">
        <v>1804</v>
      </c>
      <c r="B30" s="117" t="s">
        <v>1751</v>
      </c>
      <c r="C30" s="117" t="s">
        <v>1805</v>
      </c>
      <c r="D30" s="156"/>
      <c r="E30" s="111">
        <v>30.0</v>
      </c>
      <c r="F30" s="117" t="s">
        <v>1806</v>
      </c>
      <c r="G30" s="157" t="s">
        <v>1807</v>
      </c>
      <c r="H30" s="118">
        <v>0.4</v>
      </c>
      <c r="I30" s="159">
        <f>H30*(E30-3)+2.017*2</f>
        <v>14.834</v>
      </c>
      <c r="J30" s="168">
        <v>640.506</v>
      </c>
      <c r="K30" s="118">
        <f>0.6888*1.418+(1-0.6888)*1.47</f>
        <v>1.4341824</v>
      </c>
      <c r="L30" s="118">
        <v>1.22</v>
      </c>
      <c r="M30" s="158">
        <v>1.25</v>
      </c>
      <c r="N30" s="118">
        <v>1.3</v>
      </c>
      <c r="O30" s="158">
        <v>1.1</v>
      </c>
      <c r="P30" s="161">
        <f t="shared" si="12"/>
        <v>2003.242254</v>
      </c>
      <c r="Q30" s="162">
        <v>3269941.41152952</v>
      </c>
      <c r="R30" s="162">
        <v>227616.6929924488</v>
      </c>
      <c r="S30" s="162">
        <f t="shared" ref="S30:S31" si="19">IFERROR(P30*E30,"INF")</f>
        <v>60097.26763</v>
      </c>
      <c r="T30" s="162">
        <f t="shared" si="5"/>
        <v>4051.319107</v>
      </c>
      <c r="U30" s="164">
        <f t="shared" ref="U30:U40" si="20">IFERROR(IF(ISBLANK(Q30),"N/A",(S30/Q30)*(104237/2032)),"N/A")</f>
        <v>0.9427856326</v>
      </c>
      <c r="V30" s="163">
        <f t="shared" ref="V30:V40" si="21">IF(ISBLANK(R30),"N/A",(T30/R30)*(104237/2032))</f>
        <v>0.9130415531</v>
      </c>
    </row>
    <row r="31" ht="37.5" customHeight="1">
      <c r="A31" s="50" t="s">
        <v>1808</v>
      </c>
      <c r="B31" s="117" t="s">
        <v>1769</v>
      </c>
      <c r="C31" s="117" t="s">
        <v>1769</v>
      </c>
      <c r="D31" s="156"/>
      <c r="E31" s="49" t="s">
        <v>1757</v>
      </c>
      <c r="F31" s="50"/>
      <c r="G31" s="165" t="s">
        <v>582</v>
      </c>
      <c r="H31" s="118">
        <v>5.95</v>
      </c>
      <c r="I31" s="159" t="s">
        <v>582</v>
      </c>
      <c r="J31" s="160">
        <f>2778.75*4</f>
        <v>11115</v>
      </c>
      <c r="K31" s="166"/>
      <c r="L31" s="118"/>
      <c r="M31" s="118"/>
      <c r="N31" s="118">
        <v>1.3</v>
      </c>
      <c r="O31" s="158">
        <v>1.65</v>
      </c>
      <c r="P31" s="161">
        <f t="shared" si="12"/>
        <v>23841.675</v>
      </c>
      <c r="Q31" s="162"/>
      <c r="R31" s="162"/>
      <c r="S31" s="162" t="str">
        <f t="shared" si="19"/>
        <v>INF</v>
      </c>
      <c r="T31" s="162">
        <f t="shared" si="5"/>
        <v>4007.004202</v>
      </c>
      <c r="U31" s="164" t="str">
        <f t="shared" si="20"/>
        <v>N/A</v>
      </c>
      <c r="V31" s="163" t="str">
        <f t="shared" si="21"/>
        <v>N/A</v>
      </c>
    </row>
    <row r="32" ht="37.5" customHeight="1">
      <c r="A32" s="50" t="s">
        <v>1809</v>
      </c>
      <c r="B32" s="117" t="s">
        <v>1751</v>
      </c>
      <c r="C32" s="117" t="s">
        <v>1779</v>
      </c>
      <c r="D32" s="167"/>
      <c r="E32" s="111">
        <v>69.0</v>
      </c>
      <c r="F32" s="50" t="s">
        <v>1810</v>
      </c>
      <c r="G32" s="165" t="s">
        <v>1811</v>
      </c>
      <c r="H32" s="118">
        <v>2.317</v>
      </c>
      <c r="I32" s="159">
        <f>H32*13</f>
        <v>30.121</v>
      </c>
      <c r="J32" s="160">
        <v>2741.639</v>
      </c>
      <c r="K32" s="118">
        <v>1.418</v>
      </c>
      <c r="L32" s="118">
        <v>1.22</v>
      </c>
      <c r="M32" s="158">
        <v>1.25</v>
      </c>
      <c r="N32" s="118">
        <v>1.3</v>
      </c>
      <c r="O32" s="158">
        <v>1.1</v>
      </c>
      <c r="P32" s="161">
        <f t="shared" si="12"/>
        <v>8477.979875</v>
      </c>
      <c r="Q32" s="162">
        <v>5990569.373958277</v>
      </c>
      <c r="R32" s="162">
        <v>184677.51938955163</v>
      </c>
      <c r="S32" s="162">
        <f>IFERROR(P32*13.637,"INF")</f>
        <v>115614.2116</v>
      </c>
      <c r="T32" s="162">
        <f t="shared" si="5"/>
        <v>3838.325805</v>
      </c>
      <c r="U32" s="164">
        <f t="shared" si="20"/>
        <v>0.9900139632</v>
      </c>
      <c r="V32" s="163">
        <f t="shared" si="21"/>
        <v>1.066168883</v>
      </c>
    </row>
    <row r="33" ht="37.5" customHeight="1">
      <c r="A33" s="50" t="s">
        <v>1812</v>
      </c>
      <c r="B33" s="117" t="s">
        <v>1751</v>
      </c>
      <c r="C33" s="117" t="s">
        <v>1779</v>
      </c>
      <c r="D33" s="167"/>
      <c r="E33" s="111">
        <v>71.0</v>
      </c>
      <c r="F33" s="50" t="s">
        <v>1813</v>
      </c>
      <c r="G33" s="165" t="s">
        <v>1811</v>
      </c>
      <c r="H33" s="118">
        <v>2.633</v>
      </c>
      <c r="I33" s="159">
        <f>H33*14</f>
        <v>36.862</v>
      </c>
      <c r="J33" s="160">
        <f>1906.408+399.632*2+75.81*5</f>
        <v>3084.722</v>
      </c>
      <c r="K33" s="118">
        <v>1.418</v>
      </c>
      <c r="L33" s="118">
        <v>1.22</v>
      </c>
      <c r="M33" s="158">
        <v>1.25</v>
      </c>
      <c r="N33" s="118">
        <v>1.3</v>
      </c>
      <c r="O33" s="158">
        <v>1.1</v>
      </c>
      <c r="P33" s="161">
        <f t="shared" si="12"/>
        <v>9538.896637</v>
      </c>
      <c r="Q33" s="162">
        <v>6553070.459955054</v>
      </c>
      <c r="R33" s="162">
        <v>177773.05789037637</v>
      </c>
      <c r="S33" s="162">
        <f>IFERROR(P33*14.681,"INF")</f>
        <v>140040.5415</v>
      </c>
      <c r="T33" s="162">
        <f t="shared" si="5"/>
        <v>3799.048927</v>
      </c>
      <c r="U33" s="164">
        <f t="shared" si="20"/>
        <v>1.096243784</v>
      </c>
      <c r="V33" s="163">
        <f t="shared" si="21"/>
        <v>1.096243784</v>
      </c>
    </row>
    <row r="34" ht="37.5" customHeight="1">
      <c r="A34" s="50" t="s">
        <v>1814</v>
      </c>
      <c r="B34" s="117" t="s">
        <v>1756</v>
      </c>
      <c r="C34" s="117" t="s">
        <v>1756</v>
      </c>
      <c r="D34" s="167"/>
      <c r="E34" s="49" t="s">
        <v>1757</v>
      </c>
      <c r="F34" s="50"/>
      <c r="G34" s="165" t="s">
        <v>582</v>
      </c>
      <c r="H34" s="158">
        <v>1.467</v>
      </c>
      <c r="I34" s="159" t="s">
        <v>582</v>
      </c>
      <c r="J34" s="160">
        <f>113.481*3.78</f>
        <v>428.95818</v>
      </c>
      <c r="K34" s="158"/>
      <c r="L34" s="118"/>
      <c r="M34" s="118">
        <f>1+4+0.6+2</f>
        <v>7.6</v>
      </c>
      <c r="N34" s="118">
        <v>1.3</v>
      </c>
      <c r="O34" s="158">
        <f>1.3</f>
        <v>1.3</v>
      </c>
      <c r="P34" s="161">
        <f t="shared" si="12"/>
        <v>5509.538864</v>
      </c>
      <c r="Q34" s="162" t="s">
        <v>1757</v>
      </c>
      <c r="R34" s="162">
        <v>164291.56548165137</v>
      </c>
      <c r="S34" s="162" t="str">
        <f t="shared" ref="S34:S36" si="22">IFERROR(P34*E34,"INF")</f>
        <v>INF</v>
      </c>
      <c r="T34" s="162">
        <f t="shared" si="5"/>
        <v>3755.650214</v>
      </c>
      <c r="U34" s="164" t="str">
        <f t="shared" si="20"/>
        <v>N/A</v>
      </c>
      <c r="V34" s="163">
        <f t="shared" si="21"/>
        <v>1.172649085</v>
      </c>
    </row>
    <row r="35" ht="37.5" customHeight="1">
      <c r="A35" s="50" t="s">
        <v>1815</v>
      </c>
      <c r="B35" s="117" t="s">
        <v>1771</v>
      </c>
      <c r="C35" s="117" t="s">
        <v>1772</v>
      </c>
      <c r="D35" s="167"/>
      <c r="E35" s="111">
        <v>20.0</v>
      </c>
      <c r="F35" s="117"/>
      <c r="G35" s="165" t="s">
        <v>1816</v>
      </c>
      <c r="H35" s="158">
        <v>2.917</v>
      </c>
      <c r="I35" s="159">
        <f>H35*3+0.8</f>
        <v>9.551</v>
      </c>
      <c r="J35" s="160">
        <f>3923.647/5</f>
        <v>784.7294</v>
      </c>
      <c r="K35" s="118"/>
      <c r="L35" s="118">
        <v>1.22</v>
      </c>
      <c r="M35" s="158">
        <v>1.25</v>
      </c>
      <c r="N35" s="118">
        <v>1.3</v>
      </c>
      <c r="O35" s="158">
        <v>1.15</v>
      </c>
      <c r="P35" s="161">
        <f t="shared" si="12"/>
        <v>1789.084941</v>
      </c>
      <c r="Q35" s="162">
        <v>1178547.5671057045</v>
      </c>
      <c r="R35" s="162">
        <v>281746.967990845</v>
      </c>
      <c r="S35" s="162">
        <f t="shared" si="22"/>
        <v>35781.69882</v>
      </c>
      <c r="T35" s="162">
        <f t="shared" si="5"/>
        <v>3746.382454</v>
      </c>
      <c r="U35" s="164">
        <f t="shared" si="20"/>
        <v>1.557442566</v>
      </c>
      <c r="V35" s="163">
        <f t="shared" si="21"/>
        <v>0.6821047278</v>
      </c>
    </row>
    <row r="36" ht="37.5" customHeight="1">
      <c r="A36" s="50" t="s">
        <v>1817</v>
      </c>
      <c r="B36" s="117" t="s">
        <v>1751</v>
      </c>
      <c r="C36" s="117" t="s">
        <v>1752</v>
      </c>
      <c r="D36" s="156"/>
      <c r="E36" s="111" t="s">
        <v>1757</v>
      </c>
      <c r="F36" s="50"/>
      <c r="G36" s="157" t="s">
        <v>1753</v>
      </c>
      <c r="H36" s="158">
        <v>1.883</v>
      </c>
      <c r="I36" s="159" t="s">
        <v>582</v>
      </c>
      <c r="J36" s="160">
        <f>1659.403+6*127.172</f>
        <v>2422.435</v>
      </c>
      <c r="K36" s="158">
        <v>1.33</v>
      </c>
      <c r="L36" s="118">
        <v>1.22</v>
      </c>
      <c r="M36" s="158">
        <v>1.25</v>
      </c>
      <c r="N36" s="118">
        <v>1.3</v>
      </c>
      <c r="O36" s="158">
        <v>1.1</v>
      </c>
      <c r="P36" s="161">
        <f t="shared" si="12"/>
        <v>7026.024418</v>
      </c>
      <c r="Q36" s="162"/>
      <c r="R36" s="162"/>
      <c r="S36" s="162" t="str">
        <f t="shared" si="22"/>
        <v>INF</v>
      </c>
      <c r="T36" s="162">
        <f t="shared" si="5"/>
        <v>3731.29284</v>
      </c>
      <c r="U36" s="164" t="str">
        <f t="shared" si="20"/>
        <v>N/A</v>
      </c>
      <c r="V36" s="163" t="str">
        <f t="shared" si="21"/>
        <v>N/A</v>
      </c>
    </row>
    <row r="37" ht="37.5" customHeight="1">
      <c r="A37" s="50" t="s">
        <v>1818</v>
      </c>
      <c r="B37" s="117" t="s">
        <v>1751</v>
      </c>
      <c r="C37" s="117" t="s">
        <v>1779</v>
      </c>
      <c r="D37" s="167"/>
      <c r="E37" s="111">
        <v>71.0</v>
      </c>
      <c r="F37" s="50" t="s">
        <v>1813</v>
      </c>
      <c r="G37" s="165" t="s">
        <v>1811</v>
      </c>
      <c r="H37" s="118">
        <v>2.633</v>
      </c>
      <c r="I37" s="159">
        <f>H37*14</f>
        <v>36.862</v>
      </c>
      <c r="J37" s="160">
        <f>1906.408*1.0166+399.632*1.0166*2+75.81*5</f>
        <v>3129.636155</v>
      </c>
      <c r="K37" s="158">
        <v>1.35</v>
      </c>
      <c r="L37" s="118">
        <v>1.22</v>
      </c>
      <c r="M37" s="158">
        <v>1.25</v>
      </c>
      <c r="N37" s="118">
        <v>1.3</v>
      </c>
      <c r="O37" s="158">
        <v>1.1</v>
      </c>
      <c r="P37" s="161">
        <f t="shared" si="12"/>
        <v>9213.687961</v>
      </c>
      <c r="Q37" s="162"/>
      <c r="R37" s="162"/>
      <c r="S37" s="162">
        <f>IFERROR(P37*14.81,"INF")</f>
        <v>136454.7187</v>
      </c>
      <c r="T37" s="162">
        <f t="shared" si="5"/>
        <v>3701.771979</v>
      </c>
      <c r="U37" s="164" t="str">
        <f t="shared" si="20"/>
        <v>N/A</v>
      </c>
      <c r="V37" s="163" t="str">
        <f t="shared" si="21"/>
        <v>N/A</v>
      </c>
    </row>
    <row r="38" ht="37.5" customHeight="1">
      <c r="A38" s="50" t="s">
        <v>1819</v>
      </c>
      <c r="B38" s="117" t="s">
        <v>1771</v>
      </c>
      <c r="C38" s="117" t="s">
        <v>1772</v>
      </c>
      <c r="D38" s="167"/>
      <c r="E38" s="111">
        <v>189.0</v>
      </c>
      <c r="F38" s="50"/>
      <c r="G38" s="165" t="s">
        <v>1820</v>
      </c>
      <c r="H38" s="118">
        <f>2.283/29</f>
        <v>0.07872413793</v>
      </c>
      <c r="I38" s="159">
        <f>3.3*6+H38*8</f>
        <v>20.4297931</v>
      </c>
      <c r="J38" s="168">
        <f>161.466+797.124/60</f>
        <v>174.7514</v>
      </c>
      <c r="K38" s="118"/>
      <c r="L38" s="118">
        <v>1.22</v>
      </c>
      <c r="M38" s="158">
        <v>1.25</v>
      </c>
      <c r="N38" s="118">
        <v>1.3</v>
      </c>
      <c r="O38" s="158">
        <v>1.15</v>
      </c>
      <c r="P38" s="161">
        <f t="shared" si="12"/>
        <v>398.4113481</v>
      </c>
      <c r="Q38" s="162">
        <v>5709778.425</v>
      </c>
      <c r="R38" s="162">
        <v>199064.89645434578</v>
      </c>
      <c r="S38" s="162">
        <f t="shared" ref="S38:S39" si="23">IFERROR(P38*E38,"INF")</f>
        <v>75299.74479</v>
      </c>
      <c r="T38" s="162">
        <f t="shared" si="5"/>
        <v>3685.781075</v>
      </c>
      <c r="U38" s="164">
        <f t="shared" si="20"/>
        <v>0.6765072404</v>
      </c>
      <c r="V38" s="163">
        <f t="shared" si="21"/>
        <v>0.9498019426</v>
      </c>
    </row>
    <row r="39" ht="37.5" customHeight="1">
      <c r="A39" s="50" t="s">
        <v>1821</v>
      </c>
      <c r="B39" s="117" t="s">
        <v>1751</v>
      </c>
      <c r="C39" s="117" t="s">
        <v>1752</v>
      </c>
      <c r="D39" s="167"/>
      <c r="E39" s="111">
        <v>14.0</v>
      </c>
      <c r="F39" s="117"/>
      <c r="G39" s="165" t="s">
        <v>1753</v>
      </c>
      <c r="H39" s="158">
        <v>1.333</v>
      </c>
      <c r="I39" s="159">
        <f>H39*(E39-1)</f>
        <v>17.329</v>
      </c>
      <c r="J39" s="160">
        <v>2069.603</v>
      </c>
      <c r="K39" s="118"/>
      <c r="L39" s="118">
        <v>1.22</v>
      </c>
      <c r="M39" s="158">
        <v>1.25</v>
      </c>
      <c r="N39" s="118">
        <v>1.3</v>
      </c>
      <c r="O39" s="158">
        <v>1.1</v>
      </c>
      <c r="P39" s="161">
        <f t="shared" si="12"/>
        <v>4513.286742</v>
      </c>
      <c r="Q39" s="162">
        <v>3874920.363083247</v>
      </c>
      <c r="R39" s="162">
        <v>175335.76303544102</v>
      </c>
      <c r="S39" s="162">
        <f t="shared" si="23"/>
        <v>63186.01439</v>
      </c>
      <c r="T39" s="162">
        <f t="shared" si="5"/>
        <v>3646.258549</v>
      </c>
      <c r="U39" s="164">
        <f t="shared" si="20"/>
        <v>0.8364815778</v>
      </c>
      <c r="V39" s="163">
        <f t="shared" si="21"/>
        <v>1.066780707</v>
      </c>
    </row>
    <row r="40" ht="37.5" customHeight="1">
      <c r="A40" s="50" t="s">
        <v>1822</v>
      </c>
      <c r="B40" s="117" t="s">
        <v>1751</v>
      </c>
      <c r="C40" s="117" t="s">
        <v>1779</v>
      </c>
      <c r="D40" s="167"/>
      <c r="E40" s="111">
        <v>71.0</v>
      </c>
      <c r="F40" s="50"/>
      <c r="G40" s="157" t="s">
        <v>1823</v>
      </c>
      <c r="H40" s="158">
        <v>1.75</v>
      </c>
      <c r="I40" s="159">
        <f>H40*18</f>
        <v>31.5</v>
      </c>
      <c r="J40" s="160">
        <f>1906.408*1.0166+75.81*3
</f>
        <v>2165.484373</v>
      </c>
      <c r="K40" s="158">
        <v>1.35</v>
      </c>
      <c r="L40" s="118">
        <v>1.22</v>
      </c>
      <c r="M40" s="158">
        <v>1.25</v>
      </c>
      <c r="N40" s="118">
        <v>1.3</v>
      </c>
      <c r="O40" s="158">
        <v>1.1</v>
      </c>
      <c r="P40" s="161">
        <f t="shared" si="12"/>
        <v>6375.213062</v>
      </c>
      <c r="Q40" s="162"/>
      <c r="R40" s="162"/>
      <c r="S40" s="162">
        <f>IFERROR(P40*18,"INF")</f>
        <v>114753.8351</v>
      </c>
      <c r="T40" s="162">
        <f t="shared" si="5"/>
        <v>3642.978893</v>
      </c>
      <c r="U40" s="164" t="str">
        <f t="shared" si="20"/>
        <v>N/A</v>
      </c>
      <c r="V40" s="163" t="str">
        <f t="shared" si="21"/>
        <v>N/A</v>
      </c>
    </row>
    <row r="41" ht="37.5" customHeight="1">
      <c r="A41" s="170" t="s">
        <v>1824</v>
      </c>
      <c r="B41" s="170" t="s">
        <v>1771</v>
      </c>
      <c r="C41" s="170" t="s">
        <v>1777</v>
      </c>
      <c r="D41" s="180"/>
      <c r="E41" s="130">
        <v>26.0</v>
      </c>
      <c r="F41" s="169"/>
      <c r="G41" s="171" t="s">
        <v>1801</v>
      </c>
      <c r="H41" s="175">
        <v>0.433</v>
      </c>
      <c r="I41" s="185">
        <v>15.35</v>
      </c>
      <c r="J41" s="174">
        <v>642.128</v>
      </c>
      <c r="K41" s="175">
        <f>1.15*(1.3*24+1*2)/26</f>
        <v>1.468461538</v>
      </c>
      <c r="L41" s="175">
        <v>1.22</v>
      </c>
      <c r="M41" s="172">
        <v>1.25</v>
      </c>
      <c r="N41" s="175">
        <v>1.3</v>
      </c>
      <c r="O41" s="172">
        <v>1.15</v>
      </c>
      <c r="P41" s="176">
        <f t="shared" si="12"/>
        <v>2149.78595</v>
      </c>
      <c r="Q41" s="177"/>
      <c r="R41" s="177"/>
      <c r="S41" s="177">
        <f t="shared" ref="S41:S50" si="24">IFERROR(P41*E41,"INF")</f>
        <v>55894.4347</v>
      </c>
      <c r="T41" s="177">
        <f t="shared" si="5"/>
        <v>3641.331251</v>
      </c>
      <c r="U41" s="178"/>
      <c r="V41" s="179"/>
    </row>
    <row r="42" ht="37.5" customHeight="1">
      <c r="A42" s="117" t="s">
        <v>1825</v>
      </c>
      <c r="B42" s="117" t="s">
        <v>1756</v>
      </c>
      <c r="C42" s="117" t="s">
        <v>1756</v>
      </c>
      <c r="D42" s="156"/>
      <c r="E42" s="111" t="s">
        <v>1757</v>
      </c>
      <c r="F42" s="50"/>
      <c r="G42" s="157" t="s">
        <v>582</v>
      </c>
      <c r="H42" s="158">
        <v>2.533</v>
      </c>
      <c r="I42" s="186" t="s">
        <v>582</v>
      </c>
      <c r="J42" s="168">
        <v>943.296</v>
      </c>
      <c r="K42" s="118"/>
      <c r="L42" s="118"/>
      <c r="M42" s="158">
        <f>1+2+1.5</f>
        <v>4.5</v>
      </c>
      <c r="N42" s="118">
        <v>1.3</v>
      </c>
      <c r="O42" s="158">
        <v>1.3</v>
      </c>
      <c r="P42" s="161">
        <f>PRODUCT(J42:O42)+511.708*1.22*1.25*1.3*2</f>
        <v>9202.6883</v>
      </c>
      <c r="Q42" s="162"/>
      <c r="R42" s="162"/>
      <c r="S42" s="162" t="str">
        <f t="shared" si="24"/>
        <v>INF</v>
      </c>
      <c r="T42" s="162">
        <f t="shared" si="5"/>
        <v>3633.11816</v>
      </c>
      <c r="U42" s="164" t="str">
        <f t="shared" ref="U42:U56" si="25">IFERROR(IF(ISBLANK(Q42),"N/A",(S42/Q42)*(104237/2032)),"N/A")</f>
        <v>N/A</v>
      </c>
      <c r="V42" s="163" t="str">
        <f t="shared" ref="V42:V56" si="26">IF(ISBLANK(R42),"N/A",(T42/R42)*(104237/2032))</f>
        <v>N/A</v>
      </c>
    </row>
    <row r="43" ht="37.5" customHeight="1">
      <c r="A43" s="50" t="s">
        <v>1826</v>
      </c>
      <c r="B43" s="117" t="s">
        <v>1751</v>
      </c>
      <c r="C43" s="117" t="s">
        <v>1761</v>
      </c>
      <c r="D43" s="167"/>
      <c r="E43" s="111">
        <v>11.0</v>
      </c>
      <c r="F43" s="50"/>
      <c r="G43" s="165" t="s">
        <v>1753</v>
      </c>
      <c r="H43" s="158">
        <v>2.3</v>
      </c>
      <c r="I43" s="159">
        <f>H43*(E43-1)</f>
        <v>23</v>
      </c>
      <c r="J43" s="168">
        <v>3476.395</v>
      </c>
      <c r="K43" s="118"/>
      <c r="L43" s="118">
        <v>1.22</v>
      </c>
      <c r="M43" s="158">
        <v>1.25</v>
      </c>
      <c r="N43" s="118">
        <v>1.3</v>
      </c>
      <c r="O43" s="158">
        <v>1.1</v>
      </c>
      <c r="P43" s="161">
        <f t="shared" ref="P43:P111" si="27">PRODUCT(J43:O43)</f>
        <v>7581.148396</v>
      </c>
      <c r="Q43" s="162">
        <v>3347347.3537697764</v>
      </c>
      <c r="R43" s="162">
        <v>132306.21951659195</v>
      </c>
      <c r="S43" s="162">
        <f t="shared" si="24"/>
        <v>83392.63236</v>
      </c>
      <c r="T43" s="162">
        <f t="shared" si="5"/>
        <v>3625.766624</v>
      </c>
      <c r="U43" s="164">
        <f t="shared" si="25"/>
        <v>1.277983073</v>
      </c>
      <c r="V43" s="163">
        <f t="shared" si="26"/>
        <v>1.40578138</v>
      </c>
    </row>
    <row r="44" ht="37.5" customHeight="1">
      <c r="A44" s="50" t="s">
        <v>1827</v>
      </c>
      <c r="B44" s="117" t="s">
        <v>1771</v>
      </c>
      <c r="C44" s="117" t="s">
        <v>1777</v>
      </c>
      <c r="D44" s="167"/>
      <c r="E44" s="111">
        <v>20.0</v>
      </c>
      <c r="F44" s="117" t="s">
        <v>1828</v>
      </c>
      <c r="G44" s="157" t="s">
        <v>1829</v>
      </c>
      <c r="H44" s="158">
        <v>0.833</v>
      </c>
      <c r="I44" s="159">
        <f>H44*(E44-3)+1.817*2</f>
        <v>17.795</v>
      </c>
      <c r="J44" s="160">
        <v>691.27</v>
      </c>
      <c r="K44" s="158">
        <f>(2*15+1*5)/20*1.159</f>
        <v>2.02825</v>
      </c>
      <c r="L44" s="118">
        <v>1.22</v>
      </c>
      <c r="M44" s="158">
        <v>1.25</v>
      </c>
      <c r="N44" s="118">
        <v>1.3</v>
      </c>
      <c r="O44" s="158">
        <v>1.15</v>
      </c>
      <c r="P44" s="161">
        <f t="shared" si="27"/>
        <v>3196.540642</v>
      </c>
      <c r="Q44" s="162"/>
      <c r="R44" s="162"/>
      <c r="S44" s="162">
        <f t="shared" si="24"/>
        <v>63930.81284</v>
      </c>
      <c r="T44" s="162">
        <f t="shared" si="5"/>
        <v>3592.627864</v>
      </c>
      <c r="U44" s="164" t="str">
        <f t="shared" si="25"/>
        <v>N/A</v>
      </c>
      <c r="V44" s="163" t="str">
        <f t="shared" si="26"/>
        <v>N/A</v>
      </c>
    </row>
    <row r="45" ht="37.5" customHeight="1">
      <c r="A45" s="50" t="s">
        <v>1830</v>
      </c>
      <c r="B45" s="117" t="s">
        <v>1771</v>
      </c>
      <c r="C45" s="117" t="s">
        <v>1772</v>
      </c>
      <c r="D45" s="167"/>
      <c r="E45" s="111">
        <v>17.0</v>
      </c>
      <c r="F45" s="117" t="s">
        <v>1831</v>
      </c>
      <c r="G45" s="157" t="s">
        <v>1832</v>
      </c>
      <c r="H45" s="158">
        <v>0.917</v>
      </c>
      <c r="I45" s="159">
        <f>H45*(E45-3)+1.1*2</f>
        <v>15.038</v>
      </c>
      <c r="J45" s="160">
        <f>(802.758*3+980.531*1.55*14)/17</f>
        <v>1393.282159</v>
      </c>
      <c r="K45" s="118"/>
      <c r="L45" s="118">
        <v>1.22</v>
      </c>
      <c r="M45" s="158">
        <v>1.25</v>
      </c>
      <c r="N45" s="118">
        <v>1.3</v>
      </c>
      <c r="O45" s="158">
        <v>1.15</v>
      </c>
      <c r="P45" s="161">
        <f t="shared" si="27"/>
        <v>3176.509162</v>
      </c>
      <c r="Q45" s="162"/>
      <c r="R45" s="162"/>
      <c r="S45" s="162">
        <f t="shared" si="24"/>
        <v>54000.65575</v>
      </c>
      <c r="T45" s="162">
        <f t="shared" si="5"/>
        <v>3590.946652</v>
      </c>
      <c r="U45" s="164" t="str">
        <f t="shared" si="25"/>
        <v>N/A</v>
      </c>
      <c r="V45" s="163" t="str">
        <f t="shared" si="26"/>
        <v>N/A</v>
      </c>
    </row>
    <row r="46" ht="37.5" customHeight="1">
      <c r="A46" s="50" t="s">
        <v>1833</v>
      </c>
      <c r="B46" s="117" t="s">
        <v>1771</v>
      </c>
      <c r="C46" s="117" t="s">
        <v>1834</v>
      </c>
      <c r="D46" s="167"/>
      <c r="E46" s="111">
        <v>14.0</v>
      </c>
      <c r="F46" s="50"/>
      <c r="G46" s="157" t="s">
        <v>1835</v>
      </c>
      <c r="H46" s="158">
        <v>1.05</v>
      </c>
      <c r="I46" s="159">
        <f>H46*(E46-1)</f>
        <v>13.65</v>
      </c>
      <c r="J46" s="160">
        <v>1117.428</v>
      </c>
      <c r="K46" s="158">
        <v>1.35</v>
      </c>
      <c r="L46" s="118">
        <v>1.22</v>
      </c>
      <c r="M46" s="158">
        <v>1.25</v>
      </c>
      <c r="N46" s="118">
        <v>1.3</v>
      </c>
      <c r="O46" s="158">
        <v>1.15</v>
      </c>
      <c r="P46" s="161">
        <f t="shared" si="27"/>
        <v>3439.254818</v>
      </c>
      <c r="Q46" s="162"/>
      <c r="R46" s="162"/>
      <c r="S46" s="162">
        <f t="shared" si="24"/>
        <v>48149.56745</v>
      </c>
      <c r="T46" s="162">
        <f t="shared" si="5"/>
        <v>3527.440839</v>
      </c>
      <c r="U46" s="164" t="str">
        <f t="shared" si="25"/>
        <v>N/A</v>
      </c>
      <c r="V46" s="163" t="str">
        <f t="shared" si="26"/>
        <v>N/A</v>
      </c>
    </row>
    <row r="47" ht="37.5" customHeight="1">
      <c r="A47" s="50" t="s">
        <v>1836</v>
      </c>
      <c r="B47" s="117" t="s">
        <v>1751</v>
      </c>
      <c r="C47" s="117" t="s">
        <v>1805</v>
      </c>
      <c r="D47" s="167"/>
      <c r="E47" s="111">
        <v>26.0</v>
      </c>
      <c r="F47" s="117" t="s">
        <v>1764</v>
      </c>
      <c r="G47" s="157" t="s">
        <v>1837</v>
      </c>
      <c r="H47" s="118">
        <v>0.508</v>
      </c>
      <c r="I47" s="159">
        <f>H47*(E47-4)+1.45*3</f>
        <v>15.526</v>
      </c>
      <c r="J47" s="168">
        <v>745.212</v>
      </c>
      <c r="K47" s="118">
        <f>(24*1.3+2*1)/26</f>
        <v>1.276923077</v>
      </c>
      <c r="L47" s="118">
        <v>1.22</v>
      </c>
      <c r="M47" s="158">
        <v>1.25</v>
      </c>
      <c r="N47" s="118">
        <v>1.3</v>
      </c>
      <c r="O47" s="158">
        <v>1.1</v>
      </c>
      <c r="P47" s="161">
        <f t="shared" si="27"/>
        <v>2075.154596</v>
      </c>
      <c r="Q47" s="162"/>
      <c r="R47" s="162"/>
      <c r="S47" s="162">
        <f t="shared" si="24"/>
        <v>53954.01949</v>
      </c>
      <c r="T47" s="162">
        <f t="shared" si="5"/>
        <v>3475.075325</v>
      </c>
      <c r="U47" s="164" t="str">
        <f t="shared" si="25"/>
        <v>N/A</v>
      </c>
      <c r="V47" s="163" t="str">
        <f t="shared" si="26"/>
        <v>N/A</v>
      </c>
    </row>
    <row r="48" ht="37.5" customHeight="1">
      <c r="A48" s="50" t="s">
        <v>1838</v>
      </c>
      <c r="B48" s="117" t="s">
        <v>1771</v>
      </c>
      <c r="C48" s="117" t="s">
        <v>1772</v>
      </c>
      <c r="D48" s="167"/>
      <c r="E48" s="111">
        <v>25.0</v>
      </c>
      <c r="F48" s="50" t="s">
        <v>1839</v>
      </c>
      <c r="G48" s="157" t="s">
        <v>1840</v>
      </c>
      <c r="H48" s="118">
        <v>0.433</v>
      </c>
      <c r="I48" s="159">
        <f>H48*(E48-2)+2.5</f>
        <v>12.459</v>
      </c>
      <c r="J48" s="168">
        <v>511.708</v>
      </c>
      <c r="K48" s="118">
        <v>1.47</v>
      </c>
      <c r="L48" s="118">
        <v>1.22</v>
      </c>
      <c r="M48" s="158">
        <v>1.25</v>
      </c>
      <c r="N48" s="118">
        <v>1.3</v>
      </c>
      <c r="O48" s="158">
        <v>1.15</v>
      </c>
      <c r="P48" s="161">
        <f t="shared" si="27"/>
        <v>1714.946506</v>
      </c>
      <c r="Q48" s="162">
        <v>2357299.8722851225</v>
      </c>
      <c r="R48" s="162">
        <v>172191.37124069556</v>
      </c>
      <c r="S48" s="162">
        <f t="shared" si="24"/>
        <v>42873.66266</v>
      </c>
      <c r="T48" s="162">
        <f t="shared" si="5"/>
        <v>3441.180084</v>
      </c>
      <c r="U48" s="164">
        <f t="shared" si="25"/>
        <v>0.9329834799</v>
      </c>
      <c r="V48" s="163">
        <f t="shared" si="26"/>
        <v>1.025166052</v>
      </c>
    </row>
    <row r="49" ht="37.5" customHeight="1">
      <c r="A49" s="50" t="s">
        <v>920</v>
      </c>
      <c r="B49" s="117" t="s">
        <v>1751</v>
      </c>
      <c r="C49" s="117" t="s">
        <v>1841</v>
      </c>
      <c r="D49" s="167"/>
      <c r="E49" s="111">
        <v>16.0</v>
      </c>
      <c r="F49" s="50" t="s">
        <v>1842</v>
      </c>
      <c r="G49" s="165" t="s">
        <v>1843</v>
      </c>
      <c r="H49" s="118">
        <v>1.3</v>
      </c>
      <c r="I49" s="159">
        <f>0.75+H49*(E49-4)+2.05*3</f>
        <v>22.5</v>
      </c>
      <c r="J49" s="168">
        <v>2217.481</v>
      </c>
      <c r="K49" s="118"/>
      <c r="L49" s="118">
        <v>1.22</v>
      </c>
      <c r="M49" s="158">
        <v>1.25</v>
      </c>
      <c r="N49" s="118">
        <v>1.3</v>
      </c>
      <c r="O49" s="158">
        <v>1.1</v>
      </c>
      <c r="P49" s="161">
        <f t="shared" si="27"/>
        <v>4835.771691</v>
      </c>
      <c r="Q49" s="162">
        <v>3697108.7399999993</v>
      </c>
      <c r="R49" s="162">
        <v>147189.61461899828</v>
      </c>
      <c r="S49" s="162">
        <f t="shared" si="24"/>
        <v>77372.34705</v>
      </c>
      <c r="T49" s="162">
        <f t="shared" si="5"/>
        <v>3438.77098</v>
      </c>
      <c r="U49" s="164">
        <f t="shared" si="25"/>
        <v>1.073548691</v>
      </c>
      <c r="V49" s="163">
        <f t="shared" si="26"/>
        <v>1.198462046</v>
      </c>
    </row>
    <row r="50" ht="37.5" customHeight="1">
      <c r="A50" s="50" t="s">
        <v>1844</v>
      </c>
      <c r="B50" s="117" t="s">
        <v>1771</v>
      </c>
      <c r="C50" s="117" t="s">
        <v>1777</v>
      </c>
      <c r="D50" s="167"/>
      <c r="E50" s="111">
        <v>40.0</v>
      </c>
      <c r="F50" s="117" t="s">
        <v>1845</v>
      </c>
      <c r="G50" s="157" t="s">
        <v>1846</v>
      </c>
      <c r="H50" s="158">
        <v>1.133</v>
      </c>
      <c r="I50" s="159">
        <f>H50*(E50-1)</f>
        <v>44.187</v>
      </c>
      <c r="J50" s="168">
        <v>979.247</v>
      </c>
      <c r="K50" s="158">
        <v>1.7</v>
      </c>
      <c r="L50" s="118">
        <v>1.22</v>
      </c>
      <c r="M50" s="158">
        <v>1.25</v>
      </c>
      <c r="N50" s="118">
        <v>1.3</v>
      </c>
      <c r="O50" s="158">
        <v>1.15</v>
      </c>
      <c r="P50" s="161">
        <f t="shared" si="27"/>
        <v>3795.353282</v>
      </c>
      <c r="Q50" s="162">
        <v>8980462.517</v>
      </c>
      <c r="R50" s="162">
        <v>137703.36293240922</v>
      </c>
      <c r="S50" s="162">
        <f t="shared" si="24"/>
        <v>151814.1313</v>
      </c>
      <c r="T50" s="162">
        <f t="shared" si="5"/>
        <v>3435.719358</v>
      </c>
      <c r="U50" s="164">
        <f t="shared" si="25"/>
        <v>0.8671848745</v>
      </c>
      <c r="V50" s="163">
        <f t="shared" si="26"/>
        <v>1.279886138</v>
      </c>
    </row>
    <row r="51" ht="37.5" customHeight="1">
      <c r="A51" s="50" t="s">
        <v>1847</v>
      </c>
      <c r="B51" s="117" t="s">
        <v>1751</v>
      </c>
      <c r="C51" s="117" t="s">
        <v>1779</v>
      </c>
      <c r="D51" s="167"/>
      <c r="E51" s="111">
        <v>71.0</v>
      </c>
      <c r="F51" s="50" t="s">
        <v>1813</v>
      </c>
      <c r="G51" s="165" t="s">
        <v>1811</v>
      </c>
      <c r="H51" s="118">
        <v>2.433</v>
      </c>
      <c r="I51" s="159">
        <f>H51*14</f>
        <v>34.062</v>
      </c>
      <c r="J51" s="160">
        <v>2577.406</v>
      </c>
      <c r="K51" s="118">
        <v>1.418</v>
      </c>
      <c r="L51" s="118">
        <v>1.22</v>
      </c>
      <c r="M51" s="158">
        <v>1.25</v>
      </c>
      <c r="N51" s="118">
        <v>1.3</v>
      </c>
      <c r="O51" s="158">
        <v>1.1</v>
      </c>
      <c r="P51" s="161">
        <f t="shared" si="27"/>
        <v>7970.121595</v>
      </c>
      <c r="Q51" s="162">
        <v>5810149.319670863</v>
      </c>
      <c r="R51" s="162">
        <v>170575.69489962023</v>
      </c>
      <c r="S51" s="162">
        <f>IFERROR(P51*14.635,"INF")</f>
        <v>116642.7295</v>
      </c>
      <c r="T51" s="162">
        <f t="shared" si="5"/>
        <v>3424.423978</v>
      </c>
      <c r="U51" s="164">
        <f t="shared" si="25"/>
        <v>1.029837211</v>
      </c>
      <c r="V51" s="163">
        <f t="shared" si="26"/>
        <v>1.029837211</v>
      </c>
    </row>
    <row r="52" ht="37.5" customHeight="1">
      <c r="A52" s="50" t="s">
        <v>1848</v>
      </c>
      <c r="B52" s="117" t="s">
        <v>1751</v>
      </c>
      <c r="C52" s="117" t="s">
        <v>1779</v>
      </c>
      <c r="D52" s="167"/>
      <c r="E52" s="111">
        <v>103.0</v>
      </c>
      <c r="F52" s="50"/>
      <c r="G52" s="157" t="s">
        <v>1849</v>
      </c>
      <c r="H52" s="118">
        <v>0.466</v>
      </c>
      <c r="I52" s="159">
        <f>H52*E52</f>
        <v>47.998</v>
      </c>
      <c r="J52" s="160">
        <v>511.961</v>
      </c>
      <c r="K52" s="118">
        <v>1.418</v>
      </c>
      <c r="L52" s="118">
        <v>1.22</v>
      </c>
      <c r="M52" s="158">
        <v>1.25</v>
      </c>
      <c r="N52" s="118">
        <v>1.3</v>
      </c>
      <c r="O52" s="158">
        <v>1.1</v>
      </c>
      <c r="P52" s="161">
        <f t="shared" si="27"/>
        <v>1583.138792</v>
      </c>
      <c r="Q52" s="162">
        <v>8318297.701993714</v>
      </c>
      <c r="R52" s="162">
        <v>157968.3562230566</v>
      </c>
      <c r="S52" s="162">
        <f t="shared" ref="S52:S53" si="28">IFERROR(P52*E52,"INF")</f>
        <v>163063.2956</v>
      </c>
      <c r="T52" s="162">
        <f t="shared" si="5"/>
        <v>3397.293545</v>
      </c>
      <c r="U52" s="164">
        <f t="shared" si="25"/>
        <v>1.005587708</v>
      </c>
      <c r="V52" s="163">
        <f t="shared" si="26"/>
        <v>1.103217583</v>
      </c>
    </row>
    <row r="53" ht="37.5" customHeight="1">
      <c r="A53" s="50" t="s">
        <v>1850</v>
      </c>
      <c r="B53" s="117" t="s">
        <v>1751</v>
      </c>
      <c r="C53" s="117" t="s">
        <v>1805</v>
      </c>
      <c r="D53" s="167"/>
      <c r="E53" s="111">
        <v>30.0</v>
      </c>
      <c r="F53" s="117" t="s">
        <v>1764</v>
      </c>
      <c r="G53" s="157" t="s">
        <v>1851</v>
      </c>
      <c r="H53" s="118">
        <v>0.4</v>
      </c>
      <c r="I53" s="159">
        <f>H53*(E53-5)+1.45*4</f>
        <v>15.8</v>
      </c>
      <c r="J53" s="160">
        <v>640.506</v>
      </c>
      <c r="K53" s="118">
        <f>(28*1.3+2*1)/30</f>
        <v>1.28</v>
      </c>
      <c r="L53" s="118">
        <v>1.22</v>
      </c>
      <c r="M53" s="158">
        <v>1.25</v>
      </c>
      <c r="N53" s="118">
        <v>1.3</v>
      </c>
      <c r="O53" s="158">
        <v>1.1</v>
      </c>
      <c r="P53" s="161">
        <f t="shared" si="27"/>
        <v>1787.882828</v>
      </c>
      <c r="Q53" s="162"/>
      <c r="R53" s="162"/>
      <c r="S53" s="162">
        <f t="shared" si="28"/>
        <v>53636.48484</v>
      </c>
      <c r="T53" s="162">
        <f t="shared" si="5"/>
        <v>3394.714231</v>
      </c>
      <c r="U53" s="164" t="str">
        <f t="shared" si="25"/>
        <v>N/A</v>
      </c>
      <c r="V53" s="163" t="str">
        <f t="shared" si="26"/>
        <v>N/A</v>
      </c>
    </row>
    <row r="54" ht="37.5" customHeight="1">
      <c r="A54" s="50" t="s">
        <v>1852</v>
      </c>
      <c r="B54" s="117" t="s">
        <v>1751</v>
      </c>
      <c r="C54" s="117" t="s">
        <v>1779</v>
      </c>
      <c r="D54" s="167"/>
      <c r="E54" s="111">
        <v>63.0</v>
      </c>
      <c r="F54" s="50"/>
      <c r="G54" s="50" t="s">
        <v>1823</v>
      </c>
      <c r="H54" s="118">
        <v>2.016</v>
      </c>
      <c r="I54" s="159">
        <f>H54*15</f>
        <v>30.24</v>
      </c>
      <c r="J54" s="160">
        <v>2917.385</v>
      </c>
      <c r="K54" s="118"/>
      <c r="L54" s="118">
        <v>1.22</v>
      </c>
      <c r="M54" s="158">
        <v>1.25</v>
      </c>
      <c r="N54" s="118">
        <v>1.3</v>
      </c>
      <c r="O54" s="158">
        <v>1.1</v>
      </c>
      <c r="P54" s="161">
        <f t="shared" si="27"/>
        <v>6362.087339</v>
      </c>
      <c r="Q54" s="162">
        <v>4802317.701468796</v>
      </c>
      <c r="R54" s="162">
        <v>132339.00191437377</v>
      </c>
      <c r="S54" s="162">
        <f>IFERROR(P54*16,"INF")</f>
        <v>101793.3974</v>
      </c>
      <c r="T54" s="162">
        <f t="shared" si="5"/>
        <v>3366.183777</v>
      </c>
      <c r="U54" s="164">
        <f t="shared" si="25"/>
        <v>1.087343898</v>
      </c>
      <c r="V54" s="163">
        <f t="shared" si="26"/>
        <v>1.304812678</v>
      </c>
    </row>
    <row r="55" ht="37.5" customHeight="1">
      <c r="A55" s="50" t="s">
        <v>1853</v>
      </c>
      <c r="B55" s="117" t="s">
        <v>1771</v>
      </c>
      <c r="C55" s="117" t="s">
        <v>1777</v>
      </c>
      <c r="D55" s="167"/>
      <c r="E55" s="111">
        <v>59.0</v>
      </c>
      <c r="F55" s="117" t="s">
        <v>1854</v>
      </c>
      <c r="G55" s="157" t="s">
        <v>1855</v>
      </c>
      <c r="H55" s="118">
        <v>0.433</v>
      </c>
      <c r="I55" s="159">
        <f>H55*(E55-3)+1.75*2</f>
        <v>27.748</v>
      </c>
      <c r="J55" s="160">
        <v>427.926</v>
      </c>
      <c r="K55" s="158">
        <f>1.4*1.159</f>
        <v>1.6226</v>
      </c>
      <c r="L55" s="118">
        <v>1.22</v>
      </c>
      <c r="M55" s="158">
        <v>1.25</v>
      </c>
      <c r="N55" s="118">
        <v>1.3</v>
      </c>
      <c r="O55" s="158">
        <v>1.15</v>
      </c>
      <c r="P55" s="161">
        <f t="shared" si="27"/>
        <v>1583.037425</v>
      </c>
      <c r="Q55" s="162">
        <v>5508375.13416787</v>
      </c>
      <c r="R55" s="162">
        <v>155423.8067257659</v>
      </c>
      <c r="S55" s="162">
        <f t="shared" ref="S55:S57" si="29">IFERROR(P55*E55,"INF")</f>
        <v>93399.20807</v>
      </c>
      <c r="T55" s="162">
        <f t="shared" si="5"/>
        <v>3365.979821</v>
      </c>
      <c r="U55" s="164">
        <f t="shared" si="25"/>
        <v>0.8697969586</v>
      </c>
      <c r="V55" s="163">
        <f t="shared" si="26"/>
        <v>1.110943996</v>
      </c>
    </row>
    <row r="56" ht="37.5" customHeight="1">
      <c r="A56" s="50" t="s">
        <v>1856</v>
      </c>
      <c r="B56" s="117" t="s">
        <v>1751</v>
      </c>
      <c r="C56" s="117" t="s">
        <v>1777</v>
      </c>
      <c r="D56" s="167"/>
      <c r="E56" s="111">
        <v>38.0</v>
      </c>
      <c r="F56" s="50"/>
      <c r="G56" s="157" t="s">
        <v>1857</v>
      </c>
      <c r="H56" s="118">
        <v>0.801</v>
      </c>
      <c r="I56" s="159">
        <f>H56*(E56-1)</f>
        <v>29.637</v>
      </c>
      <c r="J56" s="160">
        <v>1190.573</v>
      </c>
      <c r="K56" s="118"/>
      <c r="L56" s="118">
        <v>1.22</v>
      </c>
      <c r="M56" s="158">
        <v>1.25</v>
      </c>
      <c r="N56" s="118">
        <v>1.3</v>
      </c>
      <c r="O56" s="158">
        <v>1.1</v>
      </c>
      <c r="P56" s="161">
        <f t="shared" si="27"/>
        <v>2596.34207</v>
      </c>
      <c r="Q56" s="162">
        <v>5973516.24742194</v>
      </c>
      <c r="R56" s="162">
        <v>155366.1113041495</v>
      </c>
      <c r="S56" s="162">
        <f t="shared" si="29"/>
        <v>98660.99865</v>
      </c>
      <c r="T56" s="162">
        <f t="shared" si="5"/>
        <v>3328.980621</v>
      </c>
      <c r="U56" s="164">
        <f t="shared" si="25"/>
        <v>0.8472540585</v>
      </c>
      <c r="V56" s="163">
        <f t="shared" si="26"/>
        <v>1.0991404</v>
      </c>
    </row>
    <row r="57" ht="37.5" customHeight="1">
      <c r="A57" s="50" t="s">
        <v>1858</v>
      </c>
      <c r="B57" s="50" t="s">
        <v>1859</v>
      </c>
      <c r="C57" s="50" t="s">
        <v>1752</v>
      </c>
      <c r="D57" s="167"/>
      <c r="E57" s="49" t="s">
        <v>1757</v>
      </c>
      <c r="F57" s="50"/>
      <c r="G57" s="165" t="s">
        <v>582</v>
      </c>
      <c r="H57" s="158">
        <v>1.017</v>
      </c>
      <c r="I57" s="159" t="s">
        <v>582</v>
      </c>
      <c r="J57" s="160">
        <f>211.384+9*139.557</f>
        <v>1467.397</v>
      </c>
      <c r="K57" s="118"/>
      <c r="L57" s="118">
        <v>1.22</v>
      </c>
      <c r="M57" s="158">
        <v>1.25</v>
      </c>
      <c r="N57" s="118">
        <v>1.3</v>
      </c>
      <c r="O57" s="158">
        <v>1.15</v>
      </c>
      <c r="P57" s="161">
        <f t="shared" si="27"/>
        <v>3345.481735</v>
      </c>
      <c r="Q57" s="162" t="s">
        <v>1757</v>
      </c>
      <c r="R57" s="162">
        <v>64667.2425515122</v>
      </c>
      <c r="S57" s="162" t="str">
        <f t="shared" si="29"/>
        <v>INF</v>
      </c>
      <c r="T57" s="162">
        <f t="shared" si="5"/>
        <v>3289.559228</v>
      </c>
      <c r="U57" s="164"/>
      <c r="V57" s="163"/>
    </row>
    <row r="58" ht="37.5" customHeight="1">
      <c r="A58" s="50" t="s">
        <v>1860</v>
      </c>
      <c r="B58" s="117" t="s">
        <v>1751</v>
      </c>
      <c r="C58" s="117" t="s">
        <v>1779</v>
      </c>
      <c r="D58" s="167"/>
      <c r="E58" s="111">
        <v>70.0</v>
      </c>
      <c r="F58" s="50" t="s">
        <v>1861</v>
      </c>
      <c r="G58" s="165" t="s">
        <v>1811</v>
      </c>
      <c r="H58" s="118">
        <v>2.317</v>
      </c>
      <c r="I58" s="159">
        <f>H58*14</f>
        <v>32.438</v>
      </c>
      <c r="J58" s="160">
        <v>2543.936</v>
      </c>
      <c r="K58" s="118">
        <v>1.3</v>
      </c>
      <c r="L58" s="118">
        <v>1.22</v>
      </c>
      <c r="M58" s="158">
        <v>1.25</v>
      </c>
      <c r="N58" s="118">
        <v>1.3</v>
      </c>
      <c r="O58" s="158">
        <v>1.1</v>
      </c>
      <c r="P58" s="161">
        <f t="shared" si="27"/>
        <v>7211.994962</v>
      </c>
      <c r="Q58" s="162">
        <v>4983606.637561459</v>
      </c>
      <c r="R58" s="162">
        <v>153634.83067887844</v>
      </c>
      <c r="S58" s="162">
        <f>IFERROR(P58*14.64,"INF")</f>
        <v>105583.6062</v>
      </c>
      <c r="T58" s="162">
        <f t="shared" si="5"/>
        <v>3254.935762</v>
      </c>
      <c r="U58" s="164">
        <f t="shared" ref="U58:U67" si="30">IFERROR(IF(ISBLANK(Q58),"N/A",(S58/Q58)*(104237/2032)),"N/A")</f>
        <v>1.086803268</v>
      </c>
      <c r="V58" s="163">
        <f t="shared" ref="V58:V67" si="31">IF(ISBLANK(R58),"N/A",(T58/R58)*(104237/2032))</f>
        <v>1.086803268</v>
      </c>
    </row>
    <row r="59" ht="37.5" customHeight="1">
      <c r="A59" s="50" t="s">
        <v>1862</v>
      </c>
      <c r="B59" s="117" t="s">
        <v>1771</v>
      </c>
      <c r="C59" s="117" t="s">
        <v>1863</v>
      </c>
      <c r="D59" s="156"/>
      <c r="E59" s="111">
        <v>20.0</v>
      </c>
      <c r="F59" s="50"/>
      <c r="G59" s="157" t="s">
        <v>1753</v>
      </c>
      <c r="H59" s="118">
        <v>0.667</v>
      </c>
      <c r="I59" s="159">
        <f>H59*(E59-1)</f>
        <v>12.673</v>
      </c>
      <c r="J59" s="160">
        <v>783.868</v>
      </c>
      <c r="K59" s="158">
        <v>1.15</v>
      </c>
      <c r="L59" s="118">
        <v>1.22</v>
      </c>
      <c r="M59" s="158">
        <v>1.25</v>
      </c>
      <c r="N59" s="118">
        <v>1.3</v>
      </c>
      <c r="O59" s="158">
        <v>1.15</v>
      </c>
      <c r="P59" s="161">
        <f t="shared" si="27"/>
        <v>2055.189215</v>
      </c>
      <c r="Q59" s="162"/>
      <c r="R59" s="162"/>
      <c r="S59" s="162">
        <f t="shared" ref="S59:S64" si="32">IFERROR(P59*E59,"INF")</f>
        <v>41103.7843</v>
      </c>
      <c r="T59" s="162">
        <f t="shared" si="5"/>
        <v>3243.413896</v>
      </c>
      <c r="U59" s="164" t="str">
        <f t="shared" si="30"/>
        <v>N/A</v>
      </c>
      <c r="V59" s="163" t="str">
        <f t="shared" si="31"/>
        <v>N/A</v>
      </c>
    </row>
    <row r="60" ht="37.5" customHeight="1">
      <c r="A60" s="169" t="s">
        <v>1864</v>
      </c>
      <c r="B60" s="170" t="s">
        <v>1751</v>
      </c>
      <c r="C60" s="170" t="s">
        <v>1779</v>
      </c>
      <c r="D60" s="180"/>
      <c r="E60" s="130">
        <v>88.0</v>
      </c>
      <c r="F60" s="169"/>
      <c r="G60" s="187">
        <v>88.0</v>
      </c>
      <c r="H60" s="175">
        <v>0.466</v>
      </c>
      <c r="I60" s="173">
        <f>H60*E60</f>
        <v>41.008</v>
      </c>
      <c r="J60" s="184">
        <f>475.442*513/480/1.05</f>
        <v>483.9320357</v>
      </c>
      <c r="K60" s="175">
        <f>1.3*1.1</f>
        <v>1.43</v>
      </c>
      <c r="L60" s="175">
        <v>1.22</v>
      </c>
      <c r="M60" s="172">
        <v>1.25</v>
      </c>
      <c r="N60" s="175">
        <v>1.3</v>
      </c>
      <c r="O60" s="172">
        <v>1.1</v>
      </c>
      <c r="P60" s="176">
        <f t="shared" si="27"/>
        <v>1509.128745</v>
      </c>
      <c r="Q60" s="177">
        <v>5565451.288643049</v>
      </c>
      <c r="R60" s="177">
        <v>132700.31684890436</v>
      </c>
      <c r="S60" s="177">
        <f t="shared" si="32"/>
        <v>132803.3296</v>
      </c>
      <c r="T60" s="177">
        <f t="shared" si="5"/>
        <v>3238.473702</v>
      </c>
      <c r="U60" s="178">
        <f t="shared" si="30"/>
        <v>1.224071475</v>
      </c>
      <c r="V60" s="179">
        <f t="shared" si="31"/>
        <v>1.251891282</v>
      </c>
    </row>
    <row r="61" ht="37.5" customHeight="1">
      <c r="A61" s="50" t="s">
        <v>1865</v>
      </c>
      <c r="B61" s="117" t="s">
        <v>1751</v>
      </c>
      <c r="C61" s="117" t="s">
        <v>1841</v>
      </c>
      <c r="D61" s="167"/>
      <c r="E61" s="111">
        <v>21.0</v>
      </c>
      <c r="F61" s="50" t="s">
        <v>1866</v>
      </c>
      <c r="G61" s="165" t="s">
        <v>1867</v>
      </c>
      <c r="H61" s="158">
        <v>1.367</v>
      </c>
      <c r="I61" s="159">
        <f>0.467+H61*(E61-2)+2.017</f>
        <v>28.457</v>
      </c>
      <c r="J61" s="168">
        <v>1363.335</v>
      </c>
      <c r="K61" s="118">
        <v>1.47</v>
      </c>
      <c r="L61" s="118">
        <v>1.22</v>
      </c>
      <c r="M61" s="158">
        <v>1.25</v>
      </c>
      <c r="N61" s="118">
        <v>1.3</v>
      </c>
      <c r="O61" s="158">
        <v>1.1</v>
      </c>
      <c r="P61" s="161">
        <f t="shared" si="27"/>
        <v>4370.446418</v>
      </c>
      <c r="Q61" s="162">
        <v>5503386.094888499</v>
      </c>
      <c r="R61" s="162">
        <v>149516.03170203484</v>
      </c>
      <c r="S61" s="162">
        <f t="shared" si="32"/>
        <v>91779.37477</v>
      </c>
      <c r="T61" s="162">
        <f t="shared" si="5"/>
        <v>3225.195023</v>
      </c>
      <c r="U61" s="164">
        <f t="shared" si="30"/>
        <v>0.8554867997</v>
      </c>
      <c r="V61" s="163">
        <f t="shared" si="31"/>
        <v>1.10653822</v>
      </c>
    </row>
    <row r="62" ht="37.5" customHeight="1">
      <c r="A62" s="50" t="s">
        <v>1868</v>
      </c>
      <c r="B62" s="117" t="s">
        <v>1769</v>
      </c>
      <c r="C62" s="117" t="s">
        <v>1769</v>
      </c>
      <c r="D62" s="156"/>
      <c r="E62" s="49" t="s">
        <v>1757</v>
      </c>
      <c r="F62" s="50"/>
      <c r="G62" s="165" t="s">
        <v>582</v>
      </c>
      <c r="H62" s="118">
        <v>1.567</v>
      </c>
      <c r="I62" s="159" t="s">
        <v>582</v>
      </c>
      <c r="J62" s="160">
        <v>1744.621</v>
      </c>
      <c r="K62" s="166"/>
      <c r="L62" s="118"/>
      <c r="M62" s="158">
        <v>1.35</v>
      </c>
      <c r="N62" s="118">
        <v>1.3</v>
      </c>
      <c r="O62" s="158">
        <v>1.65</v>
      </c>
      <c r="P62" s="161">
        <f t="shared" si="27"/>
        <v>5051.986261</v>
      </c>
      <c r="Q62" s="162"/>
      <c r="R62" s="162"/>
      <c r="S62" s="162" t="str">
        <f t="shared" si="32"/>
        <v>INF</v>
      </c>
      <c r="T62" s="162">
        <f t="shared" si="5"/>
        <v>3223.986127</v>
      </c>
      <c r="U62" s="164" t="str">
        <f t="shared" si="30"/>
        <v>N/A</v>
      </c>
      <c r="V62" s="163" t="str">
        <f t="shared" si="31"/>
        <v>N/A</v>
      </c>
    </row>
    <row r="63" ht="37.5" customHeight="1">
      <c r="A63" s="117" t="s">
        <v>1869</v>
      </c>
      <c r="B63" s="117" t="s">
        <v>1771</v>
      </c>
      <c r="C63" s="117" t="s">
        <v>1772</v>
      </c>
      <c r="D63" s="188"/>
      <c r="E63" s="111">
        <v>18.0</v>
      </c>
      <c r="F63" s="117" t="s">
        <v>1870</v>
      </c>
      <c r="G63" s="157" t="s">
        <v>1871</v>
      </c>
      <c r="H63" s="158">
        <v>0.833</v>
      </c>
      <c r="I63" s="159">
        <f>H63*(E63-3)+1.2*2</f>
        <v>14.895</v>
      </c>
      <c r="J63" s="168">
        <v>1149.415</v>
      </c>
      <c r="K63" s="118"/>
      <c r="L63" s="118">
        <v>1.22</v>
      </c>
      <c r="M63" s="158">
        <v>1.25</v>
      </c>
      <c r="N63" s="118">
        <v>1.3</v>
      </c>
      <c r="O63" s="158">
        <v>1.15</v>
      </c>
      <c r="P63" s="161">
        <f t="shared" si="27"/>
        <v>2620.522523</v>
      </c>
      <c r="Q63" s="162">
        <v>2690802.3509825277</v>
      </c>
      <c r="R63" s="162">
        <v>144978.5749451793</v>
      </c>
      <c r="S63" s="162">
        <f t="shared" si="32"/>
        <v>47169.40542</v>
      </c>
      <c r="T63" s="162">
        <f t="shared" si="5"/>
        <v>3166.79459</v>
      </c>
      <c r="U63" s="164">
        <f t="shared" si="30"/>
        <v>0.8992424567</v>
      </c>
      <c r="V63" s="163">
        <f t="shared" si="31"/>
        <v>1.12050621</v>
      </c>
    </row>
    <row r="64" ht="37.5" customHeight="1">
      <c r="A64" s="50" t="s">
        <v>1872</v>
      </c>
      <c r="B64" s="117" t="s">
        <v>1751</v>
      </c>
      <c r="C64" s="117" t="s">
        <v>1805</v>
      </c>
      <c r="D64" s="167"/>
      <c r="E64" s="111">
        <v>26.0</v>
      </c>
      <c r="F64" s="117" t="s">
        <v>1806</v>
      </c>
      <c r="G64" s="165" t="s">
        <v>1873</v>
      </c>
      <c r="H64" s="118">
        <v>0.516</v>
      </c>
      <c r="I64" s="159">
        <f>H64*(E64-2)+2.017</f>
        <v>14.401</v>
      </c>
      <c r="J64" s="160">
        <v>729.551</v>
      </c>
      <c r="K64" s="118">
        <v>1.1</v>
      </c>
      <c r="L64" s="118">
        <v>1.22</v>
      </c>
      <c r="M64" s="158">
        <v>1.25</v>
      </c>
      <c r="N64" s="118">
        <v>1.3</v>
      </c>
      <c r="O64" s="158">
        <v>1.1</v>
      </c>
      <c r="P64" s="161">
        <f t="shared" si="27"/>
        <v>1750.065178</v>
      </c>
      <c r="Q64" s="162">
        <v>2366885.7355</v>
      </c>
      <c r="R64" s="162">
        <v>157981.9607195301</v>
      </c>
      <c r="S64" s="162">
        <f t="shared" si="32"/>
        <v>45501.69462</v>
      </c>
      <c r="T64" s="162">
        <f t="shared" si="5"/>
        <v>3159.620486</v>
      </c>
      <c r="U64" s="164">
        <f t="shared" si="30"/>
        <v>0.986162489</v>
      </c>
      <c r="V64" s="163">
        <f t="shared" si="31"/>
        <v>1.025948643</v>
      </c>
    </row>
    <row r="65" ht="37.5" customHeight="1">
      <c r="A65" s="50" t="s">
        <v>1874</v>
      </c>
      <c r="B65" s="117" t="s">
        <v>1751</v>
      </c>
      <c r="C65" s="117" t="s">
        <v>1779</v>
      </c>
      <c r="D65" s="167"/>
      <c r="E65" s="111">
        <v>71.0</v>
      </c>
      <c r="F65" s="50" t="s">
        <v>1813</v>
      </c>
      <c r="G65" s="165" t="s">
        <v>1811</v>
      </c>
      <c r="H65" s="118">
        <v>2.433</v>
      </c>
      <c r="I65" s="159">
        <f>H65*14</f>
        <v>34.062</v>
      </c>
      <c r="J65" s="160">
        <v>2577.406</v>
      </c>
      <c r="K65" s="158">
        <v>1.3</v>
      </c>
      <c r="L65" s="118">
        <v>1.22</v>
      </c>
      <c r="M65" s="158">
        <v>1.25</v>
      </c>
      <c r="N65" s="118">
        <v>1.3</v>
      </c>
      <c r="O65" s="158">
        <v>1.1</v>
      </c>
      <c r="P65" s="161">
        <f t="shared" si="27"/>
        <v>7306.881575</v>
      </c>
      <c r="Q65" s="162">
        <v>5326653.113943668</v>
      </c>
      <c r="R65" s="162">
        <v>156381.10251728227</v>
      </c>
      <c r="S65" s="162">
        <f>IFERROR(P65*14.635,"INF")</f>
        <v>106936.2118</v>
      </c>
      <c r="T65" s="162">
        <f t="shared" si="5"/>
        <v>3139.457808</v>
      </c>
      <c r="U65" s="164">
        <f t="shared" si="30"/>
        <v>1.029837211</v>
      </c>
      <c r="V65" s="163">
        <f t="shared" si="31"/>
        <v>1.029837211</v>
      </c>
    </row>
    <row r="66" ht="37.5" customHeight="1">
      <c r="A66" s="50" t="s">
        <v>1875</v>
      </c>
      <c r="B66" s="117" t="s">
        <v>1751</v>
      </c>
      <c r="C66" s="117" t="s">
        <v>1841</v>
      </c>
      <c r="D66" s="167"/>
      <c r="E66" s="111">
        <v>21.0</v>
      </c>
      <c r="F66" s="50" t="s">
        <v>1876</v>
      </c>
      <c r="G66" s="157" t="s">
        <v>1877</v>
      </c>
      <c r="H66" s="158">
        <v>1.233</v>
      </c>
      <c r="I66" s="159">
        <f>0.55+H66*(E66-2)+2.283</f>
        <v>26.26</v>
      </c>
      <c r="J66" s="168">
        <v>1798.862</v>
      </c>
      <c r="K66" s="166"/>
      <c r="L66" s="118">
        <v>1.22</v>
      </c>
      <c r="M66" s="158">
        <v>1.25</v>
      </c>
      <c r="N66" s="118">
        <v>1.3</v>
      </c>
      <c r="O66" s="158">
        <v>1.1</v>
      </c>
      <c r="P66" s="161">
        <f t="shared" si="27"/>
        <v>3922.868307</v>
      </c>
      <c r="Q66" s="162">
        <v>5332346.109999999</v>
      </c>
      <c r="R66" s="162">
        <v>154681.81214283637</v>
      </c>
      <c r="S66" s="162">
        <f>IFERROR(P66*E66,"INF")</f>
        <v>82380.23444</v>
      </c>
      <c r="T66" s="162">
        <f t="shared" si="5"/>
        <v>3137.09956</v>
      </c>
      <c r="U66" s="164">
        <f t="shared" si="30"/>
        <v>0.7925066094</v>
      </c>
      <c r="V66" s="163">
        <f t="shared" si="31"/>
        <v>1.040368635</v>
      </c>
    </row>
    <row r="67" ht="37.5" customHeight="1">
      <c r="A67" s="50" t="s">
        <v>1878</v>
      </c>
      <c r="B67" s="117" t="s">
        <v>1771</v>
      </c>
      <c r="C67" s="117" t="s">
        <v>1879</v>
      </c>
      <c r="D67" s="167"/>
      <c r="E67" s="111">
        <v>225.0</v>
      </c>
      <c r="F67" s="50" t="s">
        <v>1880</v>
      </c>
      <c r="G67" s="165" t="s">
        <v>1881</v>
      </c>
      <c r="H67" s="118">
        <v>0.267</v>
      </c>
      <c r="I67" s="159">
        <f>(225/5-9)*H67+1.017*8</f>
        <v>17.748</v>
      </c>
      <c r="J67" s="168">
        <v>541.777</v>
      </c>
      <c r="K67" s="118"/>
      <c r="L67" s="118">
        <v>1.22</v>
      </c>
      <c r="M67" s="158">
        <v>1.25</v>
      </c>
      <c r="N67" s="118">
        <v>1.3</v>
      </c>
      <c r="O67" s="158">
        <v>1.15</v>
      </c>
      <c r="P67" s="161">
        <f t="shared" si="27"/>
        <v>1235.183838</v>
      </c>
      <c r="Q67" s="162">
        <v>3696176.8906721096</v>
      </c>
      <c r="R67" s="162">
        <v>153988.12192943005</v>
      </c>
      <c r="S67" s="162">
        <f>IFERROR(P67*E67/5,"INF")</f>
        <v>55583.2727</v>
      </c>
      <c r="T67" s="162">
        <f t="shared" si="5"/>
        <v>3131.804863</v>
      </c>
      <c r="U67" s="164">
        <f t="shared" si="30"/>
        <v>0.771417642</v>
      </c>
      <c r="V67" s="163">
        <f t="shared" si="31"/>
        <v>1.043291507</v>
      </c>
    </row>
    <row r="68" ht="37.5" customHeight="1">
      <c r="A68" s="170" t="s">
        <v>1882</v>
      </c>
      <c r="B68" s="170" t="s">
        <v>1771</v>
      </c>
      <c r="C68" s="170" t="s">
        <v>1777</v>
      </c>
      <c r="D68" s="180"/>
      <c r="E68" s="130">
        <v>29.0</v>
      </c>
      <c r="F68" s="169"/>
      <c r="G68" s="171" t="s">
        <v>1883</v>
      </c>
      <c r="H68" s="175">
        <v>0.833</v>
      </c>
      <c r="I68" s="185">
        <f>H68*(E68-3)+1.817*2</f>
        <v>25.292</v>
      </c>
      <c r="J68" s="174">
        <v>691.27</v>
      </c>
      <c r="K68" s="175">
        <f>1.4*((1.06*26+1*3)/29)*1.159</f>
        <v>1.70988469</v>
      </c>
      <c r="L68" s="175">
        <v>1.22</v>
      </c>
      <c r="M68" s="172">
        <v>1.25</v>
      </c>
      <c r="N68" s="175">
        <v>1.3</v>
      </c>
      <c r="O68" s="172">
        <v>1.15</v>
      </c>
      <c r="P68" s="176">
        <f t="shared" si="27"/>
        <v>2694.793987</v>
      </c>
      <c r="Q68" s="177"/>
      <c r="R68" s="177"/>
      <c r="S68" s="177">
        <f t="shared" ref="S68:S69" si="33">IFERROR(P68*E68,"INF")</f>
        <v>78149.02562</v>
      </c>
      <c r="T68" s="177">
        <f t="shared" si="5"/>
        <v>3089.871328</v>
      </c>
      <c r="U68" s="164"/>
      <c r="V68" s="163"/>
    </row>
    <row r="69" ht="37.5" customHeight="1">
      <c r="A69" s="50" t="s">
        <v>482</v>
      </c>
      <c r="B69" s="117" t="s">
        <v>1771</v>
      </c>
      <c r="C69" s="117" t="s">
        <v>1793</v>
      </c>
      <c r="D69" s="167"/>
      <c r="E69" s="111">
        <v>19.0</v>
      </c>
      <c r="F69" s="50" t="s">
        <v>1794</v>
      </c>
      <c r="G69" s="157" t="s">
        <v>1884</v>
      </c>
      <c r="H69" s="118">
        <v>0.516</v>
      </c>
      <c r="I69" s="159">
        <f>1+4.533+1.317+3.433+1.317+0.967</f>
        <v>12.567</v>
      </c>
      <c r="J69" s="160">
        <f>(7260.088+7102.93+7102.93*3/8)/19</f>
        <v>896.1377237</v>
      </c>
      <c r="K69" s="118"/>
      <c r="L69" s="118">
        <v>1.22</v>
      </c>
      <c r="M69" s="158">
        <v>1.25</v>
      </c>
      <c r="N69" s="118">
        <v>1.3</v>
      </c>
      <c r="O69" s="158">
        <v>1.15</v>
      </c>
      <c r="P69" s="161">
        <f t="shared" si="27"/>
        <v>2043.081993</v>
      </c>
      <c r="Q69" s="162">
        <v>2126082.5625</v>
      </c>
      <c r="R69" s="162">
        <v>140613.92609126982</v>
      </c>
      <c r="S69" s="162">
        <f t="shared" si="33"/>
        <v>38818.55786</v>
      </c>
      <c r="T69" s="162">
        <f t="shared" si="5"/>
        <v>3088.927975</v>
      </c>
      <c r="U69" s="164">
        <f t="shared" ref="U69:U72" si="34">IFERROR(IF(ISBLANK(Q69),"N/A",(S69/Q69)*(104237/2032)),"N/A")</f>
        <v>0.9366071557</v>
      </c>
      <c r="V69" s="163">
        <f t="shared" ref="V69:V72" si="35">IF(ISBLANK(R69),"N/A",(T69/R69)*(104237/2032))</f>
        <v>1.126879939</v>
      </c>
    </row>
    <row r="70" ht="37.5" customHeight="1">
      <c r="A70" s="50" t="s">
        <v>1885</v>
      </c>
      <c r="B70" s="117" t="s">
        <v>1771</v>
      </c>
      <c r="C70" s="117" t="s">
        <v>1841</v>
      </c>
      <c r="D70" s="167"/>
      <c r="E70" s="111">
        <v>21.0</v>
      </c>
      <c r="F70" s="50" t="s">
        <v>1886</v>
      </c>
      <c r="G70" s="157" t="s">
        <v>1887</v>
      </c>
      <c r="H70" s="118">
        <v>1.45</v>
      </c>
      <c r="I70" s="159">
        <f>0.533+H70*(E70-4)+2.1*3</f>
        <v>31.483</v>
      </c>
      <c r="J70" s="168">
        <v>1140.406</v>
      </c>
      <c r="K70" s="118">
        <f>(1+1+1.06+1.06+1.12+1.12+1.18+1.18+1.24+1.24+1.3+1.3+1.36+1.36+1.42+1.42+1.5*5)/21</f>
        <v>1.279047619</v>
      </c>
      <c r="L70" s="118">
        <v>1.22</v>
      </c>
      <c r="M70" s="158">
        <v>1.25</v>
      </c>
      <c r="N70" s="118">
        <v>1.3</v>
      </c>
      <c r="O70" s="158">
        <v>1.15</v>
      </c>
      <c r="P70" s="161">
        <f t="shared" si="27"/>
        <v>3325.502231</v>
      </c>
      <c r="Q70" s="162">
        <v>5725873.234511302</v>
      </c>
      <c r="R70" s="162">
        <v>139312.26088200536</v>
      </c>
      <c r="S70" s="162">
        <f>IFERROR(P70*E70+373.698*3*1.22*1.25*1.3*1.15*10,"INF")</f>
        <v>95395.08868</v>
      </c>
      <c r="T70" s="162">
        <f t="shared" si="5"/>
        <v>3030.050779</v>
      </c>
      <c r="U70" s="164">
        <f t="shared" si="34"/>
        <v>0.854638567</v>
      </c>
      <c r="V70" s="163">
        <f t="shared" si="35"/>
        <v>1.115729115</v>
      </c>
    </row>
    <row r="71" ht="37.5" customHeight="1">
      <c r="A71" s="50" t="s">
        <v>1888</v>
      </c>
      <c r="B71" s="117" t="s">
        <v>1771</v>
      </c>
      <c r="C71" s="117" t="s">
        <v>1777</v>
      </c>
      <c r="D71" s="167"/>
      <c r="E71" s="111">
        <v>43.0</v>
      </c>
      <c r="F71" s="117"/>
      <c r="G71" s="157" t="s">
        <v>1889</v>
      </c>
      <c r="H71" s="118">
        <v>1.283</v>
      </c>
      <c r="I71" s="159">
        <f>H71*(E71-1)</f>
        <v>53.886</v>
      </c>
      <c r="J71" s="168">
        <v>979.247</v>
      </c>
      <c r="K71" s="158">
        <v>1.7</v>
      </c>
      <c r="L71" s="118">
        <v>1.22</v>
      </c>
      <c r="M71" s="158">
        <v>1.25</v>
      </c>
      <c r="N71" s="118">
        <v>1.3</v>
      </c>
      <c r="O71" s="158">
        <v>1.15</v>
      </c>
      <c r="P71" s="161">
        <f t="shared" si="27"/>
        <v>3795.353282</v>
      </c>
      <c r="Q71" s="162">
        <v>8980462.517</v>
      </c>
      <c r="R71" s="162">
        <v>124528.01759664988</v>
      </c>
      <c r="S71" s="162">
        <f t="shared" ref="S71:S72" si="36">IFERROR(P71*E71,"INF")</f>
        <v>163200.1911</v>
      </c>
      <c r="T71" s="162">
        <f t="shared" si="5"/>
        <v>3028.619514</v>
      </c>
      <c r="U71" s="164">
        <f t="shared" si="34"/>
        <v>0.9322237401</v>
      </c>
      <c r="V71" s="163">
        <f t="shared" si="35"/>
        <v>1.247601367</v>
      </c>
    </row>
    <row r="72" ht="37.5" customHeight="1">
      <c r="A72" s="50" t="s">
        <v>1890</v>
      </c>
      <c r="B72" s="117" t="s">
        <v>1751</v>
      </c>
      <c r="C72" s="117" t="s">
        <v>1793</v>
      </c>
      <c r="D72" s="167"/>
      <c r="E72" s="111">
        <v>11.0</v>
      </c>
      <c r="F72" s="50" t="s">
        <v>1891</v>
      </c>
      <c r="G72" s="157" t="s">
        <v>1892</v>
      </c>
      <c r="H72" s="118">
        <v>1.733</v>
      </c>
      <c r="I72" s="159">
        <f>1+H72*(E72-2)+2.717*2</f>
        <v>22.031</v>
      </c>
      <c r="J72" s="160">
        <v>2726.463</v>
      </c>
      <c r="K72" s="118"/>
      <c r="L72" s="118">
        <v>1.22</v>
      </c>
      <c r="M72" s="158">
        <v>1.25</v>
      </c>
      <c r="N72" s="118">
        <v>1.3</v>
      </c>
      <c r="O72" s="158">
        <v>1.1</v>
      </c>
      <c r="P72" s="161">
        <f t="shared" si="27"/>
        <v>5945.734187</v>
      </c>
      <c r="Q72" s="162">
        <v>3905575.0034628594</v>
      </c>
      <c r="R72" s="162">
        <v>148326.11763559526</v>
      </c>
      <c r="S72" s="162">
        <f t="shared" si="36"/>
        <v>65403.07606</v>
      </c>
      <c r="T72" s="162">
        <f t="shared" si="5"/>
        <v>2968.683948</v>
      </c>
      <c r="U72" s="164">
        <f t="shared" si="34"/>
        <v>0.8590360551</v>
      </c>
      <c r="V72" s="163">
        <f t="shared" si="35"/>
        <v>1.0267023</v>
      </c>
    </row>
    <row r="73" ht="37.5" customHeight="1">
      <c r="A73" s="170" t="s">
        <v>1893</v>
      </c>
      <c r="B73" s="170" t="s">
        <v>1771</v>
      </c>
      <c r="C73" s="170" t="s">
        <v>1779</v>
      </c>
      <c r="D73" s="180"/>
      <c r="E73" s="130">
        <v>63.0</v>
      </c>
      <c r="F73" s="169"/>
      <c r="G73" s="171" t="s">
        <v>1894</v>
      </c>
      <c r="H73" s="172">
        <v>3.0</v>
      </c>
      <c r="I73" s="173">
        <f>H73*3*E73</f>
        <v>567</v>
      </c>
      <c r="J73" s="174">
        <v>3884.871</v>
      </c>
      <c r="K73" s="175"/>
      <c r="L73" s="172">
        <v>1.22</v>
      </c>
      <c r="M73" s="172">
        <v>1.25</v>
      </c>
      <c r="N73" s="175">
        <v>1.3</v>
      </c>
      <c r="O73" s="172">
        <v>1.15</v>
      </c>
      <c r="P73" s="176">
        <f t="shared" si="27"/>
        <v>8857.020271</v>
      </c>
      <c r="Q73" s="177"/>
      <c r="R73" s="177"/>
      <c r="S73" s="162">
        <f>IFERROR(P73*E73*3,"INF")</f>
        <v>1673976.831</v>
      </c>
      <c r="T73" s="162">
        <f t="shared" si="5"/>
        <v>2952.34009</v>
      </c>
      <c r="U73" s="178"/>
      <c r="V73" s="179"/>
    </row>
    <row r="74" ht="37.5" customHeight="1">
      <c r="A74" s="50" t="s">
        <v>1895</v>
      </c>
      <c r="B74" s="117" t="s">
        <v>1751</v>
      </c>
      <c r="C74" s="117" t="s">
        <v>1777</v>
      </c>
      <c r="D74" s="167"/>
      <c r="E74" s="111">
        <v>31.0</v>
      </c>
      <c r="F74" s="117" t="s">
        <v>1896</v>
      </c>
      <c r="G74" s="157" t="s">
        <v>1897</v>
      </c>
      <c r="H74" s="118">
        <v>0.433</v>
      </c>
      <c r="I74" s="159">
        <f>H74*(E74-5)+2.333*4</f>
        <v>20.59</v>
      </c>
      <c r="J74" s="168">
        <v>893.822</v>
      </c>
      <c r="K74" s="166"/>
      <c r="L74" s="118">
        <v>1.22</v>
      </c>
      <c r="M74" s="158">
        <v>1.25</v>
      </c>
      <c r="N74" s="118">
        <v>1.3</v>
      </c>
      <c r="O74" s="158">
        <v>1.1</v>
      </c>
      <c r="P74" s="161">
        <f t="shared" si="27"/>
        <v>1949.202327</v>
      </c>
      <c r="Q74" s="162">
        <v>3993246.6599999997</v>
      </c>
      <c r="R74" s="162">
        <v>209399.40534871523</v>
      </c>
      <c r="S74" s="162">
        <f t="shared" ref="S74:S80" si="37">IFERROR(P74*E74,"INF")</f>
        <v>60425.27212</v>
      </c>
      <c r="T74" s="162">
        <f t="shared" si="5"/>
        <v>2934.690244</v>
      </c>
      <c r="U74" s="164">
        <f t="shared" ref="U74:U81" si="38">IFERROR(IF(ISBLANK(Q74),"N/A",(S74/Q74)*(104237/2032)),"N/A")</f>
        <v>0.7762304546</v>
      </c>
      <c r="V74" s="163">
        <f t="shared" ref="V74:V81" si="39">IF(ISBLANK(R74),"N/A",(T74/R74)*(104237/2032))</f>
        <v>0.7189273808</v>
      </c>
    </row>
    <row r="75" ht="37.5" customHeight="1">
      <c r="A75" s="50" t="s">
        <v>413</v>
      </c>
      <c r="B75" s="117" t="s">
        <v>1751</v>
      </c>
      <c r="C75" s="117" t="s">
        <v>1898</v>
      </c>
      <c r="D75" s="167"/>
      <c r="E75" s="111">
        <v>379.0</v>
      </c>
      <c r="F75" s="50"/>
      <c r="G75" s="157" t="s">
        <v>1899</v>
      </c>
      <c r="H75" s="118">
        <v>0.083</v>
      </c>
      <c r="I75" s="186">
        <v>32.767</v>
      </c>
      <c r="J75" s="168">
        <v>115.35</v>
      </c>
      <c r="K75" s="166"/>
      <c r="L75" s="118">
        <v>1.22</v>
      </c>
      <c r="M75" s="158">
        <v>1.25</v>
      </c>
      <c r="N75" s="118">
        <v>1.3</v>
      </c>
      <c r="O75" s="158">
        <v>1.1</v>
      </c>
      <c r="P75" s="161">
        <f t="shared" si="27"/>
        <v>251.5495125</v>
      </c>
      <c r="Q75" s="162">
        <v>5339126.26</v>
      </c>
      <c r="R75" s="162">
        <v>137016.6104652655</v>
      </c>
      <c r="S75" s="162">
        <f t="shared" si="37"/>
        <v>95337.26524</v>
      </c>
      <c r="T75" s="162">
        <f t="shared" si="5"/>
        <v>2909.551233</v>
      </c>
      <c r="U75" s="164">
        <f t="shared" si="38"/>
        <v>0.9159899291</v>
      </c>
      <c r="V75" s="163">
        <f t="shared" si="39"/>
        <v>1.089308743</v>
      </c>
    </row>
    <row r="76" ht="37.5" customHeight="1">
      <c r="A76" s="50" t="s">
        <v>1900</v>
      </c>
      <c r="B76" s="117" t="s">
        <v>1771</v>
      </c>
      <c r="C76" s="117" t="s">
        <v>1772</v>
      </c>
      <c r="D76" s="167"/>
      <c r="E76" s="111">
        <v>18.0</v>
      </c>
      <c r="F76" s="117" t="s">
        <v>1901</v>
      </c>
      <c r="G76" s="157" t="s">
        <v>1902</v>
      </c>
      <c r="H76" s="158">
        <v>0.45</v>
      </c>
      <c r="I76" s="159">
        <f>0.683+0.683+0.45*3+0.683*(E76-6)</f>
        <v>10.912</v>
      </c>
      <c r="J76" s="168">
        <v>644.59</v>
      </c>
      <c r="K76" s="158">
        <f>(1.22*16+1*2)/18</f>
        <v>1.195555556</v>
      </c>
      <c r="L76" s="118">
        <v>1.22</v>
      </c>
      <c r="M76" s="158">
        <v>1.25</v>
      </c>
      <c r="N76" s="118">
        <v>1.3</v>
      </c>
      <c r="O76" s="158">
        <v>1.15</v>
      </c>
      <c r="P76" s="161">
        <f t="shared" si="27"/>
        <v>1756.970064</v>
      </c>
      <c r="Q76" s="162">
        <v>2126708.310794062</v>
      </c>
      <c r="R76" s="162">
        <v>160992.3021040168</v>
      </c>
      <c r="S76" s="162">
        <f t="shared" si="37"/>
        <v>31625.46116</v>
      </c>
      <c r="T76" s="162">
        <f t="shared" si="5"/>
        <v>2898.227745</v>
      </c>
      <c r="U76" s="164">
        <f t="shared" si="38"/>
        <v>0.7628289014</v>
      </c>
      <c r="V76" s="163">
        <f t="shared" si="39"/>
        <v>0.9234759702</v>
      </c>
    </row>
    <row r="77" ht="37.5" customHeight="1">
      <c r="A77" s="50" t="s">
        <v>1903</v>
      </c>
      <c r="B77" s="117" t="s">
        <v>1751</v>
      </c>
      <c r="C77" s="117" t="s">
        <v>1779</v>
      </c>
      <c r="D77" s="167"/>
      <c r="E77" s="111">
        <v>128.0</v>
      </c>
      <c r="F77" s="50"/>
      <c r="G77" s="189">
        <v>128.0</v>
      </c>
      <c r="H77" s="118">
        <v>0.466</v>
      </c>
      <c r="I77" s="159">
        <f t="shared" ref="I77:I78" si="40">H77*E77</f>
        <v>59.648</v>
      </c>
      <c r="J77" s="160">
        <v>475.442</v>
      </c>
      <c r="K77" s="118">
        <v>1.3</v>
      </c>
      <c r="L77" s="118">
        <v>1.22</v>
      </c>
      <c r="M77" s="158">
        <v>1.25</v>
      </c>
      <c r="N77" s="118">
        <v>1.3</v>
      </c>
      <c r="O77" s="158">
        <v>1.1</v>
      </c>
      <c r="P77" s="161">
        <f t="shared" si="27"/>
        <v>1347.866184</v>
      </c>
      <c r="Q77" s="162">
        <v>5565451.288643049</v>
      </c>
      <c r="R77" s="162">
        <v>132700.31684890436</v>
      </c>
      <c r="S77" s="162">
        <f t="shared" si="37"/>
        <v>172526.8715</v>
      </c>
      <c r="T77" s="162">
        <f t="shared" si="5"/>
        <v>2892.416704</v>
      </c>
      <c r="U77" s="164">
        <f t="shared" si="38"/>
        <v>1.590210297</v>
      </c>
      <c r="V77" s="163">
        <f t="shared" si="39"/>
        <v>1.118116615</v>
      </c>
    </row>
    <row r="78" ht="37.5" customHeight="1">
      <c r="A78" s="50" t="s">
        <v>1904</v>
      </c>
      <c r="B78" s="117" t="s">
        <v>1751</v>
      </c>
      <c r="C78" s="117" t="s">
        <v>1779</v>
      </c>
      <c r="D78" s="167"/>
      <c r="E78" s="111">
        <v>104.0</v>
      </c>
      <c r="F78" s="50"/>
      <c r="G78" s="157" t="s">
        <v>1905</v>
      </c>
      <c r="H78" s="118">
        <v>0.466</v>
      </c>
      <c r="I78" s="159">
        <f t="shared" si="40"/>
        <v>48.464</v>
      </c>
      <c r="J78" s="168">
        <v>475.442</v>
      </c>
      <c r="K78" s="118">
        <v>1.3</v>
      </c>
      <c r="L78" s="118">
        <v>1.22</v>
      </c>
      <c r="M78" s="158">
        <v>1.25</v>
      </c>
      <c r="N78" s="118">
        <v>1.3</v>
      </c>
      <c r="O78" s="158">
        <v>1.1</v>
      </c>
      <c r="P78" s="161">
        <f t="shared" si="27"/>
        <v>1347.866184</v>
      </c>
      <c r="Q78" s="162">
        <v>7095268.0657286495</v>
      </c>
      <c r="R78" s="162">
        <v>132399.1055370153</v>
      </c>
      <c r="S78" s="162">
        <f t="shared" si="37"/>
        <v>140178.0831</v>
      </c>
      <c r="T78" s="162">
        <f t="shared" si="5"/>
        <v>2892.416704</v>
      </c>
      <c r="U78" s="164">
        <f t="shared" si="38"/>
        <v>1.013466759</v>
      </c>
      <c r="V78" s="163">
        <f t="shared" si="39"/>
        <v>1.120660359</v>
      </c>
    </row>
    <row r="79" ht="37.5" customHeight="1">
      <c r="A79" s="50" t="s">
        <v>1906</v>
      </c>
      <c r="B79" s="117" t="s">
        <v>1751</v>
      </c>
      <c r="C79" s="117" t="s">
        <v>1761</v>
      </c>
      <c r="D79" s="167"/>
      <c r="E79" s="111">
        <v>10.0</v>
      </c>
      <c r="F79" s="50"/>
      <c r="G79" s="165" t="s">
        <v>1753</v>
      </c>
      <c r="H79" s="118">
        <v>2.217</v>
      </c>
      <c r="I79" s="159">
        <f>H79*(E79-1)</f>
        <v>19.953</v>
      </c>
      <c r="J79" s="168">
        <v>2921.091</v>
      </c>
      <c r="K79" s="118"/>
      <c r="L79" s="118">
        <v>1.1</v>
      </c>
      <c r="M79" s="158">
        <v>1.25</v>
      </c>
      <c r="N79" s="118">
        <v>1.3</v>
      </c>
      <c r="O79" s="158">
        <v>1.1</v>
      </c>
      <c r="P79" s="161">
        <f t="shared" si="27"/>
        <v>5743.595179</v>
      </c>
      <c r="Q79" s="162">
        <v>2743738.774255765</v>
      </c>
      <c r="R79" s="162">
        <v>123759.07867639896</v>
      </c>
      <c r="S79" s="162">
        <f t="shared" si="37"/>
        <v>57435.95179</v>
      </c>
      <c r="T79" s="162">
        <f t="shared" si="5"/>
        <v>2878.562211</v>
      </c>
      <c r="U79" s="164">
        <f t="shared" si="38"/>
        <v>1.07383922</v>
      </c>
      <c r="V79" s="163">
        <f t="shared" si="39"/>
        <v>1.193154689</v>
      </c>
    </row>
    <row r="80" ht="37.5" customHeight="1">
      <c r="A80" s="50" t="s">
        <v>1907</v>
      </c>
      <c r="B80" s="117" t="s">
        <v>1751</v>
      </c>
      <c r="C80" s="117" t="s">
        <v>1779</v>
      </c>
      <c r="D80" s="167"/>
      <c r="E80" s="111">
        <v>83.0</v>
      </c>
      <c r="F80" s="50"/>
      <c r="G80" s="189">
        <v>83.0</v>
      </c>
      <c r="H80" s="118">
        <v>0.666</v>
      </c>
      <c r="I80" s="159">
        <f>H80*E80</f>
        <v>55.278</v>
      </c>
      <c r="J80" s="168">
        <v>673.906</v>
      </c>
      <c r="K80" s="118">
        <v>1.3</v>
      </c>
      <c r="L80" s="118">
        <v>1.22</v>
      </c>
      <c r="M80" s="158">
        <v>1.25</v>
      </c>
      <c r="N80" s="118">
        <v>1.3</v>
      </c>
      <c r="O80" s="158">
        <v>1.1</v>
      </c>
      <c r="P80" s="161">
        <f t="shared" si="27"/>
        <v>1910.506662</v>
      </c>
      <c r="Q80" s="162">
        <v>8616601.29660832</v>
      </c>
      <c r="R80" s="162">
        <v>133379.79159481628</v>
      </c>
      <c r="S80" s="162">
        <f t="shared" si="37"/>
        <v>158572.053</v>
      </c>
      <c r="T80" s="162">
        <f t="shared" si="5"/>
        <v>2868.628622</v>
      </c>
      <c r="U80" s="164">
        <f t="shared" si="38"/>
        <v>0.9440366411</v>
      </c>
      <c r="V80" s="163">
        <f t="shared" si="39"/>
        <v>1.103271737</v>
      </c>
    </row>
    <row r="81" ht="37.5" customHeight="1">
      <c r="A81" s="50" t="s">
        <v>1908</v>
      </c>
      <c r="B81" s="117" t="s">
        <v>1771</v>
      </c>
      <c r="C81" s="117" t="s">
        <v>1841</v>
      </c>
      <c r="D81" s="167"/>
      <c r="E81" s="111">
        <v>21.0</v>
      </c>
      <c r="F81" s="50" t="s">
        <v>1886</v>
      </c>
      <c r="G81" s="157" t="s">
        <v>1887</v>
      </c>
      <c r="H81" s="118">
        <v>1.45</v>
      </c>
      <c r="I81" s="159">
        <f>0.533+H81*(E81-4)+2.1*3</f>
        <v>31.483</v>
      </c>
      <c r="J81" s="168">
        <v>1140.406</v>
      </c>
      <c r="K81" s="118">
        <f>(1+1+1.06+1.06+1.12+1.12+1.18+1.18+1.24+1.24+1.3+1.3+1.36+1.36+1.42+1.42+1.5*5)/21</f>
        <v>1.279047619</v>
      </c>
      <c r="L81" s="118">
        <v>1.22</v>
      </c>
      <c r="M81" s="158">
        <v>1.25</v>
      </c>
      <c r="N81" s="118">
        <v>1.3</v>
      </c>
      <c r="O81" s="158">
        <v>1.15</v>
      </c>
      <c r="P81" s="161">
        <f t="shared" si="27"/>
        <v>3325.502231</v>
      </c>
      <c r="Q81" s="162">
        <v>5178715.450447502</v>
      </c>
      <c r="R81" s="162">
        <v>131103.40119104585</v>
      </c>
      <c r="S81" s="162">
        <f>IFERROR(P81*E81+280.988*3*1.22*1.25*1.3*1.15*10,"INF")</f>
        <v>89054.07235</v>
      </c>
      <c r="T81" s="162">
        <f t="shared" si="5"/>
        <v>2828.639975</v>
      </c>
      <c r="U81" s="164">
        <f t="shared" si="38"/>
        <v>0.8821246034</v>
      </c>
      <c r="V81" s="163">
        <f t="shared" si="39"/>
        <v>1.106781563</v>
      </c>
    </row>
    <row r="82" ht="37.5" customHeight="1">
      <c r="A82" s="170" t="s">
        <v>1909</v>
      </c>
      <c r="B82" s="170" t="s">
        <v>1771</v>
      </c>
      <c r="C82" s="170" t="s">
        <v>1779</v>
      </c>
      <c r="D82" s="180"/>
      <c r="E82" s="130">
        <v>63.0</v>
      </c>
      <c r="F82" s="169"/>
      <c r="G82" s="171" t="s">
        <v>1894</v>
      </c>
      <c r="H82" s="172">
        <f>11.017/3</f>
        <v>3.672333333</v>
      </c>
      <c r="I82" s="173">
        <f>H82*3*E82</f>
        <v>694.071</v>
      </c>
      <c r="J82" s="174">
        <v>4553.281</v>
      </c>
      <c r="K82" s="175"/>
      <c r="L82" s="172">
        <v>1.22</v>
      </c>
      <c r="M82" s="172">
        <v>1.25</v>
      </c>
      <c r="N82" s="175">
        <v>1.3</v>
      </c>
      <c r="O82" s="172">
        <v>1.15</v>
      </c>
      <c r="P82" s="176">
        <f t="shared" si="27"/>
        <v>10380.91152</v>
      </c>
      <c r="Q82" s="177"/>
      <c r="R82" s="177"/>
      <c r="S82" s="162">
        <f>IFERROR(P82*E82*3,"INF")</f>
        <v>1961992.277</v>
      </c>
      <c r="T82" s="162">
        <f t="shared" si="5"/>
        <v>2826.789013</v>
      </c>
      <c r="U82" s="178"/>
      <c r="V82" s="179"/>
    </row>
    <row r="83" ht="37.5" customHeight="1">
      <c r="A83" s="117" t="s">
        <v>1910</v>
      </c>
      <c r="B83" s="117" t="s">
        <v>1771</v>
      </c>
      <c r="C83" s="117" t="s">
        <v>1834</v>
      </c>
      <c r="D83" s="167"/>
      <c r="E83" s="111">
        <v>27.0</v>
      </c>
      <c r="F83" s="117" t="s">
        <v>1911</v>
      </c>
      <c r="G83" s="157" t="s">
        <v>1912</v>
      </c>
      <c r="H83" s="158">
        <v>0.89166</v>
      </c>
      <c r="I83" s="159">
        <f>H83*(E83-4)+1.383*3</f>
        <v>24.65718</v>
      </c>
      <c r="J83" s="168">
        <v>1125.43</v>
      </c>
      <c r="K83" s="158"/>
      <c r="L83" s="118">
        <v>1.22</v>
      </c>
      <c r="M83" s="158">
        <v>1.25</v>
      </c>
      <c r="N83" s="118">
        <v>1.3</v>
      </c>
      <c r="O83" s="158">
        <v>1.15</v>
      </c>
      <c r="P83" s="161">
        <f t="shared" si="27"/>
        <v>2565.839721</v>
      </c>
      <c r="Q83" s="162"/>
      <c r="R83" s="162"/>
      <c r="S83" s="162">
        <f>IFERROR(P83*E83,"INF")</f>
        <v>69277.67247</v>
      </c>
      <c r="T83" s="162">
        <f t="shared" si="5"/>
        <v>2809.63486</v>
      </c>
      <c r="U83" s="164" t="str">
        <f t="shared" ref="U83:U121" si="41">IFERROR(IF(ISBLANK(Q83),"N/A",(S83/Q83)*(104237/2032)),"N/A")</f>
        <v>N/A</v>
      </c>
      <c r="V83" s="163" t="str">
        <f t="shared" ref="V83:V121" si="42">IF(ISBLANK(R83),"N/A",(T83/R83)*(104237/2032))</f>
        <v>N/A</v>
      </c>
    </row>
    <row r="84" ht="37.5" customHeight="1">
      <c r="A84" s="50" t="s">
        <v>1913</v>
      </c>
      <c r="B84" s="117" t="s">
        <v>1751</v>
      </c>
      <c r="C84" s="117" t="s">
        <v>1779</v>
      </c>
      <c r="D84" s="167"/>
      <c r="E84" s="111">
        <v>65.0</v>
      </c>
      <c r="F84" s="117" t="s">
        <v>1914</v>
      </c>
      <c r="G84" s="165" t="s">
        <v>1915</v>
      </c>
      <c r="H84" s="118">
        <v>3.116</v>
      </c>
      <c r="I84" s="159">
        <f>H84*13</f>
        <v>40.508</v>
      </c>
      <c r="J84" s="160">
        <f>3533.83+436.151</f>
        <v>3969.981</v>
      </c>
      <c r="K84" s="118"/>
      <c r="L84" s="118">
        <v>1.22</v>
      </c>
      <c r="M84" s="158">
        <v>1.25</v>
      </c>
      <c r="N84" s="118">
        <v>1.3</v>
      </c>
      <c r="O84" s="158">
        <v>1.1</v>
      </c>
      <c r="P84" s="161">
        <f t="shared" si="27"/>
        <v>8657.536066</v>
      </c>
      <c r="Q84" s="162">
        <v>5474539.8137733</v>
      </c>
      <c r="R84" s="162">
        <v>120124.18953292006</v>
      </c>
      <c r="S84" s="162">
        <f>IFERROR(P84*13,"INF")</f>
        <v>112547.9689</v>
      </c>
      <c r="T84" s="162">
        <f t="shared" si="5"/>
        <v>2778.413372</v>
      </c>
      <c r="U84" s="164">
        <f t="shared" si="41"/>
        <v>1.054601156</v>
      </c>
      <c r="V84" s="163">
        <f t="shared" si="42"/>
        <v>1.186491387</v>
      </c>
    </row>
    <row r="85" ht="37.5" customHeight="1">
      <c r="A85" s="50" t="s">
        <v>1916</v>
      </c>
      <c r="B85" s="117" t="s">
        <v>1771</v>
      </c>
      <c r="C85" s="117" t="s">
        <v>1777</v>
      </c>
      <c r="D85" s="167"/>
      <c r="E85" s="111">
        <v>20.0</v>
      </c>
      <c r="F85" s="50" t="s">
        <v>1828</v>
      </c>
      <c r="G85" s="157" t="s">
        <v>1829</v>
      </c>
      <c r="H85" s="158">
        <v>0.833</v>
      </c>
      <c r="I85" s="159">
        <f>H85*(E85-3)+1.817*2</f>
        <v>17.795</v>
      </c>
      <c r="J85" s="160">
        <v>691.27</v>
      </c>
      <c r="K85" s="158">
        <f>1.35*1.159</f>
        <v>1.56465</v>
      </c>
      <c r="L85" s="118">
        <v>1.22</v>
      </c>
      <c r="M85" s="158">
        <v>1.25</v>
      </c>
      <c r="N85" s="118">
        <v>1.3</v>
      </c>
      <c r="O85" s="158">
        <v>1.15</v>
      </c>
      <c r="P85" s="161">
        <f t="shared" si="27"/>
        <v>2465.902781</v>
      </c>
      <c r="Q85" s="162"/>
      <c r="R85" s="162"/>
      <c r="S85" s="162">
        <f t="shared" ref="S85:S90" si="43">IFERROR(P85*E85,"INF")</f>
        <v>49318.05562</v>
      </c>
      <c r="T85" s="162">
        <f t="shared" si="5"/>
        <v>2771.455781</v>
      </c>
      <c r="U85" s="164" t="str">
        <f t="shared" si="41"/>
        <v>N/A</v>
      </c>
      <c r="V85" s="163" t="str">
        <f t="shared" si="42"/>
        <v>N/A</v>
      </c>
    </row>
    <row r="86" ht="37.5" customHeight="1">
      <c r="A86" s="50" t="s">
        <v>1917</v>
      </c>
      <c r="B86" s="117" t="s">
        <v>1771</v>
      </c>
      <c r="C86" s="117" t="s">
        <v>1777</v>
      </c>
      <c r="D86" s="167"/>
      <c r="E86" s="111">
        <v>43.0</v>
      </c>
      <c r="F86" s="117" t="s">
        <v>1845</v>
      </c>
      <c r="G86" s="157" t="s">
        <v>1918</v>
      </c>
      <c r="H86" s="118">
        <v>1.283</v>
      </c>
      <c r="I86" s="159">
        <f>H86*(E86-3)+2.183*2</f>
        <v>55.686</v>
      </c>
      <c r="J86" s="168">
        <v>979.247</v>
      </c>
      <c r="K86" s="158">
        <f>(1+1.157++1.222+1.27+1.313+1.35+1.384+1.434+1.443+1.47+1.495+1.519+1.542+1.565+1.586+1.607+1.6264+1.6456+1.6642+1.6823+1.7*23)/43</f>
        <v>1.583151163</v>
      </c>
      <c r="L86" s="118">
        <v>1.22</v>
      </c>
      <c r="M86" s="158">
        <v>1.25</v>
      </c>
      <c r="N86" s="118">
        <v>1.3</v>
      </c>
      <c r="O86" s="158">
        <v>1.15</v>
      </c>
      <c r="P86" s="161">
        <f t="shared" si="27"/>
        <v>3534.481154</v>
      </c>
      <c r="Q86" s="162">
        <v>8382429.497000002</v>
      </c>
      <c r="R86" s="162">
        <v>116235.36381662881</v>
      </c>
      <c r="S86" s="162">
        <f t="shared" si="43"/>
        <v>151982.6896</v>
      </c>
      <c r="T86" s="162">
        <f t="shared" si="5"/>
        <v>2729.280064</v>
      </c>
      <c r="U86" s="164">
        <f t="shared" si="41"/>
        <v>0.9300845208</v>
      </c>
      <c r="V86" s="163">
        <f t="shared" si="42"/>
        <v>1.204503382</v>
      </c>
    </row>
    <row r="87" ht="37.5" customHeight="1">
      <c r="A87" s="50" t="s">
        <v>1919</v>
      </c>
      <c r="B87" s="117" t="s">
        <v>1751</v>
      </c>
      <c r="C87" s="117" t="s">
        <v>1841</v>
      </c>
      <c r="D87" s="167"/>
      <c r="E87" s="111">
        <v>21.0</v>
      </c>
      <c r="F87" s="50" t="s">
        <v>1866</v>
      </c>
      <c r="G87" s="165" t="s">
        <v>1867</v>
      </c>
      <c r="H87" s="158">
        <v>1.367</v>
      </c>
      <c r="I87" s="159">
        <f>0.467+H87*(E87-1)+2.017</f>
        <v>29.824</v>
      </c>
      <c r="J87" s="168">
        <v>1363.335</v>
      </c>
      <c r="K87" s="118">
        <v>1.3</v>
      </c>
      <c r="L87" s="118">
        <v>1.22</v>
      </c>
      <c r="M87" s="158">
        <v>1.25</v>
      </c>
      <c r="N87" s="118">
        <v>1.3</v>
      </c>
      <c r="O87" s="158">
        <v>1.1</v>
      </c>
      <c r="P87" s="161">
        <f t="shared" si="27"/>
        <v>3865.020642</v>
      </c>
      <c r="Q87" s="162">
        <v>5334136.902249999</v>
      </c>
      <c r="R87" s="162">
        <v>131515.4935341108</v>
      </c>
      <c r="S87" s="162">
        <f t="shared" si="43"/>
        <v>81165.43347</v>
      </c>
      <c r="T87" s="162">
        <f t="shared" si="5"/>
        <v>2721.480468</v>
      </c>
      <c r="U87" s="164">
        <f t="shared" si="41"/>
        <v>0.7805579558</v>
      </c>
      <c r="V87" s="163">
        <f t="shared" si="42"/>
        <v>1.061515898</v>
      </c>
    </row>
    <row r="88" ht="37.5" customHeight="1">
      <c r="A88" s="117" t="s">
        <v>1920</v>
      </c>
      <c r="B88" s="117" t="s">
        <v>1771</v>
      </c>
      <c r="C88" s="117" t="s">
        <v>1777</v>
      </c>
      <c r="D88" s="167"/>
      <c r="E88" s="111">
        <v>59.0</v>
      </c>
      <c r="F88" s="117" t="s">
        <v>1854</v>
      </c>
      <c r="G88" s="157" t="s">
        <v>1921</v>
      </c>
      <c r="H88" s="158">
        <v>0.433</v>
      </c>
      <c r="I88" s="159">
        <f>H88*(E88-6)+1.75*5</f>
        <v>31.699</v>
      </c>
      <c r="J88" s="160">
        <v>427.926</v>
      </c>
      <c r="K88" s="158">
        <f>(1.07*2*15+1*(E88-15))/59*1.159</f>
        <v>1.494913559</v>
      </c>
      <c r="L88" s="118">
        <v>1.22</v>
      </c>
      <c r="M88" s="158">
        <v>1.25</v>
      </c>
      <c r="N88" s="118">
        <v>1.3</v>
      </c>
      <c r="O88" s="158">
        <v>1.15</v>
      </c>
      <c r="P88" s="161">
        <f t="shared" si="27"/>
        <v>1458.464262</v>
      </c>
      <c r="Q88" s="162"/>
      <c r="R88" s="162"/>
      <c r="S88" s="162">
        <f t="shared" si="43"/>
        <v>86049.39145</v>
      </c>
      <c r="T88" s="162">
        <f t="shared" si="5"/>
        <v>2714.577477</v>
      </c>
      <c r="U88" s="164" t="str">
        <f t="shared" si="41"/>
        <v>N/A</v>
      </c>
      <c r="V88" s="163" t="str">
        <f t="shared" si="42"/>
        <v>N/A</v>
      </c>
    </row>
    <row r="89" ht="37.5" customHeight="1">
      <c r="A89" s="50" t="s">
        <v>1922</v>
      </c>
      <c r="B89" s="117" t="s">
        <v>1771</v>
      </c>
      <c r="C89" s="117" t="s">
        <v>1772</v>
      </c>
      <c r="D89" s="167"/>
      <c r="E89" s="111">
        <v>34.0</v>
      </c>
      <c r="F89" s="50"/>
      <c r="G89" s="157" t="s">
        <v>1923</v>
      </c>
      <c r="H89" s="118">
        <v>0.833</v>
      </c>
      <c r="I89" s="159">
        <f>H89*(E89-1)</f>
        <v>27.489</v>
      </c>
      <c r="J89" s="160">
        <v>712.149</v>
      </c>
      <c r="K89" s="158">
        <v>1.35</v>
      </c>
      <c r="L89" s="118">
        <v>1.22</v>
      </c>
      <c r="M89" s="158">
        <v>1.25</v>
      </c>
      <c r="N89" s="118">
        <v>1.3</v>
      </c>
      <c r="O89" s="158">
        <v>1.15</v>
      </c>
      <c r="P89" s="161">
        <f t="shared" si="27"/>
        <v>2191.874447</v>
      </c>
      <c r="Q89" s="162">
        <v>3948626.0696202326</v>
      </c>
      <c r="R89" s="162">
        <v>105338.83072216173</v>
      </c>
      <c r="S89" s="162">
        <f t="shared" si="43"/>
        <v>74523.73119</v>
      </c>
      <c r="T89" s="162">
        <f t="shared" si="5"/>
        <v>2711.038277</v>
      </c>
      <c r="U89" s="164">
        <f t="shared" si="41"/>
        <v>0.9681592122</v>
      </c>
      <c r="V89" s="163">
        <f t="shared" si="42"/>
        <v>1.320217108</v>
      </c>
    </row>
    <row r="90" ht="37.5" customHeight="1">
      <c r="A90" s="117" t="s">
        <v>835</v>
      </c>
      <c r="B90" s="117" t="s">
        <v>1751</v>
      </c>
      <c r="C90" s="117" t="s">
        <v>1805</v>
      </c>
      <c r="D90" s="167"/>
      <c r="E90" s="111">
        <v>25.0</v>
      </c>
      <c r="F90" s="117" t="s">
        <v>1924</v>
      </c>
      <c r="G90" s="157" t="s">
        <v>1925</v>
      </c>
      <c r="H90" s="158">
        <v>0.433</v>
      </c>
      <c r="I90" s="159">
        <f>H90*(E90-4)+2.05*3</f>
        <v>15.243</v>
      </c>
      <c r="J90" s="168">
        <v>756.23</v>
      </c>
      <c r="K90" s="118"/>
      <c r="L90" s="118">
        <v>1.22</v>
      </c>
      <c r="M90" s="158">
        <v>1.25</v>
      </c>
      <c r="N90" s="118">
        <v>1.3</v>
      </c>
      <c r="O90" s="158">
        <v>1.1</v>
      </c>
      <c r="P90" s="161">
        <f t="shared" si="27"/>
        <v>1649.148573</v>
      </c>
      <c r="Q90" s="162">
        <v>2013526.1250000002</v>
      </c>
      <c r="R90" s="162">
        <v>146876.22182507845</v>
      </c>
      <c r="S90" s="162">
        <f t="shared" si="43"/>
        <v>41228.71431</v>
      </c>
      <c r="T90" s="162">
        <f t="shared" si="5"/>
        <v>2704.763781</v>
      </c>
      <c r="U90" s="164">
        <f t="shared" si="41"/>
        <v>1.050366164</v>
      </c>
      <c r="V90" s="163">
        <f t="shared" si="42"/>
        <v>0.9446611388</v>
      </c>
    </row>
    <row r="91" ht="37.5" customHeight="1">
      <c r="A91" s="50" t="s">
        <v>1926</v>
      </c>
      <c r="B91" s="117" t="s">
        <v>1751</v>
      </c>
      <c r="C91" s="117" t="s">
        <v>1779</v>
      </c>
      <c r="D91" s="167"/>
      <c r="E91" s="111">
        <v>65.0</v>
      </c>
      <c r="F91" s="117" t="s">
        <v>1927</v>
      </c>
      <c r="G91" s="165" t="s">
        <v>1928</v>
      </c>
      <c r="H91" s="118">
        <v>4.05</v>
      </c>
      <c r="I91" s="159">
        <f>H91*9+1.95</f>
        <v>38.4</v>
      </c>
      <c r="J91" s="160">
        <f>4163.338+2*436.151</f>
        <v>5035.64</v>
      </c>
      <c r="K91" s="118"/>
      <c r="L91" s="118">
        <v>1.22</v>
      </c>
      <c r="M91" s="158">
        <v>1.25</v>
      </c>
      <c r="N91" s="118">
        <v>1.3</v>
      </c>
      <c r="O91" s="158">
        <v>1.1</v>
      </c>
      <c r="P91" s="161">
        <f t="shared" si="27"/>
        <v>10981.47193</v>
      </c>
      <c r="Q91" s="162">
        <v>5346650.608573167</v>
      </c>
      <c r="R91" s="162">
        <v>125951.722227872</v>
      </c>
      <c r="S91" s="162">
        <f>IFERROR(P91*(9+2254/J91),"INF")</f>
        <v>103748.6579</v>
      </c>
      <c r="T91" s="162">
        <f t="shared" si="5"/>
        <v>2701.787965</v>
      </c>
      <c r="U91" s="164">
        <f t="shared" si="41"/>
        <v>0.9954028558</v>
      </c>
      <c r="V91" s="163">
        <f t="shared" si="42"/>
        <v>1.100386751</v>
      </c>
    </row>
    <row r="92" ht="37.5" customHeight="1">
      <c r="A92" s="50" t="s">
        <v>1929</v>
      </c>
      <c r="B92" s="117" t="s">
        <v>1751</v>
      </c>
      <c r="C92" s="117" t="s">
        <v>1805</v>
      </c>
      <c r="D92" s="167"/>
      <c r="E92" s="111">
        <v>30.0</v>
      </c>
      <c r="F92" s="117" t="s">
        <v>1930</v>
      </c>
      <c r="G92" s="157" t="s">
        <v>1931</v>
      </c>
      <c r="H92" s="118">
        <v>0.383</v>
      </c>
      <c r="I92" s="159">
        <f>H92*(E92-5)+2.083*4</f>
        <v>17.907</v>
      </c>
      <c r="J92" s="168">
        <v>739.507</v>
      </c>
      <c r="K92" s="118"/>
      <c r="L92" s="118">
        <v>1.22</v>
      </c>
      <c r="M92" s="158">
        <v>1.25</v>
      </c>
      <c r="N92" s="118">
        <v>1.3</v>
      </c>
      <c r="O92" s="158">
        <v>1.1</v>
      </c>
      <c r="P92" s="161">
        <f t="shared" si="27"/>
        <v>1612.67989</v>
      </c>
      <c r="Q92" s="162">
        <v>2860465.9850000003</v>
      </c>
      <c r="R92" s="162">
        <v>132908.92969984206</v>
      </c>
      <c r="S92" s="162">
        <f>IFERROR(P92*E92,"INF")</f>
        <v>48380.39671</v>
      </c>
      <c r="T92" s="162">
        <f t="shared" si="5"/>
        <v>2701.758905</v>
      </c>
      <c r="U92" s="164">
        <f t="shared" si="41"/>
        <v>0.8676225627</v>
      </c>
      <c r="V92" s="163">
        <f t="shared" si="42"/>
        <v>1.042775049</v>
      </c>
    </row>
    <row r="93" ht="37.5" customHeight="1">
      <c r="A93" s="50" t="s">
        <v>1932</v>
      </c>
      <c r="B93" s="117" t="s">
        <v>1751</v>
      </c>
      <c r="C93" s="117" t="s">
        <v>1779</v>
      </c>
      <c r="D93" s="167"/>
      <c r="E93" s="111">
        <v>65.0</v>
      </c>
      <c r="F93" s="50" t="s">
        <v>1933</v>
      </c>
      <c r="G93" s="165" t="s">
        <v>1934</v>
      </c>
      <c r="H93" s="118">
        <v>5.05</v>
      </c>
      <c r="I93" s="159">
        <f>H93*7+1.95</f>
        <v>37.3</v>
      </c>
      <c r="J93" s="160">
        <f>4963.338+3*436.151</f>
        <v>6271.791</v>
      </c>
      <c r="K93" s="118"/>
      <c r="L93" s="118">
        <v>1.22</v>
      </c>
      <c r="M93" s="158">
        <v>1.25</v>
      </c>
      <c r="N93" s="118">
        <v>1.3</v>
      </c>
      <c r="O93" s="158">
        <v>1.1</v>
      </c>
      <c r="P93" s="161">
        <f t="shared" si="27"/>
        <v>13677.20822</v>
      </c>
      <c r="Q93" s="162">
        <v>5101278.195348558</v>
      </c>
      <c r="R93" s="162">
        <v>126269.26226110292</v>
      </c>
      <c r="S93" s="162">
        <f>IFERROR(P93*(7+2254/J93),"INF")</f>
        <v>100655.8681</v>
      </c>
      <c r="T93" s="162">
        <f t="shared" si="5"/>
        <v>2698.548742</v>
      </c>
      <c r="U93" s="164">
        <f t="shared" si="41"/>
        <v>1.012181256</v>
      </c>
      <c r="V93" s="163">
        <f t="shared" si="42"/>
        <v>1.096303558</v>
      </c>
    </row>
    <row r="94" ht="37.5" customHeight="1">
      <c r="A94" s="50" t="s">
        <v>1935</v>
      </c>
      <c r="B94" s="117" t="s">
        <v>1751</v>
      </c>
      <c r="C94" s="117" t="s">
        <v>1841</v>
      </c>
      <c r="D94" s="167"/>
      <c r="E94" s="111">
        <v>21.0</v>
      </c>
      <c r="F94" s="50" t="s">
        <v>1936</v>
      </c>
      <c r="G94" s="157" t="s">
        <v>1877</v>
      </c>
      <c r="H94" s="118">
        <v>1.15</v>
      </c>
      <c r="I94" s="159">
        <f>0.633+H94*(E94-2)+1.883</f>
        <v>24.366</v>
      </c>
      <c r="J94" s="160">
        <v>1434.225</v>
      </c>
      <c r="K94" s="118"/>
      <c r="L94" s="118">
        <v>1.22</v>
      </c>
      <c r="M94" s="158">
        <v>1.25</v>
      </c>
      <c r="N94" s="118">
        <v>1.3</v>
      </c>
      <c r="O94" s="158">
        <v>1.1</v>
      </c>
      <c r="P94" s="161">
        <f t="shared" si="27"/>
        <v>3127.686169</v>
      </c>
      <c r="Q94" s="162">
        <v>3704589.66009075</v>
      </c>
      <c r="R94" s="162">
        <v>114632.84525453324</v>
      </c>
      <c r="S94" s="162">
        <f t="shared" ref="S94:S95" si="44">IFERROR(P94*E94,"INF")</f>
        <v>65681.40954</v>
      </c>
      <c r="T94" s="162">
        <f t="shared" si="5"/>
        <v>2695.617235</v>
      </c>
      <c r="U94" s="164">
        <f t="shared" si="41"/>
        <v>0.909495499</v>
      </c>
      <c r="V94" s="163">
        <f t="shared" si="42"/>
        <v>1.206277848</v>
      </c>
    </row>
    <row r="95" ht="37.5" customHeight="1">
      <c r="A95" s="50" t="s">
        <v>1937</v>
      </c>
      <c r="B95" s="117" t="s">
        <v>1771</v>
      </c>
      <c r="C95" s="117" t="s">
        <v>1772</v>
      </c>
      <c r="D95" s="167"/>
      <c r="E95" s="111">
        <v>25.0</v>
      </c>
      <c r="F95" s="50" t="s">
        <v>1839</v>
      </c>
      <c r="G95" s="157" t="s">
        <v>1840</v>
      </c>
      <c r="H95" s="118">
        <v>0.433</v>
      </c>
      <c r="I95" s="159">
        <f>H95*(E95-2)+2.5</f>
        <v>12.459</v>
      </c>
      <c r="J95" s="168">
        <v>511.708</v>
      </c>
      <c r="K95" s="118">
        <v>1.15</v>
      </c>
      <c r="L95" s="118">
        <v>1.22</v>
      </c>
      <c r="M95" s="158">
        <v>1.25</v>
      </c>
      <c r="N95" s="118">
        <v>1.3</v>
      </c>
      <c r="O95" s="158">
        <v>1.15</v>
      </c>
      <c r="P95" s="161">
        <f t="shared" si="27"/>
        <v>1341.624818</v>
      </c>
      <c r="Q95" s="162">
        <v>1844146.1585904022</v>
      </c>
      <c r="R95" s="162">
        <v>134707.5353243537</v>
      </c>
      <c r="S95" s="162">
        <f t="shared" si="44"/>
        <v>33540.62045</v>
      </c>
      <c r="T95" s="162">
        <f t="shared" si="5"/>
        <v>2692.079657</v>
      </c>
      <c r="U95" s="164">
        <f t="shared" si="41"/>
        <v>0.9329834799</v>
      </c>
      <c r="V95" s="163">
        <f t="shared" si="42"/>
        <v>1.025166052</v>
      </c>
    </row>
    <row r="96" ht="37.5" customHeight="1">
      <c r="A96" s="50" t="s">
        <v>1938</v>
      </c>
      <c r="B96" s="117" t="s">
        <v>1751</v>
      </c>
      <c r="C96" s="117" t="s">
        <v>1779</v>
      </c>
      <c r="D96" s="167"/>
      <c r="E96" s="111">
        <v>73.0</v>
      </c>
      <c r="F96" s="50" t="s">
        <v>1939</v>
      </c>
      <c r="G96" s="165" t="s">
        <v>1940</v>
      </c>
      <c r="H96" s="118">
        <v>2.75</v>
      </c>
      <c r="I96" s="159">
        <f>H96*9+0.367</f>
        <v>25.117</v>
      </c>
      <c r="J96" s="160">
        <f>1121.63*2+373.854*2</f>
        <v>2990.968</v>
      </c>
      <c r="K96" s="158">
        <v>1.1</v>
      </c>
      <c r="L96" s="118">
        <v>1.22</v>
      </c>
      <c r="M96" s="158">
        <v>1.25</v>
      </c>
      <c r="N96" s="118">
        <v>1.3</v>
      </c>
      <c r="O96" s="158">
        <v>1.1</v>
      </c>
      <c r="P96" s="161">
        <f t="shared" si="27"/>
        <v>7174.808813</v>
      </c>
      <c r="Q96" s="162">
        <v>2204599.4320595767</v>
      </c>
      <c r="R96" s="162">
        <v>104980.92533617032</v>
      </c>
      <c r="S96" s="162">
        <f>IFERROR(P96*(9+1121.63/2991),"INF")</f>
        <v>67263.84461</v>
      </c>
      <c r="T96" s="162">
        <f t="shared" si="5"/>
        <v>2678.020648</v>
      </c>
      <c r="U96" s="164">
        <f t="shared" si="41"/>
        <v>1.565129206</v>
      </c>
      <c r="V96" s="163">
        <f t="shared" si="42"/>
        <v>1.308584358</v>
      </c>
    </row>
    <row r="97" ht="37.5" customHeight="1">
      <c r="A97" s="50" t="s">
        <v>1941</v>
      </c>
      <c r="B97" s="117" t="s">
        <v>1771</v>
      </c>
      <c r="C97" s="117" t="s">
        <v>1942</v>
      </c>
      <c r="D97" s="167"/>
      <c r="E97" s="111">
        <v>485.0</v>
      </c>
      <c r="F97" s="50"/>
      <c r="G97" s="157" t="s">
        <v>1943</v>
      </c>
      <c r="H97" s="118">
        <v>0.067</v>
      </c>
      <c r="I97" s="159">
        <f>H97*E97-1</f>
        <v>31.495</v>
      </c>
      <c r="J97" s="168">
        <v>75.872</v>
      </c>
      <c r="K97" s="118"/>
      <c r="L97" s="118">
        <v>1.22</v>
      </c>
      <c r="M97" s="158">
        <v>1.25</v>
      </c>
      <c r="N97" s="118">
        <v>1.3</v>
      </c>
      <c r="O97" s="158">
        <v>1.15</v>
      </c>
      <c r="P97" s="161">
        <f t="shared" si="27"/>
        <v>172.978676</v>
      </c>
      <c r="Q97" s="162">
        <v>3134481.034347742</v>
      </c>
      <c r="R97" s="162">
        <v>136477.59978872913</v>
      </c>
      <c r="S97" s="162">
        <f t="shared" ref="S97:S100" si="45">IFERROR(P97*E97,"INF")</f>
        <v>83894.65786</v>
      </c>
      <c r="T97" s="162">
        <f t="shared" si="5"/>
        <v>2663.745288</v>
      </c>
      <c r="U97" s="164">
        <f t="shared" si="41"/>
        <v>1.372988377</v>
      </c>
      <c r="V97" s="163">
        <f t="shared" si="42"/>
        <v>1.001220005</v>
      </c>
    </row>
    <row r="98" ht="37.5" customHeight="1">
      <c r="A98" s="50" t="s">
        <v>1944</v>
      </c>
      <c r="B98" s="117" t="s">
        <v>1771</v>
      </c>
      <c r="C98" s="117" t="s">
        <v>1777</v>
      </c>
      <c r="D98" s="167"/>
      <c r="E98" s="111">
        <v>46.0</v>
      </c>
      <c r="F98" s="117" t="s">
        <v>1945</v>
      </c>
      <c r="G98" s="157" t="s">
        <v>1946</v>
      </c>
      <c r="H98" s="118">
        <v>0.433</v>
      </c>
      <c r="I98" s="159">
        <f>H98*(E98-5)+1.817*4</f>
        <v>25.021</v>
      </c>
      <c r="J98" s="168">
        <v>632.741</v>
      </c>
      <c r="K98" s="118"/>
      <c r="L98" s="118">
        <v>1.22</v>
      </c>
      <c r="M98" s="158">
        <v>1.25</v>
      </c>
      <c r="N98" s="118">
        <v>1.3</v>
      </c>
      <c r="O98" s="158">
        <v>1.15</v>
      </c>
      <c r="P98" s="161">
        <f t="shared" si="27"/>
        <v>1442.570387</v>
      </c>
      <c r="Q98" s="162">
        <v>4287903.6525</v>
      </c>
      <c r="R98" s="162">
        <v>154630.495943022</v>
      </c>
      <c r="S98" s="162">
        <f t="shared" si="45"/>
        <v>66358.23782</v>
      </c>
      <c r="T98" s="162">
        <f t="shared" si="5"/>
        <v>2652.101747</v>
      </c>
      <c r="U98" s="164">
        <f t="shared" si="41"/>
        <v>0.7938675063</v>
      </c>
      <c r="V98" s="163">
        <f t="shared" si="42"/>
        <v>0.8798187902</v>
      </c>
    </row>
    <row r="99" ht="37.5" customHeight="1">
      <c r="A99" s="50" t="s">
        <v>1947</v>
      </c>
      <c r="B99" s="117" t="s">
        <v>1771</v>
      </c>
      <c r="C99" s="117" t="s">
        <v>1863</v>
      </c>
      <c r="D99" s="167"/>
      <c r="E99" s="111">
        <v>20.0</v>
      </c>
      <c r="F99" s="117" t="s">
        <v>1948</v>
      </c>
      <c r="G99" s="157" t="s">
        <v>1753</v>
      </c>
      <c r="H99" s="158">
        <v>1.55</v>
      </c>
      <c r="I99" s="159">
        <f>H99*(E99-1)</f>
        <v>29.45</v>
      </c>
      <c r="J99" s="168">
        <v>1317.177</v>
      </c>
      <c r="K99" s="158">
        <v>1.3</v>
      </c>
      <c r="L99" s="118">
        <v>1.22</v>
      </c>
      <c r="M99" s="158">
        <v>1.25</v>
      </c>
      <c r="N99" s="118">
        <v>1.3</v>
      </c>
      <c r="O99" s="158">
        <v>1.15</v>
      </c>
      <c r="P99" s="161">
        <f t="shared" si="27"/>
        <v>3903.898587</v>
      </c>
      <c r="Q99" s="162"/>
      <c r="R99" s="162"/>
      <c r="S99" s="162">
        <f t="shared" si="45"/>
        <v>78077.97173</v>
      </c>
      <c r="T99" s="162">
        <f t="shared" si="5"/>
        <v>2651.204473</v>
      </c>
      <c r="U99" s="164" t="str">
        <f t="shared" si="41"/>
        <v>N/A</v>
      </c>
      <c r="V99" s="163" t="str">
        <f t="shared" si="42"/>
        <v>N/A</v>
      </c>
    </row>
    <row r="100" ht="37.5" customHeight="1">
      <c r="A100" s="50" t="s">
        <v>1949</v>
      </c>
      <c r="B100" s="117" t="s">
        <v>1751</v>
      </c>
      <c r="C100" s="117" t="s">
        <v>1898</v>
      </c>
      <c r="D100" s="167"/>
      <c r="E100" s="111">
        <v>58.0</v>
      </c>
      <c r="F100" s="117" t="s">
        <v>1950</v>
      </c>
      <c r="G100" s="165" t="s">
        <v>1951</v>
      </c>
      <c r="H100" s="158">
        <v>0.594</v>
      </c>
      <c r="I100" s="159">
        <f>0.817+0.594*56+6.333*2+2.35</f>
        <v>49.097</v>
      </c>
      <c r="J100" s="160">
        <f>(538.987*58+469.344*58)/58</f>
        <v>1008.331</v>
      </c>
      <c r="K100" s="118"/>
      <c r="L100" s="118">
        <v>1.22</v>
      </c>
      <c r="M100" s="158">
        <v>1.25</v>
      </c>
      <c r="N100" s="118">
        <v>1.3</v>
      </c>
      <c r="O100" s="158">
        <v>1.1</v>
      </c>
      <c r="P100" s="161">
        <f t="shared" si="27"/>
        <v>2198.917828</v>
      </c>
      <c r="Q100" s="162">
        <v>7215053.641401451</v>
      </c>
      <c r="R100" s="162">
        <v>135585.62862031517</v>
      </c>
      <c r="S100" s="162">
        <f t="shared" si="45"/>
        <v>127537.234</v>
      </c>
      <c r="T100" s="162">
        <f t="shared" si="5"/>
        <v>2597.658391</v>
      </c>
      <c r="U100" s="164">
        <f t="shared" si="41"/>
        <v>0.9067668399</v>
      </c>
      <c r="V100" s="163">
        <f t="shared" si="42"/>
        <v>0.9828032388</v>
      </c>
    </row>
    <row r="101" ht="37.5" customHeight="1">
      <c r="A101" s="50" t="s">
        <v>1952</v>
      </c>
      <c r="B101" s="117" t="s">
        <v>1751</v>
      </c>
      <c r="C101" s="117" t="s">
        <v>1942</v>
      </c>
      <c r="D101" s="156"/>
      <c r="E101" s="111">
        <v>385.0</v>
      </c>
      <c r="F101" s="117" t="s">
        <v>1953</v>
      </c>
      <c r="G101" s="157" t="s">
        <v>1954</v>
      </c>
      <c r="H101" s="118">
        <v>0.067</v>
      </c>
      <c r="I101" s="159">
        <f>H101*(E101-4)+1.117*3</f>
        <v>28.878</v>
      </c>
      <c r="J101" s="160">
        <v>78.809</v>
      </c>
      <c r="K101" s="118">
        <v>1.2</v>
      </c>
      <c r="L101" s="118">
        <v>1.22</v>
      </c>
      <c r="M101" s="158">
        <v>1.25</v>
      </c>
      <c r="N101" s="118">
        <v>1.3</v>
      </c>
      <c r="O101" s="158">
        <v>1.1</v>
      </c>
      <c r="P101" s="161">
        <f t="shared" si="27"/>
        <v>206.2352721</v>
      </c>
      <c r="Q101" s="162">
        <v>4143067.6979289893</v>
      </c>
      <c r="R101" s="162">
        <v>134432.25600859823</v>
      </c>
      <c r="S101" s="162">
        <f>IFERROR(P101*E101/1.2*(1+0.2*2/3),"INF")</f>
        <v>74989.43644</v>
      </c>
      <c r="T101" s="162">
        <f t="shared" si="5"/>
        <v>2596.766966</v>
      </c>
      <c r="U101" s="164">
        <f t="shared" si="41"/>
        <v>0.9284879249</v>
      </c>
      <c r="V101" s="163">
        <f t="shared" si="42"/>
        <v>0.9908951229</v>
      </c>
    </row>
    <row r="102" ht="37.5" customHeight="1">
      <c r="A102" s="50" t="s">
        <v>1955</v>
      </c>
      <c r="B102" s="117" t="s">
        <v>1771</v>
      </c>
      <c r="C102" s="117" t="s">
        <v>1772</v>
      </c>
      <c r="D102" s="167"/>
      <c r="E102" s="111">
        <v>19.0</v>
      </c>
      <c r="F102" s="50" t="s">
        <v>1956</v>
      </c>
      <c r="G102" s="157" t="s">
        <v>1957</v>
      </c>
      <c r="H102" s="118">
        <v>1.0</v>
      </c>
      <c r="I102" s="159">
        <f>0.983+H102*(E102-7)+1.183*6</f>
        <v>20.081</v>
      </c>
      <c r="J102" s="168">
        <v>798.185</v>
      </c>
      <c r="K102" s="118">
        <v>1.5</v>
      </c>
      <c r="L102" s="118">
        <v>1.22</v>
      </c>
      <c r="M102" s="158">
        <v>1.25</v>
      </c>
      <c r="N102" s="118">
        <v>1.3</v>
      </c>
      <c r="O102" s="158">
        <v>1.15</v>
      </c>
      <c r="P102" s="161">
        <f t="shared" si="27"/>
        <v>2729.64304</v>
      </c>
      <c r="Q102" s="162">
        <v>3218358.762786498</v>
      </c>
      <c r="R102" s="162">
        <v>138239.71319043418</v>
      </c>
      <c r="S102" s="162">
        <f t="shared" ref="S102:S117" si="46">IFERROR(P102*E102,"INF")</f>
        <v>51863.21777</v>
      </c>
      <c r="T102" s="162">
        <f t="shared" si="5"/>
        <v>2582.700949</v>
      </c>
      <c r="U102" s="164">
        <f t="shared" si="41"/>
        <v>0.8266529186</v>
      </c>
      <c r="V102" s="163">
        <f t="shared" si="42"/>
        <v>0.9583838753</v>
      </c>
    </row>
    <row r="103" ht="37.5" customHeight="1">
      <c r="A103" s="50" t="s">
        <v>1958</v>
      </c>
      <c r="B103" s="117" t="s">
        <v>1751</v>
      </c>
      <c r="C103" s="117" t="s">
        <v>1841</v>
      </c>
      <c r="D103" s="167"/>
      <c r="E103" s="111">
        <v>39.0</v>
      </c>
      <c r="F103" s="50" t="s">
        <v>1959</v>
      </c>
      <c r="G103" s="157" t="s">
        <v>1960</v>
      </c>
      <c r="H103" s="118">
        <v>0.983</v>
      </c>
      <c r="I103" s="159">
        <f>0.45+H103*(E103-4)+1.65*3</f>
        <v>39.805</v>
      </c>
      <c r="J103" s="160">
        <v>948.389</v>
      </c>
      <c r="K103" s="118">
        <f>(1.3*35+1*4)/39</f>
        <v>1.269230769</v>
      </c>
      <c r="L103" s="118">
        <v>1.22</v>
      </c>
      <c r="M103" s="158">
        <v>1.25</v>
      </c>
      <c r="N103" s="118">
        <v>1.3</v>
      </c>
      <c r="O103" s="158">
        <v>1.1</v>
      </c>
      <c r="P103" s="161">
        <f t="shared" si="27"/>
        <v>2625.022203</v>
      </c>
      <c r="Q103" s="162">
        <v>6751831.177</v>
      </c>
      <c r="R103" s="162">
        <v>123361.67465102683</v>
      </c>
      <c r="S103" s="162">
        <f t="shared" si="46"/>
        <v>102375.8659</v>
      </c>
      <c r="T103" s="162">
        <f t="shared" si="5"/>
        <v>2571.934831</v>
      </c>
      <c r="U103" s="164">
        <f t="shared" si="41"/>
        <v>0.7778112379</v>
      </c>
      <c r="V103" s="163">
        <f t="shared" si="42"/>
        <v>1.069492895</v>
      </c>
    </row>
    <row r="104" ht="37.5" customHeight="1">
      <c r="A104" s="50" t="s">
        <v>1961</v>
      </c>
      <c r="B104" s="117" t="s">
        <v>1771</v>
      </c>
      <c r="C104" s="117" t="s">
        <v>1772</v>
      </c>
      <c r="D104" s="167"/>
      <c r="E104" s="111">
        <v>19.0</v>
      </c>
      <c r="F104" s="50" t="s">
        <v>1962</v>
      </c>
      <c r="G104" s="157" t="s">
        <v>1963</v>
      </c>
      <c r="H104" s="118">
        <v>0.833</v>
      </c>
      <c r="I104" s="159">
        <f>H104*(E104-7)+1.1*6</f>
        <v>16.596</v>
      </c>
      <c r="J104" s="168">
        <v>655.941</v>
      </c>
      <c r="K104" s="118">
        <v>1.5</v>
      </c>
      <c r="L104" s="118">
        <v>1.22</v>
      </c>
      <c r="M104" s="158">
        <v>1.25</v>
      </c>
      <c r="N104" s="118">
        <v>1.3</v>
      </c>
      <c r="O104" s="158">
        <v>1.15</v>
      </c>
      <c r="P104" s="161">
        <f t="shared" si="27"/>
        <v>2243.195231</v>
      </c>
      <c r="Q104" s="162">
        <v>2799594.908141609</v>
      </c>
      <c r="R104" s="162">
        <v>106476.81543154486</v>
      </c>
      <c r="S104" s="162">
        <f t="shared" si="46"/>
        <v>42620.70939</v>
      </c>
      <c r="T104" s="162">
        <f t="shared" si="5"/>
        <v>2568.131441</v>
      </c>
      <c r="U104" s="164">
        <f t="shared" si="41"/>
        <v>0.7809508088</v>
      </c>
      <c r="V104" s="163">
        <f t="shared" si="42"/>
        <v>1.237258352</v>
      </c>
    </row>
    <row r="105" ht="37.5" customHeight="1">
      <c r="A105" s="50" t="s">
        <v>1964</v>
      </c>
      <c r="B105" s="117" t="s">
        <v>1751</v>
      </c>
      <c r="C105" s="117" t="s">
        <v>1752</v>
      </c>
      <c r="D105" s="156"/>
      <c r="E105" s="111" t="s">
        <v>1757</v>
      </c>
      <c r="F105" s="50"/>
      <c r="G105" s="157" t="s">
        <v>1753</v>
      </c>
      <c r="H105" s="158">
        <v>1.883</v>
      </c>
      <c r="I105" s="159" t="s">
        <v>582</v>
      </c>
      <c r="J105" s="160">
        <f>1659.403</f>
        <v>1659.403</v>
      </c>
      <c r="K105" s="158">
        <v>1.33</v>
      </c>
      <c r="L105" s="118">
        <v>1.22</v>
      </c>
      <c r="M105" s="158">
        <v>1.25</v>
      </c>
      <c r="N105" s="118">
        <v>1.3</v>
      </c>
      <c r="O105" s="158">
        <v>1.1</v>
      </c>
      <c r="P105" s="161">
        <f t="shared" si="27"/>
        <v>4812.928313</v>
      </c>
      <c r="Q105" s="162"/>
      <c r="R105" s="162"/>
      <c r="S105" s="162" t="str">
        <f t="shared" si="46"/>
        <v>INF</v>
      </c>
      <c r="T105" s="162">
        <f t="shared" si="5"/>
        <v>2555.989545</v>
      </c>
      <c r="U105" s="178" t="str">
        <f t="shared" si="41"/>
        <v>N/A</v>
      </c>
      <c r="V105" s="179" t="str">
        <f t="shared" si="42"/>
        <v>N/A</v>
      </c>
    </row>
    <row r="106" ht="37.5" customHeight="1">
      <c r="A106" s="50" t="s">
        <v>1965</v>
      </c>
      <c r="B106" s="117" t="s">
        <v>1771</v>
      </c>
      <c r="C106" s="117" t="s">
        <v>1777</v>
      </c>
      <c r="D106" s="167"/>
      <c r="E106" s="111">
        <v>20.0</v>
      </c>
      <c r="F106" s="50" t="s">
        <v>1797</v>
      </c>
      <c r="G106" s="165" t="s">
        <v>1791</v>
      </c>
      <c r="H106" s="118">
        <v>0.65</v>
      </c>
      <c r="I106" s="159">
        <f>0.65*20+1.817*3+1.767*2</f>
        <v>21.985</v>
      </c>
      <c r="J106" s="160">
        <f>(4992.135*3+564.934*17)/20</f>
        <v>1229.01415</v>
      </c>
      <c r="K106" s="118"/>
      <c r="L106" s="118">
        <v>1.22</v>
      </c>
      <c r="M106" s="158">
        <v>1.25</v>
      </c>
      <c r="N106" s="118">
        <v>1.3</v>
      </c>
      <c r="O106" s="158">
        <v>1.15</v>
      </c>
      <c r="P106" s="161">
        <f t="shared" si="27"/>
        <v>2801.998635</v>
      </c>
      <c r="Q106" s="162">
        <v>3630821.330559767</v>
      </c>
      <c r="R106" s="162">
        <v>122249.87644982379</v>
      </c>
      <c r="S106" s="162">
        <f t="shared" si="46"/>
        <v>56039.9727</v>
      </c>
      <c r="T106" s="162">
        <f t="shared" si="5"/>
        <v>2549.009448</v>
      </c>
      <c r="U106" s="164">
        <f t="shared" si="41"/>
        <v>0.7917557698</v>
      </c>
      <c r="V106" s="163">
        <f t="shared" si="42"/>
        <v>1.069599562</v>
      </c>
    </row>
    <row r="107" ht="37.5" customHeight="1">
      <c r="A107" s="50" t="s">
        <v>1966</v>
      </c>
      <c r="B107" s="117" t="s">
        <v>1771</v>
      </c>
      <c r="C107" s="117" t="s">
        <v>1772</v>
      </c>
      <c r="D107" s="167"/>
      <c r="E107" s="111">
        <v>18.0</v>
      </c>
      <c r="F107" s="117" t="s">
        <v>1967</v>
      </c>
      <c r="G107" s="165" t="s">
        <v>1968</v>
      </c>
      <c r="H107" s="158">
        <v>0.6915</v>
      </c>
      <c r="I107" s="159">
        <f>H107*6+0.733*(E107-7)</f>
        <v>12.212</v>
      </c>
      <c r="J107" s="168">
        <v>655.941</v>
      </c>
      <c r="K107" s="118">
        <v>1.15</v>
      </c>
      <c r="L107" s="118">
        <v>1.22</v>
      </c>
      <c r="M107" s="158">
        <v>1.25</v>
      </c>
      <c r="N107" s="118">
        <v>1.3</v>
      </c>
      <c r="O107" s="158">
        <v>1.15</v>
      </c>
      <c r="P107" s="161">
        <f t="shared" si="27"/>
        <v>1719.78301</v>
      </c>
      <c r="Q107" s="162">
        <v>1732856.0766964273</v>
      </c>
      <c r="R107" s="162">
        <v>115917.85916759832</v>
      </c>
      <c r="S107" s="162">
        <f t="shared" si="46"/>
        <v>30956.09419</v>
      </c>
      <c r="T107" s="162">
        <f t="shared" si="5"/>
        <v>2534.891434</v>
      </c>
      <c r="U107" s="164">
        <f t="shared" si="41"/>
        <v>0.9163932166</v>
      </c>
      <c r="V107" s="163">
        <f t="shared" si="42"/>
        <v>1.121778758</v>
      </c>
    </row>
    <row r="108" ht="37.5" customHeight="1">
      <c r="A108" s="50" t="s">
        <v>579</v>
      </c>
      <c r="B108" s="117" t="s">
        <v>1751</v>
      </c>
      <c r="C108" s="117" t="s">
        <v>1793</v>
      </c>
      <c r="D108" s="167"/>
      <c r="E108" s="111">
        <v>11.0</v>
      </c>
      <c r="F108" s="50" t="s">
        <v>1891</v>
      </c>
      <c r="G108" s="157" t="s">
        <v>1892</v>
      </c>
      <c r="H108" s="118">
        <v>1.733</v>
      </c>
      <c r="I108" s="159">
        <f>1+H108*(E108-2)+2.717*2</f>
        <v>22.031</v>
      </c>
      <c r="J108" s="160">
        <v>2326.554</v>
      </c>
      <c r="K108" s="118"/>
      <c r="L108" s="118">
        <v>1.22</v>
      </c>
      <c r="M108" s="158">
        <v>1.25</v>
      </c>
      <c r="N108" s="118">
        <v>1.3</v>
      </c>
      <c r="O108" s="158">
        <v>1.1</v>
      </c>
      <c r="P108" s="161">
        <f t="shared" si="27"/>
        <v>5073.632636</v>
      </c>
      <c r="Q108" s="162"/>
      <c r="R108" s="162"/>
      <c r="S108" s="162">
        <f t="shared" si="46"/>
        <v>55809.95899</v>
      </c>
      <c r="T108" s="162">
        <f t="shared" si="5"/>
        <v>2533.246743</v>
      </c>
      <c r="U108" s="164" t="str">
        <f t="shared" si="41"/>
        <v>N/A</v>
      </c>
      <c r="V108" s="163" t="str">
        <f t="shared" si="42"/>
        <v>N/A</v>
      </c>
    </row>
    <row r="109" ht="37.5" customHeight="1">
      <c r="A109" s="50" t="s">
        <v>1969</v>
      </c>
      <c r="B109" s="117" t="s">
        <v>1771</v>
      </c>
      <c r="C109" s="117" t="s">
        <v>1772</v>
      </c>
      <c r="D109" s="167"/>
      <c r="E109" s="111">
        <v>24.0</v>
      </c>
      <c r="F109" s="117" t="s">
        <v>1970</v>
      </c>
      <c r="G109" s="157" t="s">
        <v>1971</v>
      </c>
      <c r="H109" s="158">
        <v>0.633</v>
      </c>
      <c r="I109" s="159">
        <f>0.633*7+0.817*(E109-8)</f>
        <v>17.503</v>
      </c>
      <c r="J109" s="112">
        <v>644.59</v>
      </c>
      <c r="K109" s="158">
        <f>(1+1.05+1.1+1.15+1.2+1.25+1.3*(E109-6))/24</f>
        <v>1.25625</v>
      </c>
      <c r="L109" s="118">
        <v>1.22</v>
      </c>
      <c r="M109" s="158">
        <v>1.25</v>
      </c>
      <c r="N109" s="118">
        <v>1.3</v>
      </c>
      <c r="O109" s="158">
        <v>1.15</v>
      </c>
      <c r="P109" s="161">
        <f t="shared" si="27"/>
        <v>1846.165687</v>
      </c>
      <c r="Q109" s="162"/>
      <c r="R109" s="162"/>
      <c r="S109" s="162">
        <f t="shared" si="46"/>
        <v>44307.97648</v>
      </c>
      <c r="T109" s="162">
        <f t="shared" si="5"/>
        <v>2531.450407</v>
      </c>
      <c r="U109" s="164" t="str">
        <f t="shared" si="41"/>
        <v>N/A</v>
      </c>
      <c r="V109" s="163" t="str">
        <f t="shared" si="42"/>
        <v>N/A</v>
      </c>
    </row>
    <row r="110" ht="37.5" customHeight="1">
      <c r="A110" s="117" t="s">
        <v>1972</v>
      </c>
      <c r="B110" s="117" t="s">
        <v>1751</v>
      </c>
      <c r="C110" s="117" t="s">
        <v>1841</v>
      </c>
      <c r="D110" s="167"/>
      <c r="E110" s="111">
        <v>21.0</v>
      </c>
      <c r="F110" s="117" t="s">
        <v>1973</v>
      </c>
      <c r="G110" s="157" t="s">
        <v>1887</v>
      </c>
      <c r="H110" s="158">
        <v>1.067</v>
      </c>
      <c r="I110" s="159">
        <f>H110*(E110-4)+1.8*3</f>
        <v>23.539</v>
      </c>
      <c r="J110" s="168">
        <v>997.237</v>
      </c>
      <c r="K110" s="158">
        <v>1.3</v>
      </c>
      <c r="L110" s="118">
        <v>1.22</v>
      </c>
      <c r="M110" s="158">
        <v>1.25</v>
      </c>
      <c r="N110" s="118">
        <v>1.3</v>
      </c>
      <c r="O110" s="158">
        <v>1.1</v>
      </c>
      <c r="P110" s="161">
        <f t="shared" si="27"/>
        <v>2827.141964</v>
      </c>
      <c r="Q110" s="162">
        <v>3430701.183</v>
      </c>
      <c r="R110" s="162">
        <v>115874.66420103355</v>
      </c>
      <c r="S110" s="162">
        <f t="shared" si="46"/>
        <v>59369.98125</v>
      </c>
      <c r="T110" s="162">
        <f t="shared" si="5"/>
        <v>2522.196408</v>
      </c>
      <c r="U110" s="164">
        <f t="shared" si="41"/>
        <v>0.8877327039</v>
      </c>
      <c r="V110" s="163">
        <f t="shared" si="42"/>
        <v>1.116576837</v>
      </c>
    </row>
    <row r="111" ht="37.5" customHeight="1">
      <c r="A111" s="50" t="s">
        <v>1974</v>
      </c>
      <c r="B111" s="117" t="s">
        <v>1771</v>
      </c>
      <c r="C111" s="117" t="s">
        <v>1772</v>
      </c>
      <c r="D111" s="167"/>
      <c r="E111" s="111">
        <v>25.0</v>
      </c>
      <c r="F111" s="50"/>
      <c r="G111" s="165"/>
      <c r="H111" s="118">
        <v>0.433</v>
      </c>
      <c r="I111" s="159">
        <v>17.4</v>
      </c>
      <c r="J111" s="168">
        <v>511.708</v>
      </c>
      <c r="K111" s="118">
        <v>1.5</v>
      </c>
      <c r="L111" s="118">
        <v>1.22</v>
      </c>
      <c r="M111" s="158">
        <v>1.25</v>
      </c>
      <c r="N111" s="118">
        <v>1.3</v>
      </c>
      <c r="O111" s="158">
        <v>1.15</v>
      </c>
      <c r="P111" s="161">
        <f t="shared" si="27"/>
        <v>1749.945415</v>
      </c>
      <c r="Q111" s="162">
        <v>2405408.032944003</v>
      </c>
      <c r="R111" s="162">
        <v>117664.14092569599</v>
      </c>
      <c r="S111" s="162">
        <f t="shared" si="46"/>
        <v>43748.63537</v>
      </c>
      <c r="T111" s="162">
        <f t="shared" si="5"/>
        <v>2514.289389</v>
      </c>
      <c r="U111" s="164">
        <f t="shared" si="41"/>
        <v>0.9329834799</v>
      </c>
      <c r="V111" s="163">
        <f t="shared" si="42"/>
        <v>1.096148349</v>
      </c>
    </row>
    <row r="112" ht="37.5" customHeight="1">
      <c r="A112" s="117" t="s">
        <v>1975</v>
      </c>
      <c r="B112" s="117" t="s">
        <v>1756</v>
      </c>
      <c r="C112" s="117" t="s">
        <v>1756</v>
      </c>
      <c r="D112" s="156"/>
      <c r="E112" s="111" t="s">
        <v>1757</v>
      </c>
      <c r="F112" s="50"/>
      <c r="G112" s="157" t="s">
        <v>582</v>
      </c>
      <c r="H112" s="158">
        <v>2.533</v>
      </c>
      <c r="I112" s="186" t="s">
        <v>582</v>
      </c>
      <c r="J112" s="168">
        <v>568.931</v>
      </c>
      <c r="K112" s="118"/>
      <c r="L112" s="118"/>
      <c r="M112" s="158">
        <f>1+2+1.5</f>
        <v>4.5</v>
      </c>
      <c r="N112" s="118">
        <v>1.3</v>
      </c>
      <c r="O112" s="158">
        <v>1.3</v>
      </c>
      <c r="P112" s="161">
        <f>PRODUCT(J112:O112)+511.708*1.22*1.25*1.3*2</f>
        <v>6355.642475</v>
      </c>
      <c r="Q112" s="162"/>
      <c r="R112" s="162"/>
      <c r="S112" s="162" t="str">
        <f t="shared" si="46"/>
        <v>INF</v>
      </c>
      <c r="T112" s="162">
        <f t="shared" si="5"/>
        <v>2509.13639</v>
      </c>
      <c r="U112" s="164" t="str">
        <f t="shared" si="41"/>
        <v>N/A</v>
      </c>
      <c r="V112" s="163" t="str">
        <f t="shared" si="42"/>
        <v>N/A</v>
      </c>
    </row>
    <row r="113" ht="37.5" customHeight="1">
      <c r="A113" s="50" t="s">
        <v>1976</v>
      </c>
      <c r="B113" s="50" t="s">
        <v>1859</v>
      </c>
      <c r="C113" s="50" t="s">
        <v>1834</v>
      </c>
      <c r="D113" s="167"/>
      <c r="E113" s="49" t="s">
        <v>1757</v>
      </c>
      <c r="F113" s="50"/>
      <c r="G113" s="165" t="s">
        <v>582</v>
      </c>
      <c r="H113" s="158">
        <v>15.517</v>
      </c>
      <c r="I113" s="159" t="s">
        <v>582</v>
      </c>
      <c r="J113" s="160">
        <f>655.15*26</f>
        <v>17033.9</v>
      </c>
      <c r="K113" s="118"/>
      <c r="L113" s="118">
        <v>1.22</v>
      </c>
      <c r="M113" s="158">
        <v>1.25</v>
      </c>
      <c r="N113" s="118">
        <v>1.3</v>
      </c>
      <c r="O113" s="158">
        <v>1.15</v>
      </c>
      <c r="P113" s="161">
        <f t="shared" ref="P113:P231" si="47">PRODUCT(J113:O113)</f>
        <v>38835.16276</v>
      </c>
      <c r="Q113" s="162" t="s">
        <v>1757</v>
      </c>
      <c r="R113" s="162">
        <v>97689.90615292043</v>
      </c>
      <c r="S113" s="162" t="str">
        <f t="shared" si="46"/>
        <v>INF</v>
      </c>
      <c r="T113" s="162">
        <f t="shared" si="5"/>
        <v>2502.749421</v>
      </c>
      <c r="U113" s="164" t="str">
        <f t="shared" si="41"/>
        <v>N/A</v>
      </c>
      <c r="V113" s="163">
        <f t="shared" si="42"/>
        <v>1.314213358</v>
      </c>
    </row>
    <row r="114" ht="37.5" customHeight="1">
      <c r="A114" s="117" t="s">
        <v>1977</v>
      </c>
      <c r="B114" s="117" t="s">
        <v>1771</v>
      </c>
      <c r="C114" s="117" t="s">
        <v>1772</v>
      </c>
      <c r="D114" s="167"/>
      <c r="E114" s="111">
        <v>34.0</v>
      </c>
      <c r="F114" s="117" t="s">
        <v>1978</v>
      </c>
      <c r="G114" s="157" t="s">
        <v>1979</v>
      </c>
      <c r="H114" s="158">
        <v>0.833</v>
      </c>
      <c r="I114" s="159">
        <f>H114*7+1.433*9</f>
        <v>18.728</v>
      </c>
      <c r="J114" s="168">
        <f>913.916/2</f>
        <v>456.958</v>
      </c>
      <c r="K114" s="158">
        <f>(1+1.3*7+1.3*(1.133+1.149+1.164+1.179++1.195+1.21+1.225+1.241)+1.3*17*1.241+1.241)/34</f>
        <v>1.503291176</v>
      </c>
      <c r="L114" s="118">
        <v>1.22</v>
      </c>
      <c r="M114" s="158">
        <v>1.25</v>
      </c>
      <c r="N114" s="118">
        <v>1.3</v>
      </c>
      <c r="O114" s="118"/>
      <c r="P114" s="161">
        <f t="shared" si="47"/>
        <v>1361.860393</v>
      </c>
      <c r="Q114" s="162">
        <v>5269682.717130624</v>
      </c>
      <c r="R114" s="162">
        <v>142032.3086930792</v>
      </c>
      <c r="S114" s="162">
        <f t="shared" si="46"/>
        <v>46303.25335</v>
      </c>
      <c r="T114" s="162">
        <f t="shared" si="5"/>
        <v>2472.407804</v>
      </c>
      <c r="U114" s="164">
        <f t="shared" si="41"/>
        <v>0.4507391059</v>
      </c>
      <c r="V114" s="163">
        <f t="shared" si="42"/>
        <v>0.8929582608</v>
      </c>
    </row>
    <row r="115" ht="37.5" customHeight="1">
      <c r="A115" s="50" t="s">
        <v>1980</v>
      </c>
      <c r="B115" s="117" t="s">
        <v>1859</v>
      </c>
      <c r="C115" s="117" t="s">
        <v>1103</v>
      </c>
      <c r="D115" s="167"/>
      <c r="E115" s="49" t="s">
        <v>1757</v>
      </c>
      <c r="F115" s="50"/>
      <c r="G115" s="157" t="s">
        <v>582</v>
      </c>
      <c r="H115" s="118">
        <v>0.067</v>
      </c>
      <c r="I115" s="159" t="s">
        <v>582</v>
      </c>
      <c r="J115" s="168">
        <v>72.639</v>
      </c>
      <c r="K115" s="118"/>
      <c r="L115" s="118">
        <v>1.22</v>
      </c>
      <c r="M115" s="158">
        <v>1.25</v>
      </c>
      <c r="N115" s="118">
        <v>1.3</v>
      </c>
      <c r="O115" s="158">
        <v>1.15</v>
      </c>
      <c r="P115" s="161">
        <f t="shared" si="47"/>
        <v>165.6078401</v>
      </c>
      <c r="Q115" s="162"/>
      <c r="R115" s="162"/>
      <c r="S115" s="162" t="str">
        <f t="shared" si="46"/>
        <v>INF</v>
      </c>
      <c r="T115" s="162">
        <f t="shared" si="5"/>
        <v>2471.758808</v>
      </c>
      <c r="U115" s="164" t="str">
        <f t="shared" si="41"/>
        <v>N/A</v>
      </c>
      <c r="V115" s="163" t="str">
        <f t="shared" si="42"/>
        <v>N/A</v>
      </c>
    </row>
    <row r="116" ht="37.5" customHeight="1">
      <c r="A116" s="50" t="s">
        <v>1981</v>
      </c>
      <c r="B116" s="117" t="s">
        <v>1771</v>
      </c>
      <c r="C116" s="117" t="s">
        <v>1772</v>
      </c>
      <c r="D116" s="167"/>
      <c r="E116" s="111">
        <v>19.0</v>
      </c>
      <c r="F116" s="50"/>
      <c r="G116" s="165" t="s">
        <v>1982</v>
      </c>
      <c r="H116" s="118">
        <v>1.116</v>
      </c>
      <c r="I116" s="159">
        <f>H116*(E116-1)</f>
        <v>20.088</v>
      </c>
      <c r="J116" s="160">
        <v>1230.518</v>
      </c>
      <c r="K116" s="118"/>
      <c r="L116" s="118">
        <v>1.135</v>
      </c>
      <c r="M116" s="158">
        <v>1.25</v>
      </c>
      <c r="N116" s="118">
        <v>1.3</v>
      </c>
      <c r="O116" s="158">
        <v>1.15</v>
      </c>
      <c r="P116" s="161">
        <f t="shared" si="47"/>
        <v>2609.967132</v>
      </c>
      <c r="Q116" s="162">
        <v>3218712.126236281</v>
      </c>
      <c r="R116" s="162">
        <v>120172.94378122313</v>
      </c>
      <c r="S116" s="162">
        <f t="shared" si="46"/>
        <v>49589.3755</v>
      </c>
      <c r="T116" s="162">
        <f t="shared" si="5"/>
        <v>2468.606905</v>
      </c>
      <c r="U116" s="164">
        <f t="shared" si="41"/>
        <v>0.7903231492</v>
      </c>
      <c r="V116" s="163">
        <f t="shared" si="42"/>
        <v>1.053764199</v>
      </c>
    </row>
    <row r="117" ht="37.5" customHeight="1">
      <c r="A117" s="50" t="s">
        <v>1000</v>
      </c>
      <c r="B117" s="117" t="s">
        <v>1751</v>
      </c>
      <c r="C117" s="117" t="s">
        <v>1761</v>
      </c>
      <c r="D117" s="167"/>
      <c r="E117" s="111">
        <v>14.0</v>
      </c>
      <c r="F117" s="117" t="s">
        <v>1983</v>
      </c>
      <c r="G117" s="165" t="s">
        <v>1984</v>
      </c>
      <c r="H117" s="118">
        <v>1.283</v>
      </c>
      <c r="I117" s="159">
        <f>H117*(E117-5)+2.167*4</f>
        <v>20.215</v>
      </c>
      <c r="J117" s="160">
        <v>1629.71</v>
      </c>
      <c r="K117" s="118"/>
      <c r="L117" s="118">
        <v>1.22</v>
      </c>
      <c r="M117" s="158">
        <v>1.25</v>
      </c>
      <c r="N117" s="118">
        <v>1.3</v>
      </c>
      <c r="O117" s="158">
        <v>1.1</v>
      </c>
      <c r="P117" s="161">
        <f t="shared" si="47"/>
        <v>3553.990083</v>
      </c>
      <c r="Q117" s="162">
        <v>2505848.6390009834</v>
      </c>
      <c r="R117" s="162">
        <v>139508.33086521452</v>
      </c>
      <c r="S117" s="162">
        <f t="shared" si="46"/>
        <v>49755.86116</v>
      </c>
      <c r="T117" s="162">
        <f t="shared" si="5"/>
        <v>2461.33372</v>
      </c>
      <c r="U117" s="164">
        <f t="shared" si="41"/>
        <v>1.018562335</v>
      </c>
      <c r="V117" s="163">
        <f t="shared" si="42"/>
        <v>0.9050416355</v>
      </c>
    </row>
    <row r="118" ht="37.5" customHeight="1">
      <c r="A118" s="50" t="s">
        <v>1985</v>
      </c>
      <c r="B118" s="117" t="s">
        <v>1771</v>
      </c>
      <c r="C118" s="117" t="s">
        <v>1777</v>
      </c>
      <c r="D118" s="167"/>
      <c r="E118" s="111">
        <v>20.0</v>
      </c>
      <c r="F118" s="50"/>
      <c r="G118" s="165" t="s">
        <v>1787</v>
      </c>
      <c r="H118" s="118">
        <v>3.2</v>
      </c>
      <c r="I118" s="159">
        <f>H118*5</f>
        <v>16</v>
      </c>
      <c r="J118" s="160">
        <f>(5*3197.353+1259.252)/6</f>
        <v>2874.336167</v>
      </c>
      <c r="K118" s="118"/>
      <c r="L118" s="118">
        <v>1.22</v>
      </c>
      <c r="M118" s="158">
        <v>1.25</v>
      </c>
      <c r="N118" s="118">
        <v>1.3</v>
      </c>
      <c r="O118" s="158">
        <v>1.15</v>
      </c>
      <c r="P118" s="161">
        <f t="shared" si="47"/>
        <v>6553.127168</v>
      </c>
      <c r="Q118" s="162">
        <v>2197053.3322043605</v>
      </c>
      <c r="R118" s="162">
        <v>98082.73804483752</v>
      </c>
      <c r="S118" s="162">
        <f>IFERROR(P118*6,"INF")</f>
        <v>39318.76301</v>
      </c>
      <c r="T118" s="162">
        <f t="shared" si="5"/>
        <v>2457.422688</v>
      </c>
      <c r="U118" s="164">
        <f t="shared" si="41"/>
        <v>0.918031212</v>
      </c>
      <c r="V118" s="163">
        <f t="shared" si="42"/>
        <v>1.285243697</v>
      </c>
    </row>
    <row r="119" ht="37.5" customHeight="1">
      <c r="A119" s="50" t="s">
        <v>1986</v>
      </c>
      <c r="B119" s="117" t="s">
        <v>1771</v>
      </c>
      <c r="C119" s="117" t="s">
        <v>1863</v>
      </c>
      <c r="D119" s="167"/>
      <c r="E119" s="111">
        <v>35.0</v>
      </c>
      <c r="F119" s="50"/>
      <c r="G119" s="165" t="s">
        <v>1753</v>
      </c>
      <c r="H119" s="118">
        <v>0.65</v>
      </c>
      <c r="I119" s="159">
        <f t="shared" ref="I119:I120" si="48">H119*(E119-1)</f>
        <v>22.1</v>
      </c>
      <c r="J119" s="168">
        <v>676.674</v>
      </c>
      <c r="K119" s="118"/>
      <c r="L119" s="118">
        <v>1.22</v>
      </c>
      <c r="M119" s="158">
        <v>1.25</v>
      </c>
      <c r="N119" s="118">
        <v>1.3</v>
      </c>
      <c r="O119" s="158">
        <v>1.15</v>
      </c>
      <c r="P119" s="161">
        <f t="shared" si="47"/>
        <v>1542.732136</v>
      </c>
      <c r="Q119" s="162">
        <v>2599047.47141273</v>
      </c>
      <c r="R119" s="162">
        <v>102526.52747190256</v>
      </c>
      <c r="S119" s="162">
        <f t="shared" ref="S119:S121" si="49">IFERROR(P119*E119,"INF")</f>
        <v>53995.62475</v>
      </c>
      <c r="T119" s="162">
        <f t="shared" si="5"/>
        <v>2443.240939</v>
      </c>
      <c r="U119" s="164">
        <f t="shared" si="41"/>
        <v>1.065718632</v>
      </c>
      <c r="V119" s="163">
        <f t="shared" si="42"/>
        <v>1.22244196</v>
      </c>
    </row>
    <row r="120" ht="37.5" customHeight="1">
      <c r="A120" s="50" t="s">
        <v>1987</v>
      </c>
      <c r="B120" s="117" t="s">
        <v>1771</v>
      </c>
      <c r="C120" s="117" t="s">
        <v>1988</v>
      </c>
      <c r="D120" s="167"/>
      <c r="E120" s="49">
        <v>17.0</v>
      </c>
      <c r="F120" s="117" t="s">
        <v>1989</v>
      </c>
      <c r="G120" s="157" t="s">
        <v>1823</v>
      </c>
      <c r="H120" s="118">
        <v>1.5</v>
      </c>
      <c r="I120" s="159">
        <f t="shared" si="48"/>
        <v>24</v>
      </c>
      <c r="J120" s="160">
        <v>1574.727</v>
      </c>
      <c r="K120" s="166"/>
      <c r="L120" s="118">
        <v>1.22</v>
      </c>
      <c r="M120" s="158">
        <v>1.25</v>
      </c>
      <c r="N120" s="118">
        <v>1.3</v>
      </c>
      <c r="O120" s="158">
        <v>1.1</v>
      </c>
      <c r="P120" s="161">
        <f t="shared" si="47"/>
        <v>3434.085905</v>
      </c>
      <c r="Q120" s="162">
        <v>2459225.8706891104</v>
      </c>
      <c r="R120" s="162">
        <v>103642.35800274402</v>
      </c>
      <c r="S120" s="162">
        <f t="shared" si="49"/>
        <v>58379.46039</v>
      </c>
      <c r="T120" s="162">
        <f t="shared" si="5"/>
        <v>2432.477516</v>
      </c>
      <c r="U120" s="164">
        <f t="shared" si="41"/>
        <v>1.217754821</v>
      </c>
      <c r="V120" s="163">
        <f t="shared" si="42"/>
        <v>1.2039536</v>
      </c>
    </row>
    <row r="121" ht="37.5" customHeight="1">
      <c r="A121" s="50" t="s">
        <v>1990</v>
      </c>
      <c r="B121" s="117" t="s">
        <v>1771</v>
      </c>
      <c r="C121" s="117" t="s">
        <v>1777</v>
      </c>
      <c r="D121" s="167"/>
      <c r="E121" s="111">
        <v>46.0</v>
      </c>
      <c r="F121" s="50" t="s">
        <v>1991</v>
      </c>
      <c r="G121" s="157" t="s">
        <v>1992</v>
      </c>
      <c r="H121" s="118">
        <v>0.65</v>
      </c>
      <c r="I121" s="159">
        <f>H121*(E121-5)+1.817*4</f>
        <v>33.918</v>
      </c>
      <c r="J121" s="160">
        <f>564.934</f>
        <v>564.934</v>
      </c>
      <c r="K121" s="118">
        <f>1.2*1.159</f>
        <v>1.3908</v>
      </c>
      <c r="L121" s="118">
        <v>1.22</v>
      </c>
      <c r="M121" s="158">
        <v>1.25</v>
      </c>
      <c r="N121" s="118">
        <v>1.3</v>
      </c>
      <c r="O121" s="158">
        <v>1.15</v>
      </c>
      <c r="P121" s="161">
        <f t="shared" si="47"/>
        <v>1791.321059</v>
      </c>
      <c r="Q121" s="162">
        <v>4068056.6126199793</v>
      </c>
      <c r="R121" s="162">
        <v>107863.09459419273</v>
      </c>
      <c r="S121" s="162">
        <f t="shared" si="49"/>
        <v>82400.7687</v>
      </c>
      <c r="T121" s="162">
        <f t="shared" si="5"/>
        <v>2429.411189</v>
      </c>
      <c r="U121" s="164">
        <f t="shared" si="41"/>
        <v>1.039064423</v>
      </c>
      <c r="V121" s="163">
        <f t="shared" si="42"/>
        <v>1.155384006</v>
      </c>
    </row>
    <row r="122" ht="37.5" customHeight="1">
      <c r="A122" s="170" t="s">
        <v>1993</v>
      </c>
      <c r="B122" s="170" t="s">
        <v>1771</v>
      </c>
      <c r="C122" s="170" t="s">
        <v>1779</v>
      </c>
      <c r="D122" s="180"/>
      <c r="E122" s="130">
        <v>63.0</v>
      </c>
      <c r="F122" s="169"/>
      <c r="G122" s="171" t="s">
        <v>1894</v>
      </c>
      <c r="H122" s="172">
        <v>3.0</v>
      </c>
      <c r="I122" s="173">
        <f>H122*3*E122</f>
        <v>567</v>
      </c>
      <c r="J122" s="174">
        <v>3172.923</v>
      </c>
      <c r="K122" s="175"/>
      <c r="L122" s="172">
        <v>1.22</v>
      </c>
      <c r="M122" s="172">
        <v>1.25</v>
      </c>
      <c r="N122" s="175">
        <v>1.3</v>
      </c>
      <c r="O122" s="172">
        <v>1.15</v>
      </c>
      <c r="P122" s="176">
        <f t="shared" si="47"/>
        <v>7233.867825</v>
      </c>
      <c r="Q122" s="177"/>
      <c r="R122" s="177"/>
      <c r="S122" s="162">
        <f>IFERROR(P122*E122*3,"INF")</f>
        <v>1367201.019</v>
      </c>
      <c r="T122" s="162">
        <f t="shared" si="5"/>
        <v>2411.289275</v>
      </c>
      <c r="U122" s="178"/>
      <c r="V122" s="179"/>
    </row>
    <row r="123" ht="37.5" customHeight="1">
      <c r="A123" s="50" t="s">
        <v>1994</v>
      </c>
      <c r="B123" s="117" t="s">
        <v>1751</v>
      </c>
      <c r="C123" s="117" t="s">
        <v>1805</v>
      </c>
      <c r="D123" s="167"/>
      <c r="E123" s="111">
        <v>18.0</v>
      </c>
      <c r="F123" s="50"/>
      <c r="G123" s="165" t="s">
        <v>1753</v>
      </c>
      <c r="H123" s="158">
        <v>2.167</v>
      </c>
      <c r="I123" s="159">
        <f>H123*(E123-1)</f>
        <v>36.839</v>
      </c>
      <c r="J123" s="160">
        <v>2031.837</v>
      </c>
      <c r="K123" s="118"/>
      <c r="L123" s="118">
        <v>1.22</v>
      </c>
      <c r="M123" s="158">
        <v>1.25</v>
      </c>
      <c r="N123" s="118">
        <v>1.3</v>
      </c>
      <c r="O123" s="158">
        <v>1.1</v>
      </c>
      <c r="P123" s="161">
        <f t="shared" si="47"/>
        <v>4430.928538</v>
      </c>
      <c r="Q123" s="162">
        <v>4339646.9025</v>
      </c>
      <c r="R123" s="162">
        <v>111255.88121058299</v>
      </c>
      <c r="S123" s="162">
        <f>IFERROR(P123*(E123+2),"INF")</f>
        <v>88618.57076</v>
      </c>
      <c r="T123" s="162">
        <f t="shared" si="5"/>
        <v>2405.563961</v>
      </c>
      <c r="U123" s="164">
        <f t="shared" ref="U123:U159" si="50">IFERROR(IF(ISBLANK(Q123),"N/A",(S123/Q123)*(104237/2032)),"N/A")</f>
        <v>1.047535011</v>
      </c>
      <c r="V123" s="163">
        <f t="shared" ref="V123:V159" si="51">IF(ISBLANK(R123),"N/A",(T123/R123)*(104237/2032))</f>
        <v>1.109154718</v>
      </c>
    </row>
    <row r="124" ht="37.5" customHeight="1">
      <c r="A124" s="50" t="s">
        <v>312</v>
      </c>
      <c r="B124" s="117" t="s">
        <v>1751</v>
      </c>
      <c r="C124" s="117" t="s">
        <v>1761</v>
      </c>
      <c r="D124" s="167"/>
      <c r="E124" s="111">
        <v>11.0</v>
      </c>
      <c r="F124" s="117" t="s">
        <v>1845</v>
      </c>
      <c r="G124" s="165" t="s">
        <v>1982</v>
      </c>
      <c r="H124" s="118">
        <v>1.267</v>
      </c>
      <c r="I124" s="159">
        <f>H124*(E124-6)+2.183*5</f>
        <v>17.25</v>
      </c>
      <c r="J124" s="160">
        <v>1715.846</v>
      </c>
      <c r="K124" s="118"/>
      <c r="L124" s="118">
        <v>1.22</v>
      </c>
      <c r="M124" s="158">
        <v>1.25</v>
      </c>
      <c r="N124" s="118">
        <v>1.3</v>
      </c>
      <c r="O124" s="158">
        <v>1.1</v>
      </c>
      <c r="P124" s="161">
        <f t="shared" si="47"/>
        <v>3741.831165</v>
      </c>
      <c r="Q124" s="162">
        <v>2258763.1861319393</v>
      </c>
      <c r="R124" s="162">
        <v>148563.74547039854</v>
      </c>
      <c r="S124" s="162">
        <f t="shared" ref="S124:S125" si="52">IFERROR(P124*E124,"INF")</f>
        <v>41160.14281</v>
      </c>
      <c r="T124" s="162">
        <f t="shared" si="5"/>
        <v>2386.095235</v>
      </c>
      <c r="U124" s="164">
        <f t="shared" si="50"/>
        <v>0.9347691523</v>
      </c>
      <c r="V124" s="163">
        <f t="shared" si="51"/>
        <v>0.8238974024</v>
      </c>
    </row>
    <row r="125" ht="37.5" customHeight="1">
      <c r="A125" s="50" t="s">
        <v>943</v>
      </c>
      <c r="B125" s="117" t="s">
        <v>1751</v>
      </c>
      <c r="C125" s="117" t="s">
        <v>1898</v>
      </c>
      <c r="D125" s="167"/>
      <c r="E125" s="111">
        <v>29.0</v>
      </c>
      <c r="F125" s="117" t="s">
        <v>1995</v>
      </c>
      <c r="G125" s="157" t="s">
        <v>1996</v>
      </c>
      <c r="H125" s="118">
        <v>0.5</v>
      </c>
      <c r="I125" s="159">
        <f>H125*(E125-3)+2.817*2</f>
        <v>18.634</v>
      </c>
      <c r="J125" s="160">
        <v>701.14</v>
      </c>
      <c r="K125" s="118"/>
      <c r="L125" s="118">
        <v>1.22</v>
      </c>
      <c r="M125" s="158">
        <v>1.25</v>
      </c>
      <c r="N125" s="118">
        <v>1.3</v>
      </c>
      <c r="O125" s="158">
        <v>1.1</v>
      </c>
      <c r="P125" s="161">
        <f t="shared" si="47"/>
        <v>1529.011055</v>
      </c>
      <c r="Q125" s="162">
        <v>2400315.6139156935</v>
      </c>
      <c r="R125" s="162">
        <v>141195.03611268784</v>
      </c>
      <c r="S125" s="162">
        <f t="shared" si="52"/>
        <v>44341.3206</v>
      </c>
      <c r="T125" s="162">
        <f t="shared" si="5"/>
        <v>2379.592175</v>
      </c>
      <c r="U125" s="164">
        <f t="shared" si="50"/>
        <v>0.9476292844</v>
      </c>
      <c r="V125" s="163">
        <f t="shared" si="51"/>
        <v>0.8645324587</v>
      </c>
    </row>
    <row r="126" ht="37.5" customHeight="1">
      <c r="A126" s="50" t="s">
        <v>1997</v>
      </c>
      <c r="B126" s="117" t="s">
        <v>1751</v>
      </c>
      <c r="C126" s="117" t="s">
        <v>1779</v>
      </c>
      <c r="D126" s="156"/>
      <c r="E126" s="111">
        <v>68.0</v>
      </c>
      <c r="F126" s="50" t="s">
        <v>1998</v>
      </c>
      <c r="G126" s="165" t="s">
        <v>1999</v>
      </c>
      <c r="H126" s="118">
        <v>2.75</v>
      </c>
      <c r="I126" s="159">
        <f>H126*8+0.716</f>
        <v>22.716</v>
      </c>
      <c r="J126" s="160">
        <v>1877.93</v>
      </c>
      <c r="K126" s="118">
        <f>1.15*1.3</f>
        <v>1.495</v>
      </c>
      <c r="L126" s="118">
        <v>1.22</v>
      </c>
      <c r="M126" s="158">
        <v>1.25</v>
      </c>
      <c r="N126" s="118">
        <v>1.3</v>
      </c>
      <c r="O126" s="158">
        <v>1.1</v>
      </c>
      <c r="P126" s="161">
        <f t="shared" si="47"/>
        <v>6122.467292</v>
      </c>
      <c r="Q126" s="162">
        <v>3886130.3263740106</v>
      </c>
      <c r="R126" s="162">
        <v>152600.73534807234</v>
      </c>
      <c r="S126" s="162">
        <f>IFERROR(P126*8.645,"INF")</f>
        <v>52928.72974</v>
      </c>
      <c r="T126" s="162">
        <f t="shared" si="5"/>
        <v>2330.019798</v>
      </c>
      <c r="U126" s="164">
        <f t="shared" si="50"/>
        <v>0.6986703452</v>
      </c>
      <c r="V126" s="163">
        <f t="shared" si="51"/>
        <v>0.7832514092</v>
      </c>
    </row>
    <row r="127" ht="37.5" customHeight="1">
      <c r="A127" s="50" t="s">
        <v>2000</v>
      </c>
      <c r="B127" s="117" t="s">
        <v>1771</v>
      </c>
      <c r="C127" s="117" t="s">
        <v>1793</v>
      </c>
      <c r="D127" s="156"/>
      <c r="E127" s="111">
        <v>21.0</v>
      </c>
      <c r="F127" s="50" t="s">
        <v>2001</v>
      </c>
      <c r="G127" s="165" t="s">
        <v>1823</v>
      </c>
      <c r="H127" s="118">
        <v>1.433</v>
      </c>
      <c r="I127" s="159">
        <f>0.683+H127*(E127-6)+5*3.483</f>
        <v>39.593</v>
      </c>
      <c r="J127" s="160">
        <v>1304.656</v>
      </c>
      <c r="K127" s="118">
        <v>1.45</v>
      </c>
      <c r="L127" s="118">
        <v>1.22</v>
      </c>
      <c r="M127" s="158">
        <v>1.25</v>
      </c>
      <c r="N127" s="118">
        <v>1.3</v>
      </c>
      <c r="O127" s="158">
        <v>1.15</v>
      </c>
      <c r="P127" s="161">
        <f t="shared" si="47"/>
        <v>4312.956267</v>
      </c>
      <c r="Q127" s="162">
        <v>4326778.733587138</v>
      </c>
      <c r="R127" s="162">
        <v>119716.08470995346</v>
      </c>
      <c r="S127" s="162">
        <f t="shared" ref="S127:S142" si="53">IFERROR(P127*E127,"INF")</f>
        <v>90572.08161</v>
      </c>
      <c r="T127" s="162">
        <f t="shared" si="5"/>
        <v>2287.578148</v>
      </c>
      <c r="U127" s="164">
        <f t="shared" si="50"/>
        <v>1.073811035</v>
      </c>
      <c r="V127" s="163">
        <f t="shared" si="51"/>
        <v>0.9802156552</v>
      </c>
    </row>
    <row r="128" ht="37.5" customHeight="1">
      <c r="A128" s="50" t="s">
        <v>2002</v>
      </c>
      <c r="B128" s="117" t="s">
        <v>1859</v>
      </c>
      <c r="C128" s="117" t="s">
        <v>1103</v>
      </c>
      <c r="D128" s="167"/>
      <c r="E128" s="49" t="s">
        <v>1757</v>
      </c>
      <c r="F128" s="50"/>
      <c r="G128" s="165" t="s">
        <v>2003</v>
      </c>
      <c r="H128" s="118">
        <v>4.083</v>
      </c>
      <c r="I128" s="159" t="s">
        <v>582</v>
      </c>
      <c r="J128" s="168">
        <f>113.573*35</f>
        <v>3975.055</v>
      </c>
      <c r="K128" s="118"/>
      <c r="L128" s="118">
        <v>1.22</v>
      </c>
      <c r="M128" s="158">
        <v>1.25</v>
      </c>
      <c r="N128" s="118">
        <v>1.3</v>
      </c>
      <c r="O128" s="158">
        <v>1.15</v>
      </c>
      <c r="P128" s="161">
        <f t="shared" si="47"/>
        <v>9062.628518</v>
      </c>
      <c r="Q128" s="162" t="s">
        <v>1757</v>
      </c>
      <c r="R128" s="162">
        <v>86933.07656135195</v>
      </c>
      <c r="S128" s="162" t="str">
        <f t="shared" si="53"/>
        <v>INF</v>
      </c>
      <c r="T128" s="162">
        <f t="shared" si="5"/>
        <v>2219.600421</v>
      </c>
      <c r="U128" s="164" t="str">
        <f t="shared" si="50"/>
        <v>N/A</v>
      </c>
      <c r="V128" s="163">
        <f t="shared" si="51"/>
        <v>1.309748618</v>
      </c>
    </row>
    <row r="129" ht="37.5" customHeight="1">
      <c r="A129" s="50" t="s">
        <v>2004</v>
      </c>
      <c r="B129" s="117" t="s">
        <v>1771</v>
      </c>
      <c r="C129" s="117" t="s">
        <v>1772</v>
      </c>
      <c r="D129" s="167"/>
      <c r="E129" s="111">
        <v>18.0</v>
      </c>
      <c r="F129" s="117" t="s">
        <v>1967</v>
      </c>
      <c r="G129" s="165" t="s">
        <v>1968</v>
      </c>
      <c r="H129" s="158">
        <v>0.6915</v>
      </c>
      <c r="I129" s="159">
        <v>18.35</v>
      </c>
      <c r="J129" s="168">
        <v>655.941</v>
      </c>
      <c r="K129" s="118">
        <v>1.5</v>
      </c>
      <c r="L129" s="118">
        <v>1.22</v>
      </c>
      <c r="M129" s="158">
        <v>1.25</v>
      </c>
      <c r="N129" s="118">
        <v>1.3</v>
      </c>
      <c r="O129" s="158">
        <v>1.15</v>
      </c>
      <c r="P129" s="161">
        <f t="shared" si="47"/>
        <v>2243.195231</v>
      </c>
      <c r="Q129" s="162">
        <v>2260247.0565605573</v>
      </c>
      <c r="R129" s="162">
        <v>110633.72768284667</v>
      </c>
      <c r="S129" s="162">
        <f t="shared" si="53"/>
        <v>40377.51416</v>
      </c>
      <c r="T129" s="162">
        <f t="shared" si="5"/>
        <v>2200.409491</v>
      </c>
      <c r="U129" s="164">
        <f t="shared" si="50"/>
        <v>0.9163932166</v>
      </c>
      <c r="V129" s="163">
        <f t="shared" si="51"/>
        <v>1.020267761</v>
      </c>
    </row>
    <row r="130" ht="37.5" customHeight="1">
      <c r="A130" s="117" t="s">
        <v>2005</v>
      </c>
      <c r="B130" s="117" t="s">
        <v>1771</v>
      </c>
      <c r="C130" s="117" t="s">
        <v>1772</v>
      </c>
      <c r="D130" s="167"/>
      <c r="E130" s="111">
        <v>66.0</v>
      </c>
      <c r="F130" s="117" t="s">
        <v>2006</v>
      </c>
      <c r="G130" s="157" t="s">
        <v>2007</v>
      </c>
      <c r="H130" s="158">
        <v>0.833</v>
      </c>
      <c r="I130" s="159">
        <f>H130*(E130/2-3)+5.6*2</f>
        <v>36.19</v>
      </c>
      <c r="J130" s="168">
        <f>913.916/2</f>
        <v>456.958</v>
      </c>
      <c r="K130" s="158">
        <v>1.33</v>
      </c>
      <c r="L130" s="118">
        <v>1.22</v>
      </c>
      <c r="M130" s="158">
        <v>1.25</v>
      </c>
      <c r="N130" s="118">
        <v>1.3</v>
      </c>
      <c r="O130" s="118"/>
      <c r="P130" s="161">
        <f t="shared" si="47"/>
        <v>1204.872583</v>
      </c>
      <c r="Q130" s="162">
        <v>4411317.920802847</v>
      </c>
      <c r="R130" s="162">
        <v>125016.09479121596</v>
      </c>
      <c r="S130" s="162">
        <f t="shared" si="53"/>
        <v>79521.59045</v>
      </c>
      <c r="T130" s="162">
        <f t="shared" si="5"/>
        <v>2197.336017</v>
      </c>
      <c r="U130" s="164">
        <f t="shared" si="50"/>
        <v>0.9247298979</v>
      </c>
      <c r="V130" s="163">
        <f t="shared" si="51"/>
        <v>0.9016308145</v>
      </c>
    </row>
    <row r="131" ht="37.5" customHeight="1">
      <c r="A131" s="50" t="s">
        <v>2008</v>
      </c>
      <c r="B131" s="117" t="s">
        <v>1771</v>
      </c>
      <c r="C131" s="117" t="s">
        <v>1772</v>
      </c>
      <c r="D131" s="167"/>
      <c r="E131" s="111">
        <v>19.0</v>
      </c>
      <c r="F131" s="50"/>
      <c r="G131" s="157" t="s">
        <v>1963</v>
      </c>
      <c r="H131" s="118">
        <v>0.833</v>
      </c>
      <c r="I131" s="159">
        <f>H131*(E131-1)</f>
        <v>14.994</v>
      </c>
      <c r="J131" s="168">
        <v>655.941</v>
      </c>
      <c r="K131" s="118">
        <v>1.15</v>
      </c>
      <c r="L131" s="118">
        <v>1.22</v>
      </c>
      <c r="M131" s="158">
        <v>1.25</v>
      </c>
      <c r="N131" s="118">
        <v>1.3</v>
      </c>
      <c r="O131" s="158">
        <v>1.15</v>
      </c>
      <c r="P131" s="161">
        <f t="shared" si="47"/>
        <v>1719.78301</v>
      </c>
      <c r="Q131" s="162">
        <v>1981251.781146369</v>
      </c>
      <c r="R131" s="162">
        <v>103411.0225557894</v>
      </c>
      <c r="S131" s="162">
        <f t="shared" si="53"/>
        <v>32675.8772</v>
      </c>
      <c r="T131" s="162">
        <f t="shared" si="5"/>
        <v>2179.263519</v>
      </c>
      <c r="U131" s="164">
        <f t="shared" si="50"/>
        <v>0.8460300429</v>
      </c>
      <c r="V131" s="163">
        <f t="shared" si="51"/>
        <v>1.081038388</v>
      </c>
    </row>
    <row r="132" ht="37.5" customHeight="1">
      <c r="A132" s="50" t="s">
        <v>2009</v>
      </c>
      <c r="B132" s="50" t="s">
        <v>1859</v>
      </c>
      <c r="C132" s="50" t="s">
        <v>2010</v>
      </c>
      <c r="D132" s="156"/>
      <c r="E132" s="49" t="s">
        <v>1757</v>
      </c>
      <c r="F132" s="117" t="s">
        <v>2011</v>
      </c>
      <c r="G132" s="165" t="s">
        <v>582</v>
      </c>
      <c r="H132" s="118">
        <v>3.55</v>
      </c>
      <c r="I132" s="159" t="s">
        <v>582</v>
      </c>
      <c r="J132" s="160">
        <f>219.531*15</f>
        <v>3292.965</v>
      </c>
      <c r="K132" s="118"/>
      <c r="L132" s="118">
        <v>1.22</v>
      </c>
      <c r="M132" s="158">
        <v>1.25</v>
      </c>
      <c r="N132" s="118">
        <v>1.3</v>
      </c>
      <c r="O132" s="158">
        <v>1.15</v>
      </c>
      <c r="P132" s="161">
        <f t="shared" si="47"/>
        <v>7507.548579</v>
      </c>
      <c r="Q132" s="162" t="s">
        <v>1757</v>
      </c>
      <c r="R132" s="162">
        <v>95698.81081047971</v>
      </c>
      <c r="S132" s="162" t="str">
        <f t="shared" si="53"/>
        <v>INF</v>
      </c>
      <c r="T132" s="162">
        <f t="shared" si="5"/>
        <v>2114.802417</v>
      </c>
      <c r="U132" s="164" t="str">
        <f t="shared" si="50"/>
        <v>N/A</v>
      </c>
      <c r="V132" s="163">
        <f t="shared" si="51"/>
        <v>1.133604228</v>
      </c>
    </row>
    <row r="133" ht="37.5" customHeight="1">
      <c r="A133" s="50" t="s">
        <v>2012</v>
      </c>
      <c r="B133" s="117" t="s">
        <v>1771</v>
      </c>
      <c r="C133" s="117" t="s">
        <v>1793</v>
      </c>
      <c r="D133" s="156"/>
      <c r="E133" s="111">
        <v>22.0</v>
      </c>
      <c r="F133" s="50" t="s">
        <v>2013</v>
      </c>
      <c r="G133" s="165" t="s">
        <v>2014</v>
      </c>
      <c r="H133" s="158">
        <v>0.9</v>
      </c>
      <c r="I133" s="159">
        <f>0.467+H133*(E133-2)+1.733</f>
        <v>20.2</v>
      </c>
      <c r="J133" s="160">
        <v>708.702</v>
      </c>
      <c r="K133" s="118">
        <v>1.2</v>
      </c>
      <c r="L133" s="118">
        <v>1.22</v>
      </c>
      <c r="M133" s="158">
        <v>1.25</v>
      </c>
      <c r="N133" s="118">
        <v>1.3</v>
      </c>
      <c r="O133" s="158">
        <v>1.15</v>
      </c>
      <c r="P133" s="161">
        <f t="shared" si="47"/>
        <v>1938.902367</v>
      </c>
      <c r="Q133" s="162">
        <v>2309907.702137079</v>
      </c>
      <c r="R133" s="162">
        <v>98035.2984524692</v>
      </c>
      <c r="S133" s="162">
        <f t="shared" si="53"/>
        <v>42655.85207</v>
      </c>
      <c r="T133" s="162">
        <f t="shared" si="5"/>
        <v>2111.675845</v>
      </c>
      <c r="U133" s="164">
        <f t="shared" si="50"/>
        <v>0.9472883465</v>
      </c>
      <c r="V133" s="163">
        <f t="shared" si="51"/>
        <v>1.104950892</v>
      </c>
    </row>
    <row r="134" ht="37.5" customHeight="1">
      <c r="A134" s="50" t="s">
        <v>2015</v>
      </c>
      <c r="B134" s="117" t="s">
        <v>1771</v>
      </c>
      <c r="C134" s="117" t="s">
        <v>1793</v>
      </c>
      <c r="D134" s="167"/>
      <c r="E134" s="111">
        <v>22.0</v>
      </c>
      <c r="F134" s="50" t="s">
        <v>2016</v>
      </c>
      <c r="G134" s="165" t="s">
        <v>2017</v>
      </c>
      <c r="H134" s="118">
        <v>3.133</v>
      </c>
      <c r="I134" s="159">
        <f>0.666+H134*(E134-4)+4.567*3</f>
        <v>70.761</v>
      </c>
      <c r="J134" s="160">
        <f>3127.583/1.05</f>
        <v>2978.650476</v>
      </c>
      <c r="K134" s="166"/>
      <c r="L134" s="118">
        <v>1.22</v>
      </c>
      <c r="M134" s="158">
        <v>1.25</v>
      </c>
      <c r="N134" s="118">
        <v>1.3</v>
      </c>
      <c r="O134" s="158">
        <v>1.15</v>
      </c>
      <c r="P134" s="161">
        <f t="shared" si="47"/>
        <v>6790.950754</v>
      </c>
      <c r="Q134" s="162">
        <v>7608558.639149085</v>
      </c>
      <c r="R134" s="162">
        <v>92947.12419097575</v>
      </c>
      <c r="S134" s="162">
        <f t="shared" si="53"/>
        <v>149400.9166</v>
      </c>
      <c r="T134" s="162">
        <f t="shared" si="5"/>
        <v>2111.345467</v>
      </c>
      <c r="U134" s="164">
        <f t="shared" si="50"/>
        <v>1.007277354</v>
      </c>
      <c r="V134" s="163">
        <f t="shared" si="51"/>
        <v>1.165256524</v>
      </c>
    </row>
    <row r="135" ht="37.5" customHeight="1">
      <c r="A135" s="50" t="s">
        <v>2018</v>
      </c>
      <c r="B135" s="117" t="s">
        <v>1771</v>
      </c>
      <c r="C135" s="117" t="s">
        <v>1777</v>
      </c>
      <c r="D135" s="156"/>
      <c r="E135" s="111">
        <v>107.0</v>
      </c>
      <c r="F135" s="117" t="s">
        <v>1828</v>
      </c>
      <c r="G135" s="157" t="s">
        <v>2019</v>
      </c>
      <c r="H135" s="118">
        <v>0.833</v>
      </c>
      <c r="I135" s="159">
        <f>H135*(E135-6)+1.817*5</f>
        <v>93.218</v>
      </c>
      <c r="J135" s="160">
        <v>691.27</v>
      </c>
      <c r="K135" s="158">
        <f>1.159</f>
        <v>1.159</v>
      </c>
      <c r="L135" s="118">
        <v>1.22</v>
      </c>
      <c r="M135" s="158">
        <v>1.25</v>
      </c>
      <c r="N135" s="118">
        <v>1.3</v>
      </c>
      <c r="O135" s="158">
        <v>1.15</v>
      </c>
      <c r="P135" s="161">
        <f t="shared" si="47"/>
        <v>1826.594653</v>
      </c>
      <c r="Q135" s="162">
        <v>1.0616299917184724E7</v>
      </c>
      <c r="R135" s="162">
        <v>84964.3850915144</v>
      </c>
      <c r="S135" s="162">
        <f t="shared" si="53"/>
        <v>195445.6278</v>
      </c>
      <c r="T135" s="162">
        <f t="shared" si="5"/>
        <v>2096.65116</v>
      </c>
      <c r="U135" s="164">
        <f t="shared" si="50"/>
        <v>0.9443891318</v>
      </c>
      <c r="V135" s="163">
        <f t="shared" si="51"/>
        <v>1.265865198</v>
      </c>
    </row>
    <row r="136" ht="37.5" customHeight="1">
      <c r="A136" s="117" t="s">
        <v>2020</v>
      </c>
      <c r="B136" s="117" t="s">
        <v>1771</v>
      </c>
      <c r="C136" s="117" t="s">
        <v>1793</v>
      </c>
      <c r="D136" s="156"/>
      <c r="E136" s="111">
        <v>19.0</v>
      </c>
      <c r="F136" s="117" t="s">
        <v>2021</v>
      </c>
      <c r="G136" s="157" t="s">
        <v>2022</v>
      </c>
      <c r="H136" s="158">
        <v>1.08333</v>
      </c>
      <c r="I136" s="159">
        <f>H136*(E136-1)+0.6+1.757</f>
        <v>21.85694</v>
      </c>
      <c r="J136" s="168">
        <v>831.194</v>
      </c>
      <c r="K136" s="158">
        <f>(17*1.3+2*1)/19</f>
        <v>1.268421053</v>
      </c>
      <c r="L136" s="118">
        <v>1.22</v>
      </c>
      <c r="M136" s="158">
        <v>1.25</v>
      </c>
      <c r="N136" s="118">
        <v>1.3</v>
      </c>
      <c r="O136" s="158">
        <v>1.15</v>
      </c>
      <c r="P136" s="161">
        <f t="shared" si="47"/>
        <v>2403.68126</v>
      </c>
      <c r="Q136" s="162">
        <v>2941791.1087499997</v>
      </c>
      <c r="R136" s="162">
        <v>100629.0999777656</v>
      </c>
      <c r="S136" s="162">
        <f t="shared" si="53"/>
        <v>45669.94394</v>
      </c>
      <c r="T136" s="162">
        <f t="shared" si="5"/>
        <v>2089.493952</v>
      </c>
      <c r="U136" s="164">
        <f t="shared" si="50"/>
        <v>0.796373587</v>
      </c>
      <c r="V136" s="163">
        <f t="shared" si="51"/>
        <v>1.065162161</v>
      </c>
    </row>
    <row r="137" ht="37.5" customHeight="1">
      <c r="A137" s="117" t="s">
        <v>472</v>
      </c>
      <c r="B137" s="117" t="s">
        <v>1771</v>
      </c>
      <c r="C137" s="117" t="s">
        <v>1777</v>
      </c>
      <c r="D137" s="167"/>
      <c r="E137" s="111">
        <v>10.0</v>
      </c>
      <c r="F137" s="50"/>
      <c r="G137" s="157" t="s">
        <v>2023</v>
      </c>
      <c r="H137" s="158">
        <v>1.233</v>
      </c>
      <c r="I137" s="159">
        <f>H137*9</f>
        <v>11.097</v>
      </c>
      <c r="J137" s="168">
        <v>1016.191</v>
      </c>
      <c r="K137" s="118"/>
      <c r="L137" s="118">
        <v>1.22</v>
      </c>
      <c r="M137" s="158">
        <v>1.25</v>
      </c>
      <c r="N137" s="118">
        <v>1.3</v>
      </c>
      <c r="O137" s="158">
        <v>1.15</v>
      </c>
      <c r="P137" s="161">
        <f t="shared" si="47"/>
        <v>2316.788456</v>
      </c>
      <c r="Q137" s="162">
        <v>1033510.0992736325</v>
      </c>
      <c r="R137" s="162">
        <v>93134.1893551079</v>
      </c>
      <c r="S137" s="162">
        <f t="shared" si="53"/>
        <v>23167.88456</v>
      </c>
      <c r="T137" s="162">
        <f t="shared" si="5"/>
        <v>2087.761067</v>
      </c>
      <c r="U137" s="164">
        <f t="shared" si="50"/>
        <v>1.1499259</v>
      </c>
      <c r="V137" s="163">
        <f t="shared" si="51"/>
        <v>1.1499259</v>
      </c>
    </row>
    <row r="138" ht="37.5" customHeight="1">
      <c r="A138" s="50" t="s">
        <v>2024</v>
      </c>
      <c r="B138" s="117" t="s">
        <v>1751</v>
      </c>
      <c r="C138" s="117" t="s">
        <v>1898</v>
      </c>
      <c r="D138" s="167"/>
      <c r="E138" s="111">
        <v>1162.0</v>
      </c>
      <c r="F138" s="117" t="s">
        <v>2025</v>
      </c>
      <c r="G138" s="157" t="s">
        <v>2026</v>
      </c>
      <c r="H138" s="118">
        <v>0.067</v>
      </c>
      <c r="I138" s="159">
        <f>H138*(E138-7)+2.25*6</f>
        <v>90.885</v>
      </c>
      <c r="J138" s="160">
        <v>54.536</v>
      </c>
      <c r="K138" s="158">
        <v>1.3662</v>
      </c>
      <c r="L138" s="118">
        <v>1.22</v>
      </c>
      <c r="M138" s="158">
        <v>1.25</v>
      </c>
      <c r="N138" s="118">
        <v>1.3</v>
      </c>
      <c r="O138" s="158">
        <v>1.1</v>
      </c>
      <c r="P138" s="161">
        <f t="shared" si="47"/>
        <v>162.4813217</v>
      </c>
      <c r="Q138" s="162">
        <v>1.0836537748446826E7</v>
      </c>
      <c r="R138" s="162">
        <v>116779.32807206019</v>
      </c>
      <c r="S138" s="162">
        <f t="shared" si="53"/>
        <v>188803.2958</v>
      </c>
      <c r="T138" s="162">
        <f t="shared" si="5"/>
        <v>2077.386761</v>
      </c>
      <c r="U138" s="164">
        <f t="shared" si="50"/>
        <v>0.8937524042</v>
      </c>
      <c r="V138" s="163">
        <f t="shared" si="51"/>
        <v>0.9125351196</v>
      </c>
    </row>
    <row r="139" ht="37.5" customHeight="1">
      <c r="A139" s="50" t="s">
        <v>2027</v>
      </c>
      <c r="B139" s="117" t="s">
        <v>1771</v>
      </c>
      <c r="C139" s="117" t="s">
        <v>1793</v>
      </c>
      <c r="D139" s="167"/>
      <c r="E139" s="111">
        <v>22.0</v>
      </c>
      <c r="F139" s="50" t="s">
        <v>2028</v>
      </c>
      <c r="G139" s="157" t="s">
        <v>2029</v>
      </c>
      <c r="H139" s="118">
        <v>1.049</v>
      </c>
      <c r="I139" s="159">
        <f>0.6+H139*(E139-1)</f>
        <v>22.629</v>
      </c>
      <c r="J139" s="168">
        <v>779.029</v>
      </c>
      <c r="K139" s="118">
        <f>(1.2*21+1)/22</f>
        <v>1.190909091</v>
      </c>
      <c r="L139" s="118">
        <v>1.22</v>
      </c>
      <c r="M139" s="158">
        <v>1.25</v>
      </c>
      <c r="N139" s="118">
        <v>1.3</v>
      </c>
      <c r="O139" s="158">
        <v>1.15</v>
      </c>
      <c r="P139" s="161">
        <f t="shared" si="47"/>
        <v>2115.160228</v>
      </c>
      <c r="Q139" s="162">
        <v>2259563.9702999997</v>
      </c>
      <c r="R139" s="162">
        <v>87549.45834011391</v>
      </c>
      <c r="S139" s="162">
        <f t="shared" si="53"/>
        <v>46533.52502</v>
      </c>
      <c r="T139" s="162">
        <f t="shared" si="5"/>
        <v>2056.366831</v>
      </c>
      <c r="U139" s="164">
        <f t="shared" si="50"/>
        <v>1.056427047</v>
      </c>
      <c r="V139" s="163">
        <f t="shared" si="51"/>
        <v>1.204884248</v>
      </c>
    </row>
    <row r="140" ht="37.5" customHeight="1">
      <c r="A140" s="50" t="s">
        <v>2030</v>
      </c>
      <c r="B140" s="117" t="s">
        <v>1771</v>
      </c>
      <c r="C140" s="117" t="s">
        <v>1793</v>
      </c>
      <c r="D140" s="167"/>
      <c r="E140" s="111">
        <v>23.0</v>
      </c>
      <c r="F140" s="50" t="s">
        <v>2031</v>
      </c>
      <c r="G140" s="165" t="s">
        <v>2032</v>
      </c>
      <c r="H140" s="118">
        <v>1.35</v>
      </c>
      <c r="I140" s="159">
        <f>0.9+H140*(E140-2)+2.11</f>
        <v>31.36</v>
      </c>
      <c r="J140" s="168">
        <v>1021.759</v>
      </c>
      <c r="K140" s="118">
        <v>1.2</v>
      </c>
      <c r="L140" s="118">
        <v>1.22</v>
      </c>
      <c r="M140" s="158">
        <v>1.25</v>
      </c>
      <c r="N140" s="118">
        <v>1.3</v>
      </c>
      <c r="O140" s="158">
        <v>1.15</v>
      </c>
      <c r="P140" s="161">
        <f t="shared" si="47"/>
        <v>2795.37936</v>
      </c>
      <c r="Q140" s="162">
        <v>2908386.0400924347</v>
      </c>
      <c r="R140" s="162">
        <v>86090.22407993472</v>
      </c>
      <c r="S140" s="162">
        <f t="shared" si="53"/>
        <v>64293.72528</v>
      </c>
      <c r="T140" s="162">
        <f t="shared" si="5"/>
        <v>2050.182566</v>
      </c>
      <c r="U140" s="164">
        <f t="shared" si="50"/>
        <v>1.134004398</v>
      </c>
      <c r="V140" s="163">
        <f t="shared" si="51"/>
        <v>1.221622148</v>
      </c>
    </row>
    <row r="141" ht="37.5" customHeight="1">
      <c r="A141" s="50" t="s">
        <v>2033</v>
      </c>
      <c r="B141" s="117" t="s">
        <v>1751</v>
      </c>
      <c r="C141" s="117" t="s">
        <v>1805</v>
      </c>
      <c r="D141" s="167"/>
      <c r="E141" s="111">
        <v>25.0</v>
      </c>
      <c r="F141" s="117" t="s">
        <v>2034</v>
      </c>
      <c r="G141" s="157" t="s">
        <v>1925</v>
      </c>
      <c r="H141" s="118">
        <v>0.617</v>
      </c>
      <c r="I141" s="159">
        <f>H141*(E141-4)+2.117*3</f>
        <v>19.308</v>
      </c>
      <c r="J141" s="160">
        <v>720.681</v>
      </c>
      <c r="K141" s="118"/>
      <c r="L141" s="118">
        <v>1.22</v>
      </c>
      <c r="M141" s="158">
        <v>1.25</v>
      </c>
      <c r="N141" s="118">
        <v>1.3</v>
      </c>
      <c r="O141" s="158">
        <v>1.1</v>
      </c>
      <c r="P141" s="161">
        <f t="shared" si="47"/>
        <v>1571.625091</v>
      </c>
      <c r="Q141" s="162">
        <v>2198850.225</v>
      </c>
      <c r="R141" s="162">
        <v>119561.21064651187</v>
      </c>
      <c r="S141" s="162">
        <f t="shared" si="53"/>
        <v>39290.62727</v>
      </c>
      <c r="T141" s="162">
        <f t="shared" si="5"/>
        <v>2034.940298</v>
      </c>
      <c r="U141" s="164">
        <f t="shared" si="50"/>
        <v>0.9166246117</v>
      </c>
      <c r="V141" s="163">
        <f t="shared" si="51"/>
        <v>0.8730911142</v>
      </c>
    </row>
    <row r="142" ht="37.5" customHeight="1">
      <c r="A142" s="50" t="s">
        <v>2035</v>
      </c>
      <c r="B142" s="117" t="s">
        <v>1751</v>
      </c>
      <c r="C142" s="117" t="s">
        <v>1898</v>
      </c>
      <c r="D142" s="167"/>
      <c r="E142" s="111">
        <v>455.0</v>
      </c>
      <c r="F142" s="117" t="s">
        <v>2036</v>
      </c>
      <c r="G142" s="157" t="s">
        <v>2037</v>
      </c>
      <c r="H142" s="118">
        <v>0.1</v>
      </c>
      <c r="I142" s="159">
        <f>H142*(E142-3)+2.817*2</f>
        <v>50.834</v>
      </c>
      <c r="J142" s="160">
        <v>76.988</v>
      </c>
      <c r="K142" s="158">
        <f>(1.3948*273+1.2848*91*2)/455</f>
        <v>1.3508</v>
      </c>
      <c r="L142" s="118">
        <v>1.22</v>
      </c>
      <c r="M142" s="158">
        <v>1.25</v>
      </c>
      <c r="N142" s="118">
        <v>1.3</v>
      </c>
      <c r="O142" s="158">
        <v>1.1</v>
      </c>
      <c r="P142" s="161">
        <f t="shared" si="47"/>
        <v>226.7879476</v>
      </c>
      <c r="Q142" s="162">
        <v>6553259.251199085</v>
      </c>
      <c r="R142" s="162">
        <v>111260.76827163131</v>
      </c>
      <c r="S142" s="162">
        <f t="shared" si="53"/>
        <v>103188.5162</v>
      </c>
      <c r="T142" s="162">
        <f t="shared" si="5"/>
        <v>2029.911401</v>
      </c>
      <c r="U142" s="164">
        <f t="shared" si="50"/>
        <v>0.8077411682</v>
      </c>
      <c r="V142" s="163">
        <f t="shared" si="51"/>
        <v>0.9359081482</v>
      </c>
    </row>
    <row r="143" ht="37.5" customHeight="1">
      <c r="A143" s="50" t="s">
        <v>2038</v>
      </c>
      <c r="B143" s="117" t="s">
        <v>1751</v>
      </c>
      <c r="C143" s="117" t="s">
        <v>1779</v>
      </c>
      <c r="D143" s="156"/>
      <c r="E143" s="111">
        <v>68.0</v>
      </c>
      <c r="F143" s="50" t="s">
        <v>1939</v>
      </c>
      <c r="G143" s="165" t="s">
        <v>1999</v>
      </c>
      <c r="H143" s="118">
        <v>2.75</v>
      </c>
      <c r="I143" s="159">
        <f>H143*9+0.716</f>
        <v>25.466</v>
      </c>
      <c r="J143" s="160">
        <v>1877.93</v>
      </c>
      <c r="K143" s="158">
        <v>1.3</v>
      </c>
      <c r="L143" s="118">
        <v>1.22</v>
      </c>
      <c r="M143" s="158">
        <v>1.25</v>
      </c>
      <c r="N143" s="118">
        <v>1.3</v>
      </c>
      <c r="O143" s="158">
        <v>1.1</v>
      </c>
      <c r="P143" s="161">
        <f t="shared" si="47"/>
        <v>5323.884602</v>
      </c>
      <c r="Q143" s="162">
        <v>4260723.442450029</v>
      </c>
      <c r="R143" s="162">
        <v>140850.36173388525</v>
      </c>
      <c r="S143" s="162">
        <f>IFERROR(P143*9.645,"INF")</f>
        <v>51348.86698</v>
      </c>
      <c r="T143" s="162">
        <f t="shared" si="5"/>
        <v>2016.369551</v>
      </c>
      <c r="U143" s="164">
        <f t="shared" si="50"/>
        <v>0.6182237992</v>
      </c>
      <c r="V143" s="163">
        <f t="shared" si="51"/>
        <v>0.734362284</v>
      </c>
    </row>
    <row r="144" ht="37.5" customHeight="1">
      <c r="A144" s="50" t="s">
        <v>2039</v>
      </c>
      <c r="B144" s="117" t="s">
        <v>1859</v>
      </c>
      <c r="C144" s="117" t="s">
        <v>1103</v>
      </c>
      <c r="D144" s="167"/>
      <c r="E144" s="49" t="s">
        <v>1757</v>
      </c>
      <c r="F144" s="50"/>
      <c r="G144" s="157" t="s">
        <v>2003</v>
      </c>
      <c r="H144" s="118">
        <v>3.233</v>
      </c>
      <c r="I144" s="159" t="s">
        <v>582</v>
      </c>
      <c r="J144" s="168">
        <f>80.081*35</f>
        <v>2802.835</v>
      </c>
      <c r="K144" s="118"/>
      <c r="L144" s="118">
        <v>1.22</v>
      </c>
      <c r="M144" s="158">
        <v>1.25</v>
      </c>
      <c r="N144" s="118">
        <v>1.3</v>
      </c>
      <c r="O144" s="158">
        <v>1.15</v>
      </c>
      <c r="P144" s="161">
        <f t="shared" si="47"/>
        <v>6390.113446</v>
      </c>
      <c r="Q144" s="162"/>
      <c r="R144" s="162"/>
      <c r="S144" s="162" t="str">
        <f t="shared" ref="S144:S152" si="54">IFERROR(P144*E144,"INF")</f>
        <v>INF</v>
      </c>
      <c r="T144" s="162">
        <f t="shared" si="5"/>
        <v>1976.527512</v>
      </c>
      <c r="U144" s="164" t="str">
        <f t="shared" si="50"/>
        <v>N/A</v>
      </c>
      <c r="V144" s="163" t="str">
        <f t="shared" si="51"/>
        <v>N/A</v>
      </c>
    </row>
    <row r="145" ht="37.5" customHeight="1">
      <c r="A145" s="50" t="s">
        <v>2040</v>
      </c>
      <c r="B145" s="117" t="s">
        <v>1751</v>
      </c>
      <c r="C145" s="117" t="s">
        <v>1761</v>
      </c>
      <c r="D145" s="156"/>
      <c r="E145" s="111">
        <v>7.0</v>
      </c>
      <c r="F145" s="50"/>
      <c r="G145" s="157" t="s">
        <v>1753</v>
      </c>
      <c r="H145" s="118">
        <v>6.983</v>
      </c>
      <c r="I145" s="159">
        <f>H145*(E145-1)</f>
        <v>41.898</v>
      </c>
      <c r="J145" s="168">
        <v>5750.584</v>
      </c>
      <c r="K145" s="118"/>
      <c r="L145" s="118">
        <f>(1.1+1.17)/2</f>
        <v>1.135</v>
      </c>
      <c r="M145" s="158">
        <v>1.25</v>
      </c>
      <c r="N145" s="118">
        <v>1.3</v>
      </c>
      <c r="O145" s="158">
        <v>1.1</v>
      </c>
      <c r="P145" s="161">
        <f t="shared" si="47"/>
        <v>11666.8567</v>
      </c>
      <c r="Q145" s="162"/>
      <c r="R145" s="162"/>
      <c r="S145" s="162">
        <f t="shared" si="54"/>
        <v>81667.99691</v>
      </c>
      <c r="T145" s="162">
        <f t="shared" si="5"/>
        <v>1949.209912</v>
      </c>
      <c r="U145" s="164" t="str">
        <f t="shared" si="50"/>
        <v>N/A</v>
      </c>
      <c r="V145" s="163" t="str">
        <f t="shared" si="51"/>
        <v>N/A</v>
      </c>
    </row>
    <row r="146" ht="37.5" customHeight="1">
      <c r="A146" s="50" t="s">
        <v>2041</v>
      </c>
      <c r="B146" s="117" t="s">
        <v>1859</v>
      </c>
      <c r="C146" s="117" t="s">
        <v>1103</v>
      </c>
      <c r="D146" s="167"/>
      <c r="E146" s="49" t="s">
        <v>1757</v>
      </c>
      <c r="F146" s="50"/>
      <c r="G146" s="157" t="s">
        <v>2042</v>
      </c>
      <c r="H146" s="118">
        <v>6.5</v>
      </c>
      <c r="I146" s="159" t="s">
        <v>582</v>
      </c>
      <c r="J146" s="168">
        <f>66.62*83</f>
        <v>5529.46</v>
      </c>
      <c r="K146" s="118"/>
      <c r="L146" s="118">
        <v>1.22</v>
      </c>
      <c r="M146" s="158">
        <v>1.25</v>
      </c>
      <c r="N146" s="118">
        <v>1.3</v>
      </c>
      <c r="O146" s="158">
        <v>1.15</v>
      </c>
      <c r="P146" s="161">
        <f t="shared" si="47"/>
        <v>12606.47762</v>
      </c>
      <c r="Q146" s="162"/>
      <c r="R146" s="162"/>
      <c r="S146" s="162" t="str">
        <f t="shared" si="54"/>
        <v>INF</v>
      </c>
      <c r="T146" s="162">
        <f t="shared" si="5"/>
        <v>1939.458095</v>
      </c>
      <c r="U146" s="164" t="str">
        <f t="shared" si="50"/>
        <v>N/A</v>
      </c>
      <c r="V146" s="163" t="str">
        <f t="shared" si="51"/>
        <v>N/A</v>
      </c>
    </row>
    <row r="147" ht="37.5" customHeight="1">
      <c r="A147" s="50" t="s">
        <v>2043</v>
      </c>
      <c r="B147" s="117" t="s">
        <v>1771</v>
      </c>
      <c r="C147" s="117" t="s">
        <v>1879</v>
      </c>
      <c r="D147" s="167"/>
      <c r="E147" s="111">
        <v>225.0</v>
      </c>
      <c r="F147" s="50" t="s">
        <v>1880</v>
      </c>
      <c r="G147" s="157" t="s">
        <v>1881</v>
      </c>
      <c r="H147" s="118">
        <v>0.267</v>
      </c>
      <c r="I147" s="159">
        <f>H147*(E147-9)+1.017*8</f>
        <v>65.808</v>
      </c>
      <c r="J147" s="168">
        <v>248.744</v>
      </c>
      <c r="K147" s="118"/>
      <c r="L147" s="118">
        <v>1.22</v>
      </c>
      <c r="M147" s="158">
        <v>1.25</v>
      </c>
      <c r="N147" s="118">
        <v>1.3</v>
      </c>
      <c r="O147" s="158">
        <v>1.15</v>
      </c>
      <c r="P147" s="161">
        <f t="shared" si="47"/>
        <v>567.105227</v>
      </c>
      <c r="Q147" s="162">
        <v>6665401.783612651</v>
      </c>
      <c r="R147" s="162">
        <v>83491.81145156328</v>
      </c>
      <c r="S147" s="162">
        <f t="shared" si="54"/>
        <v>127598.6761</v>
      </c>
      <c r="T147" s="162">
        <f t="shared" si="5"/>
        <v>1938.953867</v>
      </c>
      <c r="U147" s="164">
        <f t="shared" si="50"/>
        <v>0.9820148042</v>
      </c>
      <c r="V147" s="163">
        <f t="shared" si="51"/>
        <v>1.191301785</v>
      </c>
    </row>
    <row r="148" ht="37.5" customHeight="1">
      <c r="A148" s="50" t="s">
        <v>2044</v>
      </c>
      <c r="B148" s="50" t="s">
        <v>1859</v>
      </c>
      <c r="C148" s="50" t="s">
        <v>2045</v>
      </c>
      <c r="D148" s="167"/>
      <c r="E148" s="49" t="s">
        <v>1757</v>
      </c>
      <c r="F148" s="50"/>
      <c r="G148" s="165" t="s">
        <v>582</v>
      </c>
      <c r="H148" s="118">
        <v>0.233</v>
      </c>
      <c r="I148" s="159" t="s">
        <v>582</v>
      </c>
      <c r="J148" s="160">
        <v>196.464</v>
      </c>
      <c r="K148" s="118"/>
      <c r="L148" s="118">
        <v>1.22</v>
      </c>
      <c r="M148" s="158">
        <v>1.25</v>
      </c>
      <c r="N148" s="118">
        <v>1.3</v>
      </c>
      <c r="O148" s="158">
        <v>1.15</v>
      </c>
      <c r="P148" s="161">
        <f t="shared" si="47"/>
        <v>447.913362</v>
      </c>
      <c r="Q148" s="162" t="s">
        <v>1757</v>
      </c>
      <c r="R148" s="162">
        <v>80083.77875778593</v>
      </c>
      <c r="S148" s="162" t="str">
        <f t="shared" si="54"/>
        <v>INF</v>
      </c>
      <c r="T148" s="162">
        <f t="shared" si="5"/>
        <v>1922.374944</v>
      </c>
      <c r="U148" s="164" t="str">
        <f t="shared" si="50"/>
        <v>N/A</v>
      </c>
      <c r="V148" s="163">
        <f t="shared" si="51"/>
        <v>1.231378993</v>
      </c>
    </row>
    <row r="149" ht="37.5" customHeight="1">
      <c r="A149" s="50" t="s">
        <v>2046</v>
      </c>
      <c r="B149" s="117" t="s">
        <v>1751</v>
      </c>
      <c r="C149" s="117" t="s">
        <v>1898</v>
      </c>
      <c r="D149" s="167"/>
      <c r="E149" s="111">
        <v>747.0</v>
      </c>
      <c r="F149" s="117" t="s">
        <v>2047</v>
      </c>
      <c r="G149" s="157" t="s">
        <v>2048</v>
      </c>
      <c r="H149" s="118">
        <v>0.133</v>
      </c>
      <c r="I149" s="159">
        <f>H149*(E149-6)+2.75*5</f>
        <v>112.303</v>
      </c>
      <c r="J149" s="168">
        <v>95.421</v>
      </c>
      <c r="K149" s="158">
        <v>1.3652</v>
      </c>
      <c r="L149" s="118">
        <v>1.22</v>
      </c>
      <c r="M149" s="158">
        <v>1.25</v>
      </c>
      <c r="N149" s="118">
        <v>1.3</v>
      </c>
      <c r="O149" s="158">
        <v>1.1</v>
      </c>
      <c r="P149" s="161">
        <f t="shared" si="47"/>
        <v>284.0835748</v>
      </c>
      <c r="Q149" s="162">
        <v>1.2910721977881916E7</v>
      </c>
      <c r="R149" s="162">
        <v>102614.26805291703</v>
      </c>
      <c r="S149" s="162">
        <f t="shared" si="54"/>
        <v>212210.4304</v>
      </c>
      <c r="T149" s="162">
        <f t="shared" si="5"/>
        <v>1889.623878</v>
      </c>
      <c r="U149" s="164">
        <f t="shared" si="50"/>
        <v>0.8431685463</v>
      </c>
      <c r="V149" s="163">
        <f t="shared" si="51"/>
        <v>0.9446388801</v>
      </c>
    </row>
    <row r="150" ht="37.5" customHeight="1">
      <c r="A150" s="50" t="s">
        <v>2049</v>
      </c>
      <c r="B150" s="117" t="s">
        <v>1771</v>
      </c>
      <c r="C150" s="117" t="s">
        <v>1793</v>
      </c>
      <c r="D150" s="156"/>
      <c r="E150" s="111">
        <v>23.0</v>
      </c>
      <c r="F150" s="50" t="s">
        <v>2050</v>
      </c>
      <c r="G150" s="157" t="s">
        <v>2051</v>
      </c>
      <c r="H150" s="118">
        <f>1.25*0.9</f>
        <v>1.125</v>
      </c>
      <c r="I150" s="159">
        <f>0.7+H150*(E150-3)+2*2.092</f>
        <v>27.384</v>
      </c>
      <c r="J150" s="168">
        <v>807.796</v>
      </c>
      <c r="K150" s="118">
        <v>1.2</v>
      </c>
      <c r="L150" s="118">
        <v>1.22</v>
      </c>
      <c r="M150" s="158">
        <v>1.25</v>
      </c>
      <c r="N150" s="118">
        <v>1.3</v>
      </c>
      <c r="O150" s="158">
        <v>1.15</v>
      </c>
      <c r="P150" s="161">
        <f t="shared" si="47"/>
        <v>2210.008687</v>
      </c>
      <c r="Q150" s="162">
        <v>2548088.3171249996</v>
      </c>
      <c r="R150" s="162">
        <v>78988.44716590717</v>
      </c>
      <c r="S150" s="162">
        <f t="shared" si="54"/>
        <v>50830.19979</v>
      </c>
      <c r="T150" s="162">
        <f t="shared" si="5"/>
        <v>1856.200694</v>
      </c>
      <c r="U150" s="164">
        <f t="shared" si="50"/>
        <v>1.023306046</v>
      </c>
      <c r="V150" s="163">
        <f t="shared" si="51"/>
        <v>1.205478737</v>
      </c>
    </row>
    <row r="151" ht="37.5" customHeight="1">
      <c r="A151" s="50" t="s">
        <v>1092</v>
      </c>
      <c r="B151" s="117" t="s">
        <v>1771</v>
      </c>
      <c r="C151" s="117" t="s">
        <v>2010</v>
      </c>
      <c r="D151" s="167"/>
      <c r="E151" s="111">
        <v>70.0</v>
      </c>
      <c r="F151" s="117" t="s">
        <v>2052</v>
      </c>
      <c r="G151" s="165" t="s">
        <v>2053</v>
      </c>
      <c r="H151" s="118">
        <v>0.283</v>
      </c>
      <c r="I151" s="159">
        <f>H151*(E151-6)+1.333*5</f>
        <v>24.777</v>
      </c>
      <c r="J151" s="160">
        <v>283.627</v>
      </c>
      <c r="K151" s="118"/>
      <c r="L151" s="118">
        <v>1.22</v>
      </c>
      <c r="M151" s="158">
        <v>1.25</v>
      </c>
      <c r="N151" s="118">
        <v>1.3</v>
      </c>
      <c r="O151" s="158">
        <v>1.15</v>
      </c>
      <c r="P151" s="161">
        <f t="shared" si="47"/>
        <v>646.6341066</v>
      </c>
      <c r="Q151" s="162">
        <v>2530191.323117431</v>
      </c>
      <c r="R151" s="162">
        <v>90889.83846244094</v>
      </c>
      <c r="S151" s="162">
        <f t="shared" si="54"/>
        <v>45264.38746</v>
      </c>
      <c r="T151" s="162">
        <f t="shared" si="5"/>
        <v>1826.87119</v>
      </c>
      <c r="U151" s="164">
        <f t="shared" si="50"/>
        <v>0.9177015932</v>
      </c>
      <c r="V151" s="163">
        <f t="shared" si="51"/>
        <v>1.031076278</v>
      </c>
    </row>
    <row r="152" ht="37.5" customHeight="1">
      <c r="A152" s="50" t="s">
        <v>2054</v>
      </c>
      <c r="B152" s="117" t="s">
        <v>1751</v>
      </c>
      <c r="C152" s="117" t="s">
        <v>1761</v>
      </c>
      <c r="D152" s="167"/>
      <c r="E152" s="49">
        <v>8.0</v>
      </c>
      <c r="F152" s="50"/>
      <c r="G152" s="165" t="s">
        <v>1753</v>
      </c>
      <c r="H152" s="158">
        <v>3.117</v>
      </c>
      <c r="I152" s="159">
        <f>H152*(E152-1)</f>
        <v>21.819</v>
      </c>
      <c r="J152" s="160">
        <v>2275.829</v>
      </c>
      <c r="K152" s="118"/>
      <c r="L152" s="118">
        <v>1.22</v>
      </c>
      <c r="M152" s="158">
        <v>1.25</v>
      </c>
      <c r="N152" s="118">
        <v>1.3</v>
      </c>
      <c r="O152" s="158">
        <v>1.1</v>
      </c>
      <c r="P152" s="161">
        <f t="shared" si="47"/>
        <v>4963.014092</v>
      </c>
      <c r="Q152" s="162">
        <v>1771320.7616896108</v>
      </c>
      <c r="R152" s="162">
        <v>81182.49056737755</v>
      </c>
      <c r="S152" s="162">
        <f t="shared" si="54"/>
        <v>39704.11273</v>
      </c>
      <c r="T152" s="162">
        <f t="shared" si="5"/>
        <v>1819.703595</v>
      </c>
      <c r="U152" s="164">
        <f t="shared" si="50"/>
        <v>1.149837537</v>
      </c>
      <c r="V152" s="163">
        <f t="shared" si="51"/>
        <v>1.149837537</v>
      </c>
    </row>
    <row r="153" ht="37.5" customHeight="1">
      <c r="A153" s="50" t="s">
        <v>2055</v>
      </c>
      <c r="B153" s="117" t="s">
        <v>1771</v>
      </c>
      <c r="C153" s="117" t="s">
        <v>1942</v>
      </c>
      <c r="D153" s="167"/>
      <c r="E153" s="111">
        <v>520.0</v>
      </c>
      <c r="F153" s="50"/>
      <c r="G153" s="157" t="s">
        <v>2056</v>
      </c>
      <c r="H153" s="118">
        <v>0.067</v>
      </c>
      <c r="I153" s="159">
        <f>H153*E153-1</f>
        <v>33.84</v>
      </c>
      <c r="J153" s="160">
        <v>27.242</v>
      </c>
      <c r="K153" s="118">
        <v>1.45</v>
      </c>
      <c r="L153" s="118">
        <v>1.22</v>
      </c>
      <c r="M153" s="158">
        <v>1.25</v>
      </c>
      <c r="N153" s="118">
        <v>1.3</v>
      </c>
      <c r="O153" s="158">
        <v>1.15</v>
      </c>
      <c r="P153" s="161">
        <f t="shared" si="47"/>
        <v>90.05711439</v>
      </c>
      <c r="Q153" s="162">
        <v>2701208.411303063</v>
      </c>
      <c r="R153" s="162">
        <v>60257.169878269444</v>
      </c>
      <c r="S153" s="162">
        <f>IFERROR(P153/1.45*1.285*104+P153*580,"INF")</f>
        <v>60533.28687</v>
      </c>
      <c r="T153" s="162">
        <f t="shared" si="5"/>
        <v>1788.808714</v>
      </c>
      <c r="U153" s="164">
        <f t="shared" si="50"/>
        <v>1.149567197</v>
      </c>
      <c r="V153" s="163">
        <f t="shared" si="51"/>
        <v>1.52283683</v>
      </c>
    </row>
    <row r="154" ht="37.5" customHeight="1">
      <c r="A154" s="50" t="s">
        <v>2057</v>
      </c>
      <c r="B154" s="117" t="s">
        <v>1771</v>
      </c>
      <c r="C154" s="117" t="s">
        <v>1863</v>
      </c>
      <c r="D154" s="167"/>
      <c r="E154" s="111">
        <v>20.0</v>
      </c>
      <c r="F154" s="50"/>
      <c r="G154" s="157" t="s">
        <v>2058</v>
      </c>
      <c r="H154" s="118">
        <v>0.667</v>
      </c>
      <c r="I154" s="159">
        <f>H154+1.5*(E154-2)</f>
        <v>27.667</v>
      </c>
      <c r="J154" s="160">
        <v>800.505</v>
      </c>
      <c r="K154" s="158">
        <v>1.35</v>
      </c>
      <c r="L154" s="118">
        <v>1.22</v>
      </c>
      <c r="M154" s="158">
        <v>1.25</v>
      </c>
      <c r="N154" s="118">
        <v>1.3</v>
      </c>
      <c r="O154" s="158">
        <v>1.15</v>
      </c>
      <c r="P154" s="161">
        <f t="shared" si="47"/>
        <v>2463.819305</v>
      </c>
      <c r="Q154" s="162">
        <v>2313323.459722404</v>
      </c>
      <c r="R154" s="162">
        <v>67377.04490366411</v>
      </c>
      <c r="S154" s="162">
        <f t="shared" ref="S154:S197" si="55">IFERROR(P154*E154,"INF")</f>
        <v>49276.3861</v>
      </c>
      <c r="T154" s="162">
        <f t="shared" si="5"/>
        <v>1781.052738</v>
      </c>
      <c r="U154" s="164">
        <f t="shared" si="50"/>
        <v>1.092699357</v>
      </c>
      <c r="V154" s="163">
        <f t="shared" si="51"/>
        <v>1.356010399</v>
      </c>
    </row>
    <row r="155" ht="37.5" customHeight="1">
      <c r="A155" s="50" t="s">
        <v>2059</v>
      </c>
      <c r="B155" s="117" t="s">
        <v>1751</v>
      </c>
      <c r="C155" s="117" t="s">
        <v>1898</v>
      </c>
      <c r="D155" s="167"/>
      <c r="E155" s="111">
        <v>755.0</v>
      </c>
      <c r="F155" s="117" t="s">
        <v>2060</v>
      </c>
      <c r="G155" s="157" t="s">
        <v>2061</v>
      </c>
      <c r="H155" s="118">
        <v>0.167</v>
      </c>
      <c r="I155" s="159">
        <f>H155*(E155-7)+2.8*6</f>
        <v>141.716</v>
      </c>
      <c r="J155" s="168">
        <v>112.26</v>
      </c>
      <c r="K155" s="158">
        <v>1.3636</v>
      </c>
      <c r="L155" s="118">
        <v>1.22</v>
      </c>
      <c r="M155" s="158">
        <v>1.25</v>
      </c>
      <c r="N155" s="118">
        <v>1.3</v>
      </c>
      <c r="O155" s="158">
        <v>1.1</v>
      </c>
      <c r="P155" s="161">
        <f t="shared" si="47"/>
        <v>333.8242728</v>
      </c>
      <c r="Q155" s="162">
        <v>1.1558925109770015E7</v>
      </c>
      <c r="R155" s="162">
        <v>95733.22326111274</v>
      </c>
      <c r="S155" s="162">
        <f t="shared" si="55"/>
        <v>252037.326</v>
      </c>
      <c r="T155" s="162">
        <f t="shared" si="5"/>
        <v>1778.467681</v>
      </c>
      <c r="U155" s="164">
        <f t="shared" si="50"/>
        <v>1.118524789</v>
      </c>
      <c r="V155" s="163">
        <f t="shared" si="51"/>
        <v>0.9529749746</v>
      </c>
    </row>
    <row r="156" ht="37.5" customHeight="1">
      <c r="A156" s="50" t="s">
        <v>911</v>
      </c>
      <c r="B156" s="117" t="s">
        <v>1771</v>
      </c>
      <c r="C156" s="117" t="s">
        <v>1841</v>
      </c>
      <c r="D156" s="167"/>
      <c r="E156" s="111">
        <v>22.0</v>
      </c>
      <c r="F156" s="50" t="s">
        <v>2062</v>
      </c>
      <c r="G156" s="157" t="s">
        <v>2017</v>
      </c>
      <c r="H156" s="118">
        <v>1.05</v>
      </c>
      <c r="I156" s="159">
        <f>0.533+H156*(E156-4)+1.733*3</f>
        <v>24.632</v>
      </c>
      <c r="J156" s="168">
        <v>847.644</v>
      </c>
      <c r="K156" s="118"/>
      <c r="L156" s="118">
        <v>1.22</v>
      </c>
      <c r="M156" s="158">
        <v>1.25</v>
      </c>
      <c r="N156" s="118">
        <v>1.3</v>
      </c>
      <c r="O156" s="158">
        <v>1.15</v>
      </c>
      <c r="P156" s="161">
        <f t="shared" si="47"/>
        <v>1932.522365</v>
      </c>
      <c r="Q156" s="162">
        <v>2329409.745</v>
      </c>
      <c r="R156" s="162">
        <v>81172.58755270585</v>
      </c>
      <c r="S156" s="162">
        <f t="shared" si="55"/>
        <v>42515.49202</v>
      </c>
      <c r="T156" s="162">
        <f t="shared" si="5"/>
        <v>1726.026795</v>
      </c>
      <c r="U156" s="164">
        <f t="shared" si="50"/>
        <v>0.9362665798</v>
      </c>
      <c r="V156" s="163">
        <f t="shared" si="51"/>
        <v>1.090777933</v>
      </c>
    </row>
    <row r="157" ht="37.5" customHeight="1">
      <c r="A157" s="117" t="s">
        <v>773</v>
      </c>
      <c r="B157" s="117" t="s">
        <v>1771</v>
      </c>
      <c r="C157" s="117" t="s">
        <v>1793</v>
      </c>
      <c r="D157" s="156"/>
      <c r="E157" s="111">
        <v>19.0</v>
      </c>
      <c r="F157" s="117" t="s">
        <v>2063</v>
      </c>
      <c r="G157" s="157" t="s">
        <v>2064</v>
      </c>
      <c r="H157" s="158">
        <v>1.356</v>
      </c>
      <c r="I157" s="159">
        <f>0.817+H157*(E157-3)+2.133*2</f>
        <v>26.779</v>
      </c>
      <c r="J157" s="168">
        <v>1034.684</v>
      </c>
      <c r="K157" s="158"/>
      <c r="L157" s="118">
        <v>1.22</v>
      </c>
      <c r="M157" s="158">
        <v>1.25</v>
      </c>
      <c r="N157" s="118">
        <v>1.3</v>
      </c>
      <c r="O157" s="158">
        <v>1.15</v>
      </c>
      <c r="P157" s="161">
        <f t="shared" si="47"/>
        <v>2358.950185</v>
      </c>
      <c r="Q157" s="162">
        <v>2302265.3410181347</v>
      </c>
      <c r="R157" s="162">
        <v>69907.54990490191</v>
      </c>
      <c r="S157" s="162">
        <f t="shared" si="55"/>
        <v>44820.05351</v>
      </c>
      <c r="T157" s="162">
        <f t="shared" si="5"/>
        <v>1673.701539</v>
      </c>
      <c r="U157" s="164">
        <f t="shared" si="50"/>
        <v>0.9986543432</v>
      </c>
      <c r="V157" s="163">
        <f t="shared" si="51"/>
        <v>1.22815204</v>
      </c>
    </row>
    <row r="158" ht="37.5" customHeight="1">
      <c r="A158" s="50" t="s">
        <v>2065</v>
      </c>
      <c r="B158" s="117" t="s">
        <v>1771</v>
      </c>
      <c r="C158" s="117" t="s">
        <v>1863</v>
      </c>
      <c r="D158" s="156"/>
      <c r="E158" s="111">
        <v>20.0</v>
      </c>
      <c r="F158" s="50"/>
      <c r="G158" s="165" t="s">
        <v>2066</v>
      </c>
      <c r="H158" s="118">
        <v>0.667</v>
      </c>
      <c r="I158" s="159">
        <f>H158*2+1.5*(E158-3)</f>
        <v>26.834</v>
      </c>
      <c r="J158" s="160">
        <v>783.868</v>
      </c>
      <c r="K158" s="118">
        <f>(1.3*17+1*3)/20</f>
        <v>1.255</v>
      </c>
      <c r="L158" s="118">
        <v>1.22</v>
      </c>
      <c r="M158" s="158">
        <v>1.25</v>
      </c>
      <c r="N158" s="118">
        <v>1.3</v>
      </c>
      <c r="O158" s="158">
        <v>1.15</v>
      </c>
      <c r="P158" s="161">
        <f t="shared" si="47"/>
        <v>2242.836926</v>
      </c>
      <c r="Q158" s="162">
        <v>2558309.7666038657</v>
      </c>
      <c r="R158" s="162">
        <v>74512.42985390183</v>
      </c>
      <c r="S158" s="162">
        <f t="shared" si="55"/>
        <v>44856.73852</v>
      </c>
      <c r="T158" s="162">
        <f t="shared" si="5"/>
        <v>1671.638165</v>
      </c>
      <c r="U158" s="164">
        <f t="shared" si="50"/>
        <v>0.8994411741</v>
      </c>
      <c r="V158" s="163">
        <f t="shared" si="51"/>
        <v>1.15083153</v>
      </c>
    </row>
    <row r="159" ht="37.5" customHeight="1">
      <c r="A159" s="50" t="s">
        <v>2067</v>
      </c>
      <c r="B159" s="117" t="s">
        <v>1751</v>
      </c>
      <c r="C159" s="117" t="s">
        <v>1761</v>
      </c>
      <c r="D159" s="167"/>
      <c r="E159" s="111">
        <v>11.0</v>
      </c>
      <c r="F159" s="50"/>
      <c r="G159" s="165" t="s">
        <v>1753</v>
      </c>
      <c r="H159" s="158">
        <v>5.1</v>
      </c>
      <c r="I159" s="159">
        <f>H159*(E159-1)</f>
        <v>51</v>
      </c>
      <c r="J159" s="160">
        <v>3539.585</v>
      </c>
      <c r="K159" s="118"/>
      <c r="L159" s="118">
        <v>1.22</v>
      </c>
      <c r="M159" s="158">
        <v>1.25</v>
      </c>
      <c r="N159" s="118">
        <v>1.3</v>
      </c>
      <c r="O159" s="158">
        <v>1.1</v>
      </c>
      <c r="P159" s="161">
        <f t="shared" si="47"/>
        <v>7718.949989</v>
      </c>
      <c r="Q159" s="162"/>
      <c r="R159" s="162"/>
      <c r="S159" s="162">
        <f t="shared" si="55"/>
        <v>84908.44988</v>
      </c>
      <c r="T159" s="162">
        <f t="shared" si="5"/>
        <v>1664.871566</v>
      </c>
      <c r="U159" s="164" t="str">
        <f t="shared" si="50"/>
        <v>N/A</v>
      </c>
      <c r="V159" s="163" t="str">
        <f t="shared" si="51"/>
        <v>N/A</v>
      </c>
    </row>
    <row r="160" ht="37.5" customHeight="1">
      <c r="A160" s="170" t="s">
        <v>2068</v>
      </c>
      <c r="B160" s="170" t="s">
        <v>1771</v>
      </c>
      <c r="C160" s="170" t="s">
        <v>1752</v>
      </c>
      <c r="D160" s="180"/>
      <c r="E160" s="130">
        <v>20.0</v>
      </c>
      <c r="F160" s="169"/>
      <c r="G160" s="171" t="s">
        <v>1816</v>
      </c>
      <c r="H160" s="172">
        <v>1.35</v>
      </c>
      <c r="I160" s="185">
        <f>8.717*3+1.35*4</f>
        <v>31.551</v>
      </c>
      <c r="J160" s="174">
        <v>1134.4171392564585</v>
      </c>
      <c r="K160" s="175"/>
      <c r="L160" s="175">
        <v>1.22</v>
      </c>
      <c r="M160" s="172">
        <v>1.25</v>
      </c>
      <c r="N160" s="175">
        <v>1.3</v>
      </c>
      <c r="O160" s="172">
        <v>1.15</v>
      </c>
      <c r="P160" s="176">
        <f t="shared" si="47"/>
        <v>2586.329275</v>
      </c>
      <c r="Q160" s="177"/>
      <c r="R160" s="177"/>
      <c r="S160" s="177">
        <f t="shared" si="55"/>
        <v>51726.58551</v>
      </c>
      <c r="T160" s="162">
        <f t="shared" si="5"/>
        <v>1639.459463</v>
      </c>
      <c r="U160" s="178"/>
      <c r="V160" s="179"/>
    </row>
    <row r="161" ht="37.5" customHeight="1">
      <c r="A161" s="50" t="s">
        <v>2069</v>
      </c>
      <c r="B161" s="50" t="s">
        <v>1859</v>
      </c>
      <c r="C161" s="50" t="s">
        <v>1103</v>
      </c>
      <c r="D161" s="167"/>
      <c r="E161" s="49" t="s">
        <v>1757</v>
      </c>
      <c r="F161" s="50"/>
      <c r="G161" s="165" t="s">
        <v>582</v>
      </c>
      <c r="H161" s="118">
        <v>3.95</v>
      </c>
      <c r="I161" s="159" t="s">
        <v>582</v>
      </c>
      <c r="J161" s="160">
        <f>93.644*30</f>
        <v>2809.32</v>
      </c>
      <c r="K161" s="118"/>
      <c r="L161" s="118">
        <v>1.22</v>
      </c>
      <c r="M161" s="158">
        <v>1.25</v>
      </c>
      <c r="N161" s="118">
        <v>1.3</v>
      </c>
      <c r="O161" s="158">
        <v>1.15</v>
      </c>
      <c r="P161" s="161">
        <f t="shared" si="47"/>
        <v>6404.898435</v>
      </c>
      <c r="Q161" s="162"/>
      <c r="R161" s="162"/>
      <c r="S161" s="162" t="str">
        <f t="shared" si="55"/>
        <v>INF</v>
      </c>
      <c r="T161" s="162">
        <f t="shared" si="5"/>
        <v>1621.493275</v>
      </c>
      <c r="U161" s="164" t="str">
        <f t="shared" ref="U161:U166" si="56">IFERROR(IF(ISBLANK(Q161),"N/A",(S161/Q161)*(104237/2032)),"N/A")</f>
        <v>N/A</v>
      </c>
      <c r="V161" s="163" t="str">
        <f t="shared" ref="V161:V166" si="57">IF(ISBLANK(R161),"N/A",(T161/R161)*(104237/2032))</f>
        <v>N/A</v>
      </c>
    </row>
    <row r="162" ht="37.5" customHeight="1">
      <c r="A162" s="50" t="s">
        <v>2070</v>
      </c>
      <c r="B162" s="117" t="s">
        <v>1771</v>
      </c>
      <c r="C162" s="117" t="s">
        <v>1988</v>
      </c>
      <c r="D162" s="167"/>
      <c r="E162" s="111">
        <v>33.0</v>
      </c>
      <c r="F162" s="50" t="s">
        <v>2071</v>
      </c>
      <c r="G162" s="157" t="s">
        <v>2072</v>
      </c>
      <c r="H162" s="118">
        <v>0.714</v>
      </c>
      <c r="I162" s="159">
        <f>H162*(E162-5)+1.183*4</f>
        <v>24.724</v>
      </c>
      <c r="J162" s="160">
        <v>361.841</v>
      </c>
      <c r="K162" s="158">
        <f>(2*15+1*18)/33</f>
        <v>1.454545455</v>
      </c>
      <c r="L162" s="118">
        <v>1.22</v>
      </c>
      <c r="M162" s="158">
        <v>1.25</v>
      </c>
      <c r="N162" s="118">
        <v>1.3</v>
      </c>
      <c r="O162" s="158">
        <v>1.15</v>
      </c>
      <c r="P162" s="161">
        <f t="shared" si="47"/>
        <v>1199.930545</v>
      </c>
      <c r="Q162" s="162"/>
      <c r="R162" s="162"/>
      <c r="S162" s="162">
        <f t="shared" si="55"/>
        <v>39597.70799</v>
      </c>
      <c r="T162" s="162">
        <f t="shared" si="5"/>
        <v>1601.589872</v>
      </c>
      <c r="U162" s="164" t="str">
        <f t="shared" si="56"/>
        <v>N/A</v>
      </c>
      <c r="V162" s="163" t="str">
        <f t="shared" si="57"/>
        <v>N/A</v>
      </c>
    </row>
    <row r="163" ht="37.5" customHeight="1">
      <c r="A163" s="50" t="s">
        <v>2073</v>
      </c>
      <c r="B163" s="50" t="s">
        <v>1859</v>
      </c>
      <c r="C163" s="50" t="s">
        <v>1752</v>
      </c>
      <c r="D163" s="167"/>
      <c r="E163" s="49" t="s">
        <v>1757</v>
      </c>
      <c r="F163" s="50"/>
      <c r="G163" s="165" t="s">
        <v>582</v>
      </c>
      <c r="H163" s="158">
        <v>1.783</v>
      </c>
      <c r="I163" s="159" t="s">
        <v>582</v>
      </c>
      <c r="J163" s="160">
        <f>355.113*2+99.823*5</f>
        <v>1209.341</v>
      </c>
      <c r="K163" s="118"/>
      <c r="L163" s="118">
        <v>1.22</v>
      </c>
      <c r="M163" s="158">
        <v>1.25</v>
      </c>
      <c r="N163" s="118">
        <v>1.3</v>
      </c>
      <c r="O163" s="158">
        <v>1.15</v>
      </c>
      <c r="P163" s="161">
        <f t="shared" si="47"/>
        <v>2757.146312</v>
      </c>
      <c r="Q163" s="162"/>
      <c r="R163" s="162"/>
      <c r="S163" s="162" t="str">
        <f t="shared" si="55"/>
        <v>INF</v>
      </c>
      <c r="T163" s="162">
        <f t="shared" si="5"/>
        <v>1546.352391</v>
      </c>
      <c r="U163" s="164" t="str">
        <f t="shared" si="56"/>
        <v>N/A</v>
      </c>
      <c r="V163" s="163" t="str">
        <f t="shared" si="57"/>
        <v>N/A</v>
      </c>
    </row>
    <row r="164" ht="37.5" customHeight="1">
      <c r="A164" s="50" t="s">
        <v>2074</v>
      </c>
      <c r="B164" s="117" t="s">
        <v>1771</v>
      </c>
      <c r="C164" s="117" t="s">
        <v>1988</v>
      </c>
      <c r="D164" s="167"/>
      <c r="E164" s="111">
        <v>29.0</v>
      </c>
      <c r="F164" s="50"/>
      <c r="G164" s="157" t="s">
        <v>2075</v>
      </c>
      <c r="H164" s="118">
        <v>2.917</v>
      </c>
      <c r="I164" s="159">
        <v>28.3</v>
      </c>
      <c r="J164" s="160">
        <f>((1300.613+388.355*6)*4+1300.613+388.355*5+1300.613)/29</f>
        <v>657.4473448</v>
      </c>
      <c r="K164" s="118"/>
      <c r="L164" s="118">
        <v>1.22</v>
      </c>
      <c r="M164" s="158">
        <v>1.25</v>
      </c>
      <c r="N164" s="118">
        <v>1.3</v>
      </c>
      <c r="O164" s="158">
        <v>1.15</v>
      </c>
      <c r="P164" s="161">
        <f t="shared" si="47"/>
        <v>1498.897765</v>
      </c>
      <c r="Q164" s="162">
        <v>3363105.684035</v>
      </c>
      <c r="R164" s="162">
        <v>65273.87155318984</v>
      </c>
      <c r="S164" s="162">
        <f t="shared" si="55"/>
        <v>43468.03519</v>
      </c>
      <c r="T164" s="162">
        <f t="shared" si="5"/>
        <v>1535.972975</v>
      </c>
      <c r="U164" s="164">
        <f t="shared" si="56"/>
        <v>0.6630216273</v>
      </c>
      <c r="V164" s="163">
        <f t="shared" si="57"/>
        <v>1.207097643</v>
      </c>
    </row>
    <row r="165" ht="37.5" customHeight="1">
      <c r="A165" s="50" t="s">
        <v>2076</v>
      </c>
      <c r="B165" s="117" t="s">
        <v>1771</v>
      </c>
      <c r="C165" s="117" t="s">
        <v>1988</v>
      </c>
      <c r="D165" s="167"/>
      <c r="E165" s="111">
        <v>32.0</v>
      </c>
      <c r="F165" s="117" t="s">
        <v>2077</v>
      </c>
      <c r="G165" s="157" t="s">
        <v>2078</v>
      </c>
      <c r="H165" s="118">
        <v>0.714</v>
      </c>
      <c r="I165" s="159">
        <f>H165*(E165-5)+1.083*4</f>
        <v>23.61</v>
      </c>
      <c r="J165" s="168">
        <v>493.48</v>
      </c>
      <c r="K165" s="166"/>
      <c r="L165" s="118">
        <v>1.22</v>
      </c>
      <c r="M165" s="158">
        <v>1.25</v>
      </c>
      <c r="N165" s="118">
        <v>1.3</v>
      </c>
      <c r="O165" s="158">
        <v>1.15</v>
      </c>
      <c r="P165" s="161">
        <f t="shared" si="47"/>
        <v>1125.072715</v>
      </c>
      <c r="Q165" s="162"/>
      <c r="R165" s="162"/>
      <c r="S165" s="162">
        <f t="shared" si="55"/>
        <v>36002.32688</v>
      </c>
      <c r="T165" s="162">
        <f t="shared" si="5"/>
        <v>1524.876191</v>
      </c>
      <c r="U165" s="164" t="str">
        <f t="shared" si="56"/>
        <v>N/A</v>
      </c>
      <c r="V165" s="163" t="str">
        <f t="shared" si="57"/>
        <v>N/A</v>
      </c>
    </row>
    <row r="166" ht="37.5" customHeight="1">
      <c r="A166" s="50" t="s">
        <v>328</v>
      </c>
      <c r="B166" s="117" t="s">
        <v>1751</v>
      </c>
      <c r="C166" s="117" t="s">
        <v>1772</v>
      </c>
      <c r="D166" s="167"/>
      <c r="E166" s="111">
        <v>18.0</v>
      </c>
      <c r="F166" s="117" t="s">
        <v>2079</v>
      </c>
      <c r="G166" s="157" t="s">
        <v>1871</v>
      </c>
      <c r="H166" s="118">
        <v>0.733</v>
      </c>
      <c r="I166" s="159">
        <f>H166*(E166-3)+1.583*2</f>
        <v>14.161</v>
      </c>
      <c r="J166" s="160">
        <v>548.544</v>
      </c>
      <c r="K166" s="118"/>
      <c r="L166" s="118">
        <v>1.22</v>
      </c>
      <c r="M166" s="158">
        <v>1.25</v>
      </c>
      <c r="N166" s="118">
        <v>1.3</v>
      </c>
      <c r="O166" s="158">
        <v>1.1</v>
      </c>
      <c r="P166" s="161">
        <f t="shared" si="47"/>
        <v>1196.237328</v>
      </c>
      <c r="Q166" s="162">
        <v>778473.270774308</v>
      </c>
      <c r="R166" s="162">
        <v>48274.41837866228</v>
      </c>
      <c r="S166" s="162">
        <f t="shared" si="55"/>
        <v>21532.2719</v>
      </c>
      <c r="T166" s="162">
        <f t="shared" si="5"/>
        <v>1520.533289</v>
      </c>
      <c r="U166" s="164">
        <f t="shared" si="56"/>
        <v>1.418875697</v>
      </c>
      <c r="V166" s="163">
        <f t="shared" si="57"/>
        <v>1.615760856</v>
      </c>
    </row>
    <row r="167" ht="37.5" customHeight="1">
      <c r="A167" s="170" t="s">
        <v>2080</v>
      </c>
      <c r="B167" s="170" t="s">
        <v>1771</v>
      </c>
      <c r="C167" s="170" t="s">
        <v>1752</v>
      </c>
      <c r="D167" s="180"/>
      <c r="E167" s="130">
        <v>20.0</v>
      </c>
      <c r="F167" s="169"/>
      <c r="G167" s="171" t="s">
        <v>2081</v>
      </c>
      <c r="H167" s="172">
        <v>1.083</v>
      </c>
      <c r="I167" s="185">
        <f>10.7*2+1.083</f>
        <v>22.483</v>
      </c>
      <c r="J167" s="174">
        <v>738.8603834728598</v>
      </c>
      <c r="K167" s="175"/>
      <c r="L167" s="175">
        <v>1.22</v>
      </c>
      <c r="M167" s="172">
        <v>1.25</v>
      </c>
      <c r="N167" s="175">
        <v>1.3</v>
      </c>
      <c r="O167" s="172">
        <v>1.15</v>
      </c>
      <c r="P167" s="176">
        <f t="shared" si="47"/>
        <v>1684.509317</v>
      </c>
      <c r="Q167" s="177"/>
      <c r="R167" s="177"/>
      <c r="S167" s="177">
        <f t="shared" si="55"/>
        <v>33690.18634</v>
      </c>
      <c r="T167" s="162">
        <f t="shared" si="5"/>
        <v>1498.473795</v>
      </c>
      <c r="U167" s="178"/>
      <c r="V167" s="179"/>
    </row>
    <row r="168" ht="37.5" customHeight="1">
      <c r="A168" s="170" t="s">
        <v>2082</v>
      </c>
      <c r="B168" s="170" t="s">
        <v>1771</v>
      </c>
      <c r="C168" s="170" t="s">
        <v>1752</v>
      </c>
      <c r="D168" s="180"/>
      <c r="E168" s="130">
        <v>20.0</v>
      </c>
      <c r="F168" s="169"/>
      <c r="G168" s="171" t="s">
        <v>1791</v>
      </c>
      <c r="H168" s="172">
        <v>2.0</v>
      </c>
      <c r="I168" s="173">
        <f>8.033*6+2</f>
        <v>50.198</v>
      </c>
      <c r="J168" s="174">
        <v>1646.617</v>
      </c>
      <c r="K168" s="175"/>
      <c r="L168" s="175">
        <v>1.22</v>
      </c>
      <c r="M168" s="172">
        <v>1.25</v>
      </c>
      <c r="N168" s="175">
        <v>1.3</v>
      </c>
      <c r="O168" s="172">
        <v>1.15</v>
      </c>
      <c r="P168" s="176">
        <f t="shared" si="47"/>
        <v>3754.080933</v>
      </c>
      <c r="Q168" s="177"/>
      <c r="R168" s="177"/>
      <c r="S168" s="177">
        <f t="shared" si="55"/>
        <v>75081.61866</v>
      </c>
      <c r="T168" s="162">
        <f t="shared" si="5"/>
        <v>1495.709364</v>
      </c>
      <c r="U168" s="178"/>
      <c r="V168" s="179"/>
    </row>
    <row r="169" ht="37.5" customHeight="1">
      <c r="A169" s="50" t="s">
        <v>2083</v>
      </c>
      <c r="B169" s="50" t="s">
        <v>1859</v>
      </c>
      <c r="C169" s="50" t="s">
        <v>1834</v>
      </c>
      <c r="D169" s="167"/>
      <c r="E169" s="49" t="s">
        <v>1757</v>
      </c>
      <c r="F169" s="50"/>
      <c r="G169" s="165" t="s">
        <v>582</v>
      </c>
      <c r="H169" s="158">
        <v>12.667</v>
      </c>
      <c r="I169" s="159" t="s">
        <v>582</v>
      </c>
      <c r="J169" s="160">
        <f>146.884*12+1089.434*6</f>
        <v>8299.212</v>
      </c>
      <c r="K169" s="158"/>
      <c r="L169" s="118">
        <v>1.22</v>
      </c>
      <c r="M169" s="158">
        <v>1.25</v>
      </c>
      <c r="N169" s="118">
        <v>1.3</v>
      </c>
      <c r="O169" s="158">
        <v>1.15</v>
      </c>
      <c r="P169" s="161">
        <f t="shared" si="47"/>
        <v>18921.16596</v>
      </c>
      <c r="Q169" s="162" t="s">
        <v>1757</v>
      </c>
      <c r="R169" s="162">
        <v>56683.17044641036</v>
      </c>
      <c r="S169" s="162" t="str">
        <f t="shared" si="55"/>
        <v>INF</v>
      </c>
      <c r="T169" s="162">
        <f t="shared" si="5"/>
        <v>1493.736951</v>
      </c>
      <c r="U169" s="164" t="str">
        <f>IFERROR(IF(ISBLANK(Q169),"N/A",(S169/Q169)*(104237/2032)),"N/A")</f>
        <v>N/A</v>
      </c>
      <c r="V169" s="163">
        <f>IF(ISBLANK(R169),"N/A",(T169/R169)*(104237/2032))</f>
        <v>1.351817894</v>
      </c>
    </row>
    <row r="170" ht="37.5" customHeight="1">
      <c r="A170" s="117" t="s">
        <v>940</v>
      </c>
      <c r="B170" s="117" t="s">
        <v>1751</v>
      </c>
      <c r="C170" s="117" t="s">
        <v>1898</v>
      </c>
      <c r="D170" s="167"/>
      <c r="E170" s="111">
        <v>300.0</v>
      </c>
      <c r="F170" s="50"/>
      <c r="G170" s="117" t="s">
        <v>2084</v>
      </c>
      <c r="H170" s="158">
        <v>10.45</v>
      </c>
      <c r="I170" s="159">
        <f>H170*6+3</f>
        <v>65.7</v>
      </c>
      <c r="J170" s="168">
        <v>149.284</v>
      </c>
      <c r="K170" s="118"/>
      <c r="L170" s="158">
        <v>1.22</v>
      </c>
      <c r="M170" s="158">
        <v>1.25</v>
      </c>
      <c r="N170" s="118">
        <v>1.3</v>
      </c>
      <c r="O170" s="158">
        <v>1.1</v>
      </c>
      <c r="P170" s="161">
        <f t="shared" si="47"/>
        <v>325.551083</v>
      </c>
      <c r="Q170" s="162"/>
      <c r="R170" s="162"/>
      <c r="S170" s="162">
        <f t="shared" si="55"/>
        <v>97665.3249</v>
      </c>
      <c r="T170" s="162">
        <f t="shared" si="5"/>
        <v>1486.534626</v>
      </c>
      <c r="U170" s="164"/>
      <c r="V170" s="163"/>
    </row>
    <row r="171" ht="37.5" customHeight="1">
      <c r="A171" s="50" t="s">
        <v>2085</v>
      </c>
      <c r="B171" s="117" t="s">
        <v>1771</v>
      </c>
      <c r="C171" s="117" t="s">
        <v>1988</v>
      </c>
      <c r="D171" s="167"/>
      <c r="E171" s="49">
        <v>33.0</v>
      </c>
      <c r="F171" s="50" t="s">
        <v>2071</v>
      </c>
      <c r="G171" s="157" t="s">
        <v>2072</v>
      </c>
      <c r="H171" s="118">
        <v>0.714</v>
      </c>
      <c r="I171" s="159">
        <f>H171*(E171-5)+1.183*4</f>
        <v>24.724</v>
      </c>
      <c r="J171" s="160">
        <v>361.841</v>
      </c>
      <c r="K171" s="118">
        <v>1.35</v>
      </c>
      <c r="L171" s="118">
        <v>1.22</v>
      </c>
      <c r="M171" s="158">
        <v>1.25</v>
      </c>
      <c r="N171" s="118">
        <v>1.3</v>
      </c>
      <c r="O171" s="158">
        <v>1.15</v>
      </c>
      <c r="P171" s="161">
        <f t="shared" si="47"/>
        <v>1113.685537</v>
      </c>
      <c r="Q171" s="162">
        <v>1656318.400442636</v>
      </c>
      <c r="R171" s="162">
        <v>69869.1639434167</v>
      </c>
      <c r="S171" s="162">
        <f t="shared" si="55"/>
        <v>36751.62273</v>
      </c>
      <c r="T171" s="162">
        <f t="shared" si="5"/>
        <v>1486.4756</v>
      </c>
      <c r="U171" s="164">
        <f t="shared" ref="U171:U180" si="58">IFERROR(IF(ISBLANK(Q171),"N/A",(S171/Q171)*(104237/2032)),"N/A")</f>
        <v>1.138232267</v>
      </c>
      <c r="V171" s="163">
        <f t="shared" ref="V171:V180" si="59">IF(ISBLANK(R171),"N/A",(T171/R171)*(104237/2032))</f>
        <v>1.091366046</v>
      </c>
    </row>
    <row r="172" ht="37.5" customHeight="1">
      <c r="A172" s="50" t="s">
        <v>2086</v>
      </c>
      <c r="B172" s="117" t="s">
        <v>1751</v>
      </c>
      <c r="C172" s="117" t="s">
        <v>1805</v>
      </c>
      <c r="D172" s="167"/>
      <c r="E172" s="111">
        <v>25.0</v>
      </c>
      <c r="F172" s="117" t="s">
        <v>2087</v>
      </c>
      <c r="G172" s="157" t="s">
        <v>1925</v>
      </c>
      <c r="H172" s="118">
        <v>1.283</v>
      </c>
      <c r="I172" s="159">
        <f>H172*(E172-4)+2.867*3</f>
        <v>35.544</v>
      </c>
      <c r="J172" s="160">
        <v>950.82</v>
      </c>
      <c r="K172" s="118"/>
      <c r="L172" s="118">
        <v>1.22</v>
      </c>
      <c r="M172" s="158">
        <v>1.25</v>
      </c>
      <c r="N172" s="118">
        <v>1.3</v>
      </c>
      <c r="O172" s="158">
        <v>1.1</v>
      </c>
      <c r="P172" s="161">
        <f t="shared" si="47"/>
        <v>2073.500715</v>
      </c>
      <c r="Q172" s="162">
        <v>3834650.625</v>
      </c>
      <c r="R172" s="162">
        <v>102284.62590024008</v>
      </c>
      <c r="S172" s="162">
        <f t="shared" si="55"/>
        <v>51837.51788</v>
      </c>
      <c r="T172" s="162">
        <f t="shared" si="5"/>
        <v>1458.404172</v>
      </c>
      <c r="U172" s="164">
        <f t="shared" si="58"/>
        <v>0.6934523059</v>
      </c>
      <c r="V172" s="163">
        <f t="shared" si="59"/>
        <v>0.7314181563</v>
      </c>
    </row>
    <row r="173" ht="37.5" customHeight="1">
      <c r="A173" s="50" t="s">
        <v>2088</v>
      </c>
      <c r="B173" s="50" t="s">
        <v>1859</v>
      </c>
      <c r="C173" s="50" t="s">
        <v>1834</v>
      </c>
      <c r="D173" s="167"/>
      <c r="E173" s="49" t="s">
        <v>1757</v>
      </c>
      <c r="F173" s="50"/>
      <c r="G173" s="165" t="s">
        <v>582</v>
      </c>
      <c r="H173" s="158">
        <v>15.717</v>
      </c>
      <c r="I173" s="159" t="s">
        <v>582</v>
      </c>
      <c r="J173" s="160">
        <f>145.028*24+1089.434*6</f>
        <v>10017.276</v>
      </c>
      <c r="K173" s="158"/>
      <c r="L173" s="118">
        <v>1.22</v>
      </c>
      <c r="M173" s="158">
        <v>1.25</v>
      </c>
      <c r="N173" s="118">
        <v>1.3</v>
      </c>
      <c r="O173" s="158">
        <v>1.15</v>
      </c>
      <c r="P173" s="161">
        <f t="shared" si="47"/>
        <v>22838.13712</v>
      </c>
      <c r="Q173" s="162" t="s">
        <v>1757</v>
      </c>
      <c r="R173" s="162">
        <v>57093.451193149274</v>
      </c>
      <c r="S173" s="162" t="str">
        <f t="shared" si="55"/>
        <v>INF</v>
      </c>
      <c r="T173" s="162">
        <f t="shared" si="5"/>
        <v>1453.085011</v>
      </c>
      <c r="U173" s="164" t="str">
        <f t="shared" si="58"/>
        <v>N/A</v>
      </c>
      <c r="V173" s="163">
        <f t="shared" si="59"/>
        <v>1.305578312</v>
      </c>
    </row>
    <row r="174" ht="37.5" customHeight="1">
      <c r="A174" s="117" t="s">
        <v>763</v>
      </c>
      <c r="B174" s="117" t="s">
        <v>1771</v>
      </c>
      <c r="C174" s="117" t="s">
        <v>1793</v>
      </c>
      <c r="D174" s="167"/>
      <c r="E174" s="111">
        <v>24.0</v>
      </c>
      <c r="F174" s="117" t="s">
        <v>2089</v>
      </c>
      <c r="G174" s="157" t="s">
        <v>1915</v>
      </c>
      <c r="H174" s="118">
        <v>1.189</v>
      </c>
      <c r="I174" s="159">
        <f>0.817+H174*(E174-5)+2.067*4</f>
        <v>31.676</v>
      </c>
      <c r="J174" s="160">
        <v>832.4</v>
      </c>
      <c r="K174" s="118"/>
      <c r="L174" s="118">
        <v>1.22</v>
      </c>
      <c r="M174" s="158">
        <v>1.25</v>
      </c>
      <c r="N174" s="118">
        <v>1.3</v>
      </c>
      <c r="O174" s="158">
        <v>1.15</v>
      </c>
      <c r="P174" s="161">
        <f t="shared" si="47"/>
        <v>1897.76795</v>
      </c>
      <c r="Q174" s="162"/>
      <c r="R174" s="162"/>
      <c r="S174" s="162">
        <f t="shared" si="55"/>
        <v>45546.4308</v>
      </c>
      <c r="T174" s="162">
        <f t="shared" si="5"/>
        <v>1437.884544</v>
      </c>
      <c r="U174" s="164" t="str">
        <f t="shared" si="58"/>
        <v>N/A</v>
      </c>
      <c r="V174" s="163" t="str">
        <f t="shared" si="59"/>
        <v>N/A</v>
      </c>
    </row>
    <row r="175" ht="37.5" customHeight="1">
      <c r="A175" s="50" t="s">
        <v>2090</v>
      </c>
      <c r="B175" s="50" t="s">
        <v>1859</v>
      </c>
      <c r="C175" s="50" t="s">
        <v>1752</v>
      </c>
      <c r="D175" s="167"/>
      <c r="E175" s="49" t="s">
        <v>1757</v>
      </c>
      <c r="F175" s="50"/>
      <c r="G175" s="165" t="s">
        <v>582</v>
      </c>
      <c r="H175" s="158">
        <v>1.017</v>
      </c>
      <c r="I175" s="159" t="s">
        <v>582</v>
      </c>
      <c r="J175" s="160">
        <f>211.384+3*139.557</f>
        <v>630.055</v>
      </c>
      <c r="K175" s="118"/>
      <c r="L175" s="118">
        <v>1.22</v>
      </c>
      <c r="M175" s="158">
        <v>1.25</v>
      </c>
      <c r="N175" s="118">
        <v>1.3</v>
      </c>
      <c r="O175" s="158">
        <v>1.15</v>
      </c>
      <c r="P175" s="161">
        <f t="shared" si="47"/>
        <v>1436.446643</v>
      </c>
      <c r="Q175" s="162" t="s">
        <v>1757</v>
      </c>
      <c r="R175" s="162">
        <v>64667.2425515122</v>
      </c>
      <c r="S175" s="162" t="str">
        <f t="shared" si="55"/>
        <v>INF</v>
      </c>
      <c r="T175" s="162">
        <f t="shared" si="5"/>
        <v>1412.435244</v>
      </c>
      <c r="U175" s="164" t="str">
        <f t="shared" si="58"/>
        <v>N/A</v>
      </c>
      <c r="V175" s="163">
        <f t="shared" si="59"/>
        <v>1.120424</v>
      </c>
    </row>
    <row r="176" ht="37.5" customHeight="1">
      <c r="A176" s="50" t="s">
        <v>2091</v>
      </c>
      <c r="B176" s="117" t="s">
        <v>1771</v>
      </c>
      <c r="C176" s="117" t="s">
        <v>2010</v>
      </c>
      <c r="D176" s="167"/>
      <c r="E176" s="111">
        <v>44.0</v>
      </c>
      <c r="F176" s="117" t="s">
        <v>2092</v>
      </c>
      <c r="G176" s="165" t="s">
        <v>2053</v>
      </c>
      <c r="H176" s="118">
        <v>0.616</v>
      </c>
      <c r="I176" s="159">
        <f>H176*(E176-4)+0.817*3</f>
        <v>27.091</v>
      </c>
      <c r="J176" s="160">
        <v>282.831</v>
      </c>
      <c r="K176" s="158">
        <f>(2*15+1*29)/44</f>
        <v>1.340909091</v>
      </c>
      <c r="L176" s="118">
        <v>1.22</v>
      </c>
      <c r="M176" s="158">
        <v>1.25</v>
      </c>
      <c r="N176" s="118">
        <v>1.3</v>
      </c>
      <c r="O176" s="158">
        <v>1.15</v>
      </c>
      <c r="P176" s="161">
        <f t="shared" si="47"/>
        <v>864.6440964</v>
      </c>
      <c r="Q176" s="162">
        <v>2214682.4699999993</v>
      </c>
      <c r="R176" s="162">
        <v>65268.256218318966</v>
      </c>
      <c r="S176" s="162">
        <f t="shared" si="55"/>
        <v>38044.34024</v>
      </c>
      <c r="T176" s="162">
        <f t="shared" si="5"/>
        <v>1404.316572</v>
      </c>
      <c r="U176" s="164">
        <f t="shared" si="58"/>
        <v>0.8812046679</v>
      </c>
      <c r="V176" s="163">
        <f t="shared" si="59"/>
        <v>1.103725842</v>
      </c>
    </row>
    <row r="177" ht="37.5" customHeight="1">
      <c r="A177" s="50" t="s">
        <v>2093</v>
      </c>
      <c r="B177" s="117" t="s">
        <v>1771</v>
      </c>
      <c r="C177" s="117" t="s">
        <v>1988</v>
      </c>
      <c r="D177" s="167"/>
      <c r="E177" s="111">
        <v>34.0</v>
      </c>
      <c r="F177" s="117" t="s">
        <v>2094</v>
      </c>
      <c r="G177" s="157" t="s">
        <v>2095</v>
      </c>
      <c r="H177" s="118">
        <v>1.0</v>
      </c>
      <c r="I177" s="159">
        <f>H177*(E177-7)+1.183*6</f>
        <v>34.098</v>
      </c>
      <c r="J177" s="160">
        <v>527.351</v>
      </c>
      <c r="K177" s="158">
        <v>1.15</v>
      </c>
      <c r="L177" s="118">
        <v>1.22</v>
      </c>
      <c r="M177" s="158">
        <v>1.25</v>
      </c>
      <c r="N177" s="118">
        <v>1.3</v>
      </c>
      <c r="O177" s="158">
        <v>1.15</v>
      </c>
      <c r="P177" s="161">
        <f t="shared" si="47"/>
        <v>1382.638515</v>
      </c>
      <c r="Q177" s="162"/>
      <c r="R177" s="162"/>
      <c r="S177" s="162">
        <f t="shared" si="55"/>
        <v>47009.70952</v>
      </c>
      <c r="T177" s="162">
        <f t="shared" si="5"/>
        <v>1378.664717</v>
      </c>
      <c r="U177" s="164" t="str">
        <f t="shared" si="58"/>
        <v>N/A</v>
      </c>
      <c r="V177" s="163" t="str">
        <f t="shared" si="59"/>
        <v>N/A</v>
      </c>
    </row>
    <row r="178" ht="37.5" customHeight="1">
      <c r="A178" s="50" t="s">
        <v>936</v>
      </c>
      <c r="B178" s="117" t="s">
        <v>1751</v>
      </c>
      <c r="C178" s="117" t="s">
        <v>1898</v>
      </c>
      <c r="D178" s="167"/>
      <c r="E178" s="111">
        <v>440.0</v>
      </c>
      <c r="F178" s="117" t="s">
        <v>2096</v>
      </c>
      <c r="G178" s="157" t="s">
        <v>2097</v>
      </c>
      <c r="H178" s="118">
        <v>0.067</v>
      </c>
      <c r="I178" s="159">
        <f>H178*(E178-3)+4.25*2</f>
        <v>37.779</v>
      </c>
      <c r="J178" s="160">
        <v>53.427</v>
      </c>
      <c r="K178" s="118"/>
      <c r="L178" s="118">
        <v>1.22</v>
      </c>
      <c r="M178" s="158">
        <v>1.25</v>
      </c>
      <c r="N178" s="118">
        <v>1.3</v>
      </c>
      <c r="O178" s="158">
        <v>1.1</v>
      </c>
      <c r="P178" s="161">
        <f t="shared" si="47"/>
        <v>116.5109303</v>
      </c>
      <c r="Q178" s="162">
        <v>4251799.421662026</v>
      </c>
      <c r="R178" s="162">
        <v>96296.95426498824</v>
      </c>
      <c r="S178" s="162">
        <f t="shared" si="55"/>
        <v>51264.80931</v>
      </c>
      <c r="T178" s="162">
        <f t="shared" si="5"/>
        <v>1356.965756</v>
      </c>
      <c r="U178" s="164">
        <f t="shared" si="58"/>
        <v>0.6185072259</v>
      </c>
      <c r="V178" s="163">
        <f t="shared" si="59"/>
        <v>0.7228605719</v>
      </c>
    </row>
    <row r="179" ht="37.5" customHeight="1">
      <c r="A179" s="50" t="s">
        <v>2098</v>
      </c>
      <c r="B179" s="117" t="s">
        <v>1771</v>
      </c>
      <c r="C179" s="117" t="s">
        <v>2010</v>
      </c>
      <c r="D179" s="167"/>
      <c r="E179" s="111">
        <v>44.0</v>
      </c>
      <c r="F179" s="117" t="s">
        <v>2092</v>
      </c>
      <c r="G179" s="157" t="s">
        <v>2053</v>
      </c>
      <c r="H179" s="118">
        <v>0.616</v>
      </c>
      <c r="I179" s="159">
        <f>H179*(E179-4)+0.817*3</f>
        <v>27.091</v>
      </c>
      <c r="J179" s="160">
        <v>282.831</v>
      </c>
      <c r="K179" s="118">
        <f>(1.3*41+1*3)/44</f>
        <v>1.279545455</v>
      </c>
      <c r="L179" s="118">
        <v>1.22</v>
      </c>
      <c r="M179" s="158">
        <v>1.25</v>
      </c>
      <c r="N179" s="118">
        <v>1.3</v>
      </c>
      <c r="O179" s="158">
        <v>1.15</v>
      </c>
      <c r="P179" s="161">
        <f t="shared" si="47"/>
        <v>825.0756377</v>
      </c>
      <c r="Q179" s="162">
        <v>1719974.1779999994</v>
      </c>
      <c r="R179" s="162">
        <v>53888.96757214022</v>
      </c>
      <c r="S179" s="162">
        <f t="shared" si="55"/>
        <v>36303.32806</v>
      </c>
      <c r="T179" s="162">
        <f t="shared" si="5"/>
        <v>1340.051237</v>
      </c>
      <c r="U179" s="164">
        <f t="shared" si="58"/>
        <v>1.08273634</v>
      </c>
      <c r="V179" s="163">
        <f t="shared" si="59"/>
        <v>1.275615362</v>
      </c>
    </row>
    <row r="180" ht="37.5" customHeight="1">
      <c r="A180" s="50" t="s">
        <v>2099</v>
      </c>
      <c r="B180" s="50" t="s">
        <v>1859</v>
      </c>
      <c r="C180" s="50" t="s">
        <v>2045</v>
      </c>
      <c r="D180" s="167"/>
      <c r="E180" s="49" t="s">
        <v>1757</v>
      </c>
      <c r="F180" s="50"/>
      <c r="G180" s="165" t="s">
        <v>582</v>
      </c>
      <c r="H180" s="118">
        <v>5.383</v>
      </c>
      <c r="I180" s="159" t="s">
        <v>582</v>
      </c>
      <c r="J180" s="160">
        <f>196.464
*15+216.15</f>
        <v>3163.11</v>
      </c>
      <c r="K180" s="118"/>
      <c r="L180" s="118">
        <v>1.22</v>
      </c>
      <c r="M180" s="158">
        <v>1.25</v>
      </c>
      <c r="N180" s="118">
        <v>1.3</v>
      </c>
      <c r="O180" s="158">
        <v>1.15</v>
      </c>
      <c r="P180" s="161">
        <f t="shared" si="47"/>
        <v>7211.495411</v>
      </c>
      <c r="Q180" s="162"/>
      <c r="R180" s="162"/>
      <c r="S180" s="162" t="str">
        <f t="shared" si="55"/>
        <v>INF</v>
      </c>
      <c r="T180" s="162">
        <f t="shared" si="5"/>
        <v>1339.679623</v>
      </c>
      <c r="U180" s="164" t="str">
        <f t="shared" si="58"/>
        <v>N/A</v>
      </c>
      <c r="V180" s="163" t="str">
        <f t="shared" si="59"/>
        <v>N/A</v>
      </c>
    </row>
    <row r="181" ht="37.5" customHeight="1">
      <c r="A181" s="170" t="s">
        <v>2100</v>
      </c>
      <c r="B181" s="170" t="s">
        <v>1771</v>
      </c>
      <c r="C181" s="170" t="s">
        <v>1752</v>
      </c>
      <c r="D181" s="180"/>
      <c r="E181" s="130">
        <v>20.0</v>
      </c>
      <c r="F181" s="169"/>
      <c r="G181" s="171" t="s">
        <v>1982</v>
      </c>
      <c r="H181" s="172">
        <v>3.017</v>
      </c>
      <c r="I181" s="173">
        <f>7.333*9+3.017</f>
        <v>69.014</v>
      </c>
      <c r="J181" s="174">
        <v>2009.758</v>
      </c>
      <c r="K181" s="175"/>
      <c r="L181" s="175">
        <v>1.22</v>
      </c>
      <c r="M181" s="172">
        <v>1.25</v>
      </c>
      <c r="N181" s="175">
        <v>1.3</v>
      </c>
      <c r="O181" s="172">
        <v>1.15</v>
      </c>
      <c r="P181" s="176">
        <f t="shared" si="47"/>
        <v>4581.99702</v>
      </c>
      <c r="Q181" s="177"/>
      <c r="R181" s="177"/>
      <c r="S181" s="177">
        <f t="shared" si="55"/>
        <v>91639.94041</v>
      </c>
      <c r="T181" s="162">
        <f t="shared" si="5"/>
        <v>1327.84566</v>
      </c>
      <c r="U181" s="178"/>
      <c r="V181" s="179"/>
    </row>
    <row r="182" ht="37.5" customHeight="1">
      <c r="A182" s="50" t="s">
        <v>2101</v>
      </c>
      <c r="B182" s="117" t="s">
        <v>1859</v>
      </c>
      <c r="C182" s="117" t="s">
        <v>1103</v>
      </c>
      <c r="D182" s="167"/>
      <c r="E182" s="49" t="s">
        <v>1757</v>
      </c>
      <c r="F182" s="50"/>
      <c r="G182" s="157" t="s">
        <v>2003</v>
      </c>
      <c r="H182" s="118">
        <v>3.233</v>
      </c>
      <c r="I182" s="159" t="s">
        <v>582</v>
      </c>
      <c r="J182" s="168">
        <f>53.424*35</f>
        <v>1869.84</v>
      </c>
      <c r="K182" s="118"/>
      <c r="L182" s="118">
        <v>1.22</v>
      </c>
      <c r="M182" s="158">
        <v>1.25</v>
      </c>
      <c r="N182" s="118">
        <v>1.3</v>
      </c>
      <c r="O182" s="158">
        <v>1.15</v>
      </c>
      <c r="P182" s="161">
        <f t="shared" si="47"/>
        <v>4263.00147</v>
      </c>
      <c r="Q182" s="162"/>
      <c r="R182" s="162"/>
      <c r="S182" s="162" t="str">
        <f t="shared" si="55"/>
        <v>INF</v>
      </c>
      <c r="T182" s="162">
        <f t="shared" si="5"/>
        <v>1318.59</v>
      </c>
      <c r="U182" s="164" t="str">
        <f t="shared" ref="U182:U231" si="60">IFERROR(IF(ISBLANK(Q182),"N/A",(S182/Q182)*(104237/2032)),"N/A")</f>
        <v>N/A</v>
      </c>
      <c r="V182" s="163" t="str">
        <f t="shared" ref="V182:V231" si="61">IF(ISBLANK(R182),"N/A",(T182/R182)*(104237/2032))</f>
        <v>N/A</v>
      </c>
    </row>
    <row r="183" ht="37.5" customHeight="1">
      <c r="A183" s="50" t="s">
        <v>2102</v>
      </c>
      <c r="B183" s="117" t="s">
        <v>1771</v>
      </c>
      <c r="C183" s="117" t="s">
        <v>1988</v>
      </c>
      <c r="D183" s="167"/>
      <c r="E183" s="111">
        <v>33.0</v>
      </c>
      <c r="F183" s="117" t="s">
        <v>2077</v>
      </c>
      <c r="G183" s="157" t="s">
        <v>2103</v>
      </c>
      <c r="H183" s="118">
        <v>0.91</v>
      </c>
      <c r="I183" s="159">
        <f>H183*(E183-6)+1.183*5</f>
        <v>30.485</v>
      </c>
      <c r="J183" s="160">
        <v>459.477</v>
      </c>
      <c r="K183" s="158">
        <v>1.15</v>
      </c>
      <c r="L183" s="118">
        <v>1.22</v>
      </c>
      <c r="M183" s="158">
        <v>1.25</v>
      </c>
      <c r="N183" s="118">
        <v>1.3</v>
      </c>
      <c r="O183" s="158">
        <v>1.15</v>
      </c>
      <c r="P183" s="161">
        <f t="shared" si="47"/>
        <v>1204.682644</v>
      </c>
      <c r="Q183" s="162"/>
      <c r="R183" s="162"/>
      <c r="S183" s="162">
        <f t="shared" si="55"/>
        <v>39754.52726</v>
      </c>
      <c r="T183" s="162">
        <f t="shared" si="5"/>
        <v>1304.068468</v>
      </c>
      <c r="U183" s="164" t="str">
        <f t="shared" si="60"/>
        <v>N/A</v>
      </c>
      <c r="V183" s="163" t="str">
        <f t="shared" si="61"/>
        <v>N/A</v>
      </c>
    </row>
    <row r="184" ht="37.5" customHeight="1">
      <c r="A184" s="117" t="s">
        <v>533</v>
      </c>
      <c r="B184" s="117" t="s">
        <v>1859</v>
      </c>
      <c r="C184" s="117" t="s">
        <v>1863</v>
      </c>
      <c r="D184" s="156"/>
      <c r="E184" s="111" t="s">
        <v>1757</v>
      </c>
      <c r="F184" s="50"/>
      <c r="G184" s="165" t="s">
        <v>582</v>
      </c>
      <c r="H184" s="158">
        <v>1.517</v>
      </c>
      <c r="I184" s="186" t="s">
        <v>582</v>
      </c>
      <c r="J184" s="168">
        <v>867.028</v>
      </c>
      <c r="K184" s="118"/>
      <c r="L184" s="158">
        <v>1.22</v>
      </c>
      <c r="M184" s="158">
        <v>1.25</v>
      </c>
      <c r="N184" s="158">
        <v>1.3</v>
      </c>
      <c r="O184" s="158">
        <v>1.15</v>
      </c>
      <c r="P184" s="161">
        <f t="shared" si="47"/>
        <v>1976.715462</v>
      </c>
      <c r="Q184" s="162" t="s">
        <v>1757</v>
      </c>
      <c r="R184" s="162">
        <v>61751.88243336981</v>
      </c>
      <c r="S184" s="162" t="str">
        <f t="shared" si="55"/>
        <v>INF</v>
      </c>
      <c r="T184" s="162">
        <f t="shared" si="5"/>
        <v>1303.042493</v>
      </c>
      <c r="U184" s="164" t="str">
        <f t="shared" si="60"/>
        <v>N/A</v>
      </c>
      <c r="V184" s="163">
        <f t="shared" si="61"/>
        <v>1.082446841</v>
      </c>
    </row>
    <row r="185" ht="37.5" customHeight="1">
      <c r="A185" s="117" t="s">
        <v>2104</v>
      </c>
      <c r="B185" s="50" t="s">
        <v>1859</v>
      </c>
      <c r="C185" s="50" t="s">
        <v>1879</v>
      </c>
      <c r="D185" s="167"/>
      <c r="E185" s="49" t="s">
        <v>1757</v>
      </c>
      <c r="F185" s="50"/>
      <c r="G185" s="165" t="s">
        <v>582</v>
      </c>
      <c r="H185" s="118">
        <v>10.4</v>
      </c>
      <c r="I185" s="159" t="s">
        <v>582</v>
      </c>
      <c r="J185" s="168">
        <f>54.483*100</f>
        <v>5448.3</v>
      </c>
      <c r="K185" s="118"/>
      <c r="L185" s="118">
        <v>1.22</v>
      </c>
      <c r="M185" s="158">
        <v>1.25</v>
      </c>
      <c r="N185" s="118">
        <v>1.3</v>
      </c>
      <c r="O185" s="158">
        <v>1.15</v>
      </c>
      <c r="P185" s="161">
        <f t="shared" si="47"/>
        <v>12421.44296</v>
      </c>
      <c r="Q185" s="162"/>
      <c r="R185" s="162"/>
      <c r="S185" s="162" t="str">
        <f t="shared" si="55"/>
        <v>INF</v>
      </c>
      <c r="T185" s="162">
        <f t="shared" si="5"/>
        <v>1194.369516</v>
      </c>
      <c r="U185" s="164" t="str">
        <f t="shared" si="60"/>
        <v>N/A</v>
      </c>
      <c r="V185" s="163" t="str">
        <f t="shared" si="61"/>
        <v>N/A</v>
      </c>
    </row>
    <row r="186" ht="37.5" customHeight="1">
      <c r="A186" s="50" t="s">
        <v>2105</v>
      </c>
      <c r="B186" s="50" t="s">
        <v>1859</v>
      </c>
      <c r="C186" s="50" t="s">
        <v>1834</v>
      </c>
      <c r="D186" s="167"/>
      <c r="E186" s="49" t="s">
        <v>1757</v>
      </c>
      <c r="F186" s="50"/>
      <c r="G186" s="165" t="s">
        <v>582</v>
      </c>
      <c r="H186" s="158">
        <v>15.517</v>
      </c>
      <c r="I186" s="159" t="s">
        <v>582</v>
      </c>
      <c r="J186" s="160">
        <f>305.639*26</f>
        <v>7946.614</v>
      </c>
      <c r="K186" s="118"/>
      <c r="L186" s="118">
        <v>1.22</v>
      </c>
      <c r="M186" s="158">
        <v>1.25</v>
      </c>
      <c r="N186" s="118">
        <v>1.3</v>
      </c>
      <c r="O186" s="158">
        <v>1.15</v>
      </c>
      <c r="P186" s="161">
        <f t="shared" si="47"/>
        <v>18117.28659</v>
      </c>
      <c r="Q186" s="162" t="s">
        <v>1757</v>
      </c>
      <c r="R186" s="162">
        <v>59410.23443062794</v>
      </c>
      <c r="S186" s="162" t="str">
        <f t="shared" si="55"/>
        <v>INF</v>
      </c>
      <c r="T186" s="162">
        <f t="shared" si="5"/>
        <v>1167.576632</v>
      </c>
      <c r="U186" s="164" t="str">
        <f t="shared" si="60"/>
        <v>N/A</v>
      </c>
      <c r="V186" s="163">
        <f t="shared" si="61"/>
        <v>1.008143439</v>
      </c>
    </row>
    <row r="187" ht="37.5" customHeight="1">
      <c r="A187" s="117" t="s">
        <v>2106</v>
      </c>
      <c r="B187" s="50" t="s">
        <v>1859</v>
      </c>
      <c r="C187" s="50" t="s">
        <v>1752</v>
      </c>
      <c r="D187" s="156"/>
      <c r="E187" s="111" t="s">
        <v>1757</v>
      </c>
      <c r="F187" s="50"/>
      <c r="G187" s="165" t="s">
        <v>582</v>
      </c>
      <c r="H187" s="158">
        <v>1.067</v>
      </c>
      <c r="I187" s="159" t="s">
        <v>582</v>
      </c>
      <c r="J187" s="160">
        <f>203.556+99.823*2</f>
        <v>403.202</v>
      </c>
      <c r="K187" s="158">
        <v>1.35</v>
      </c>
      <c r="L187" s="118">
        <v>1.22</v>
      </c>
      <c r="M187" s="158">
        <v>1.25</v>
      </c>
      <c r="N187" s="118">
        <v>1.3</v>
      </c>
      <c r="O187" s="158">
        <v>1.15</v>
      </c>
      <c r="P187" s="161">
        <f t="shared" si="47"/>
        <v>1240.987716</v>
      </c>
      <c r="Q187" s="162"/>
      <c r="R187" s="162"/>
      <c r="S187" s="162" t="str">
        <f t="shared" si="55"/>
        <v>INF</v>
      </c>
      <c r="T187" s="162">
        <f t="shared" si="5"/>
        <v>1163.062526</v>
      </c>
      <c r="U187" s="164" t="str">
        <f t="shared" si="60"/>
        <v>N/A</v>
      </c>
      <c r="V187" s="163" t="str">
        <f t="shared" si="61"/>
        <v>N/A</v>
      </c>
    </row>
    <row r="188" ht="37.5" customHeight="1">
      <c r="A188" s="117" t="s">
        <v>780</v>
      </c>
      <c r="B188" s="117" t="s">
        <v>1859</v>
      </c>
      <c r="C188" s="117" t="s">
        <v>1793</v>
      </c>
      <c r="D188" s="167"/>
      <c r="E188" s="111" t="s">
        <v>1757</v>
      </c>
      <c r="F188" s="50"/>
      <c r="G188" s="165" t="s">
        <v>582</v>
      </c>
      <c r="H188" s="158">
        <v>6.367</v>
      </c>
      <c r="I188" s="186" t="s">
        <v>582</v>
      </c>
      <c r="J188" s="160">
        <f>96.973*33</f>
        <v>3200.109</v>
      </c>
      <c r="K188" s="166"/>
      <c r="L188" s="118">
        <v>1.22</v>
      </c>
      <c r="M188" s="158">
        <v>1.25</v>
      </c>
      <c r="N188" s="118">
        <v>1.3</v>
      </c>
      <c r="O188" s="158">
        <v>1.15</v>
      </c>
      <c r="P188" s="161">
        <f t="shared" si="47"/>
        <v>7295.848506</v>
      </c>
      <c r="Q188" s="162"/>
      <c r="R188" s="162"/>
      <c r="S188" s="162" t="str">
        <f t="shared" si="55"/>
        <v>INF</v>
      </c>
      <c r="T188" s="162">
        <f t="shared" si="5"/>
        <v>1145.884798</v>
      </c>
      <c r="U188" s="164" t="str">
        <f t="shared" si="60"/>
        <v>N/A</v>
      </c>
      <c r="V188" s="163" t="str">
        <f t="shared" si="61"/>
        <v>N/A</v>
      </c>
    </row>
    <row r="189" ht="37.5" customHeight="1">
      <c r="A189" s="50" t="s">
        <v>2107</v>
      </c>
      <c r="B189" s="117" t="s">
        <v>1859</v>
      </c>
      <c r="C189" s="117" t="s">
        <v>1103</v>
      </c>
      <c r="D189" s="167"/>
      <c r="E189" s="49" t="s">
        <v>1757</v>
      </c>
      <c r="F189" s="50"/>
      <c r="G189" s="165" t="s">
        <v>2003</v>
      </c>
      <c r="H189" s="118">
        <v>4.083</v>
      </c>
      <c r="I189" s="159" t="s">
        <v>582</v>
      </c>
      <c r="J189" s="168">
        <f>57.559*35</f>
        <v>2014.565</v>
      </c>
      <c r="K189" s="118"/>
      <c r="L189" s="118">
        <v>1.22</v>
      </c>
      <c r="M189" s="158">
        <v>1.25</v>
      </c>
      <c r="N189" s="118">
        <v>1.3</v>
      </c>
      <c r="O189" s="158">
        <v>1.15</v>
      </c>
      <c r="P189" s="161">
        <f t="shared" si="47"/>
        <v>4592.956379</v>
      </c>
      <c r="Q189" s="162"/>
      <c r="R189" s="162"/>
      <c r="S189" s="162" t="str">
        <f t="shared" si="55"/>
        <v>INF</v>
      </c>
      <c r="T189" s="162">
        <f t="shared" si="5"/>
        <v>1124.897472</v>
      </c>
      <c r="U189" s="164" t="str">
        <f t="shared" si="60"/>
        <v>N/A</v>
      </c>
      <c r="V189" s="163" t="str">
        <f t="shared" si="61"/>
        <v>N/A</v>
      </c>
    </row>
    <row r="190" ht="37.5" customHeight="1">
      <c r="A190" s="50" t="s">
        <v>2108</v>
      </c>
      <c r="B190" s="117" t="s">
        <v>1859</v>
      </c>
      <c r="C190" s="117" t="s">
        <v>2010</v>
      </c>
      <c r="D190" s="167"/>
      <c r="E190" s="111" t="s">
        <v>1757</v>
      </c>
      <c r="F190" s="50"/>
      <c r="G190" s="157" t="s">
        <v>1881</v>
      </c>
      <c r="H190" s="158">
        <v>3.35</v>
      </c>
      <c r="I190" s="186" t="s">
        <v>582</v>
      </c>
      <c r="J190" s="168">
        <f>74.768*25</f>
        <v>1869.2</v>
      </c>
      <c r="K190" s="118"/>
      <c r="L190" s="118">
        <v>1.22</v>
      </c>
      <c r="M190" s="158">
        <v>1.25</v>
      </c>
      <c r="N190" s="118">
        <v>1.3</v>
      </c>
      <c r="O190" s="118"/>
      <c r="P190" s="161">
        <f t="shared" si="47"/>
        <v>3705.689</v>
      </c>
      <c r="Q190" s="190" t="s">
        <v>1757</v>
      </c>
      <c r="R190" s="190">
        <v>56710.82882463059</v>
      </c>
      <c r="S190" s="162" t="str">
        <f t="shared" si="55"/>
        <v>INF</v>
      </c>
      <c r="T190" s="162">
        <f t="shared" si="5"/>
        <v>1106.175821</v>
      </c>
      <c r="U190" s="164" t="str">
        <f t="shared" si="60"/>
        <v>N/A</v>
      </c>
      <c r="V190" s="163">
        <f t="shared" si="61"/>
        <v>1.000590481</v>
      </c>
    </row>
    <row r="191" ht="37.5" customHeight="1">
      <c r="A191" s="50" t="s">
        <v>2109</v>
      </c>
      <c r="B191" s="117" t="s">
        <v>1771</v>
      </c>
      <c r="C191" s="117" t="s">
        <v>1863</v>
      </c>
      <c r="D191" s="167"/>
      <c r="E191" s="111">
        <v>20.0</v>
      </c>
      <c r="F191" s="50"/>
      <c r="G191" s="165" t="s">
        <v>1753</v>
      </c>
      <c r="H191" s="118">
        <v>1.5</v>
      </c>
      <c r="I191" s="159">
        <f>H191*(E191-1)</f>
        <v>28.5</v>
      </c>
      <c r="J191" s="160">
        <v>599.069</v>
      </c>
      <c r="K191" s="118">
        <v>1.15</v>
      </c>
      <c r="L191" s="118">
        <v>1.22</v>
      </c>
      <c r="M191" s="158">
        <v>1.25</v>
      </c>
      <c r="N191" s="118">
        <v>1.3</v>
      </c>
      <c r="O191" s="158">
        <v>1.15</v>
      </c>
      <c r="P191" s="161">
        <f t="shared" si="47"/>
        <v>1570.672802</v>
      </c>
      <c r="Q191" s="162">
        <v>1710999.2259896502</v>
      </c>
      <c r="R191" s="162">
        <v>47527.75627749028</v>
      </c>
      <c r="S191" s="162">
        <f t="shared" si="55"/>
        <v>31413.45604</v>
      </c>
      <c r="T191" s="162">
        <f t="shared" si="5"/>
        <v>1102.226528</v>
      </c>
      <c r="U191" s="164">
        <f t="shared" si="60"/>
        <v>0.9418117537</v>
      </c>
      <c r="V191" s="163">
        <f t="shared" si="61"/>
        <v>1.189656952</v>
      </c>
    </row>
    <row r="192" ht="37.5" customHeight="1">
      <c r="A192" s="50" t="s">
        <v>1118</v>
      </c>
      <c r="B192" s="50" t="s">
        <v>1859</v>
      </c>
      <c r="C192" s="50" t="s">
        <v>1103</v>
      </c>
      <c r="D192" s="167"/>
      <c r="E192" s="49" t="s">
        <v>1757</v>
      </c>
      <c r="F192" s="50"/>
      <c r="G192" s="165" t="s">
        <v>582</v>
      </c>
      <c r="H192" s="118">
        <v>3.95</v>
      </c>
      <c r="I192" s="159" t="s">
        <v>582</v>
      </c>
      <c r="J192" s="160">
        <f>62.789*30</f>
        <v>1883.67</v>
      </c>
      <c r="K192" s="118"/>
      <c r="L192" s="118">
        <v>1.22</v>
      </c>
      <c r="M192" s="158">
        <v>1.25</v>
      </c>
      <c r="N192" s="118">
        <v>1.3</v>
      </c>
      <c r="O192" s="158">
        <v>1.15</v>
      </c>
      <c r="P192" s="161">
        <f t="shared" si="47"/>
        <v>4294.532141</v>
      </c>
      <c r="Q192" s="162" t="s">
        <v>1757</v>
      </c>
      <c r="R192" s="162">
        <v>46856.205418052574</v>
      </c>
      <c r="S192" s="162" t="str">
        <f t="shared" si="55"/>
        <v>INF</v>
      </c>
      <c r="T192" s="162">
        <f t="shared" si="5"/>
        <v>1087.223327</v>
      </c>
      <c r="U192" s="164" t="str">
        <f t="shared" si="60"/>
        <v>N/A</v>
      </c>
      <c r="V192" s="163">
        <f t="shared" si="61"/>
        <v>1.190281947</v>
      </c>
    </row>
    <row r="193" ht="37.5" customHeight="1">
      <c r="A193" s="117" t="s">
        <v>2110</v>
      </c>
      <c r="B193" s="117" t="s">
        <v>1859</v>
      </c>
      <c r="C193" s="117" t="s">
        <v>2111</v>
      </c>
      <c r="D193" s="167"/>
      <c r="E193" s="49" t="s">
        <v>1757</v>
      </c>
      <c r="F193" s="50"/>
      <c r="G193" s="165" t="s">
        <v>582</v>
      </c>
      <c r="H193" s="158">
        <v>5.1</v>
      </c>
      <c r="I193" s="159" t="s">
        <v>582</v>
      </c>
      <c r="J193" s="168">
        <f>91.67*8+1682.538</f>
        <v>2415.898</v>
      </c>
      <c r="K193" s="166"/>
      <c r="L193" s="158">
        <v>1.22</v>
      </c>
      <c r="M193" s="158">
        <v>1.25</v>
      </c>
      <c r="N193" s="118">
        <v>1.3</v>
      </c>
      <c r="O193" s="158">
        <v>1.15</v>
      </c>
      <c r="P193" s="161">
        <f t="shared" si="47"/>
        <v>5507.945453</v>
      </c>
      <c r="Q193" s="162"/>
      <c r="R193" s="162"/>
      <c r="S193" s="162" t="str">
        <f t="shared" si="55"/>
        <v>INF</v>
      </c>
      <c r="T193" s="162">
        <f t="shared" si="5"/>
        <v>1079.989304</v>
      </c>
      <c r="U193" s="164" t="str">
        <f t="shared" si="60"/>
        <v>N/A</v>
      </c>
      <c r="V193" s="163" t="str">
        <f t="shared" si="61"/>
        <v>N/A</v>
      </c>
    </row>
    <row r="194" ht="37.5" customHeight="1">
      <c r="A194" s="50" t="s">
        <v>931</v>
      </c>
      <c r="B194" s="117" t="s">
        <v>1751</v>
      </c>
      <c r="C194" s="117" t="s">
        <v>1898</v>
      </c>
      <c r="D194" s="167"/>
      <c r="E194" s="111">
        <v>376.0</v>
      </c>
      <c r="F194" s="117" t="s">
        <v>2112</v>
      </c>
      <c r="G194" s="157" t="s">
        <v>2113</v>
      </c>
      <c r="H194" s="118">
        <v>0.167</v>
      </c>
      <c r="I194" s="159">
        <f>H194*(E194-8)+2.783*7</f>
        <v>80.937</v>
      </c>
      <c r="J194" s="160">
        <v>106.136</v>
      </c>
      <c r="K194" s="118"/>
      <c r="L194" s="118">
        <v>1.22</v>
      </c>
      <c r="M194" s="158">
        <v>1.25</v>
      </c>
      <c r="N194" s="118">
        <v>1.3</v>
      </c>
      <c r="O194" s="158">
        <v>1.1</v>
      </c>
      <c r="P194" s="161">
        <f t="shared" si="47"/>
        <v>231.456082</v>
      </c>
      <c r="Q194" s="162">
        <v>6260004.777970501</v>
      </c>
      <c r="R194" s="162">
        <v>79417.49692949484</v>
      </c>
      <c r="S194" s="162">
        <f t="shared" si="55"/>
        <v>87027.48683</v>
      </c>
      <c r="T194" s="162">
        <f t="shared" si="5"/>
        <v>1075.249723</v>
      </c>
      <c r="U194" s="164">
        <f t="shared" si="60"/>
        <v>0.7131485074</v>
      </c>
      <c r="V194" s="163">
        <f t="shared" si="61"/>
        <v>0.6945305354</v>
      </c>
    </row>
    <row r="195" ht="37.5" customHeight="1">
      <c r="A195" s="117" t="s">
        <v>2114</v>
      </c>
      <c r="B195" s="50" t="s">
        <v>1859</v>
      </c>
      <c r="C195" s="50" t="s">
        <v>2045</v>
      </c>
      <c r="D195" s="167"/>
      <c r="E195" s="49" t="s">
        <v>1757</v>
      </c>
      <c r="F195" s="50"/>
      <c r="G195" s="165" t="s">
        <v>582</v>
      </c>
      <c r="H195" s="158">
        <v>0.4</v>
      </c>
      <c r="I195" s="159" t="s">
        <v>582</v>
      </c>
      <c r="J195" s="160">
        <v>182.803</v>
      </c>
      <c r="K195" s="118"/>
      <c r="L195" s="118">
        <v>1.22</v>
      </c>
      <c r="M195" s="158">
        <v>1.25</v>
      </c>
      <c r="N195" s="118">
        <v>1.3</v>
      </c>
      <c r="O195" s="158">
        <v>1.15</v>
      </c>
      <c r="P195" s="161">
        <f t="shared" si="47"/>
        <v>416.7679896</v>
      </c>
      <c r="Q195" s="162"/>
      <c r="R195" s="162"/>
      <c r="S195" s="162" t="str">
        <f t="shared" si="55"/>
        <v>INF</v>
      </c>
      <c r="T195" s="162">
        <f t="shared" si="5"/>
        <v>1041.919974</v>
      </c>
      <c r="U195" s="164" t="str">
        <f t="shared" si="60"/>
        <v>N/A</v>
      </c>
      <c r="V195" s="163" t="str">
        <f t="shared" si="61"/>
        <v>N/A</v>
      </c>
    </row>
    <row r="196" ht="37.5" customHeight="1">
      <c r="A196" s="50" t="s">
        <v>2115</v>
      </c>
      <c r="B196" s="117" t="s">
        <v>1859</v>
      </c>
      <c r="C196" s="117" t="s">
        <v>1879</v>
      </c>
      <c r="D196" s="167"/>
      <c r="E196" s="49" t="s">
        <v>1757</v>
      </c>
      <c r="F196" s="50"/>
      <c r="G196" s="165" t="s">
        <v>582</v>
      </c>
      <c r="H196" s="118">
        <v>6.167</v>
      </c>
      <c r="I196" s="159" t="s">
        <v>582</v>
      </c>
      <c r="J196" s="160">
        <f>88.157*31</f>
        <v>2732.867</v>
      </c>
      <c r="K196" s="118"/>
      <c r="L196" s="118">
        <v>1.22</v>
      </c>
      <c r="M196" s="158">
        <v>1.25</v>
      </c>
      <c r="N196" s="118">
        <v>1.3</v>
      </c>
      <c r="O196" s="158">
        <v>1.15</v>
      </c>
      <c r="P196" s="161">
        <f t="shared" si="47"/>
        <v>6230.595152</v>
      </c>
      <c r="Q196" s="162"/>
      <c r="R196" s="162"/>
      <c r="S196" s="162" t="str">
        <f t="shared" si="55"/>
        <v>INF</v>
      </c>
      <c r="T196" s="162">
        <f t="shared" si="5"/>
        <v>1010.31217</v>
      </c>
      <c r="U196" s="164" t="str">
        <f t="shared" si="60"/>
        <v>N/A</v>
      </c>
      <c r="V196" s="163" t="str">
        <f t="shared" si="61"/>
        <v>N/A</v>
      </c>
    </row>
    <row r="197" ht="37.5" customHeight="1">
      <c r="A197" s="117" t="s">
        <v>2116</v>
      </c>
      <c r="B197" s="50" t="s">
        <v>1859</v>
      </c>
      <c r="C197" s="50" t="s">
        <v>2045</v>
      </c>
      <c r="D197" s="167"/>
      <c r="E197" s="49" t="s">
        <v>1757</v>
      </c>
      <c r="F197" s="50"/>
      <c r="G197" s="165" t="s">
        <v>582</v>
      </c>
      <c r="H197" s="158">
        <v>7.667</v>
      </c>
      <c r="I197" s="159" t="s">
        <v>582</v>
      </c>
      <c r="J197" s="160">
        <f>107.138*16*1.937</f>
        <v>3320.420896</v>
      </c>
      <c r="K197" s="118"/>
      <c r="L197" s="118">
        <v>1.22</v>
      </c>
      <c r="M197" s="158">
        <v>1.25</v>
      </c>
      <c r="N197" s="118">
        <v>1.3</v>
      </c>
      <c r="O197" s="158">
        <v>1.15</v>
      </c>
      <c r="P197" s="161">
        <f t="shared" si="47"/>
        <v>7570.14459</v>
      </c>
      <c r="Q197" s="162"/>
      <c r="R197" s="162"/>
      <c r="S197" s="162" t="str">
        <f t="shared" si="55"/>
        <v>INF</v>
      </c>
      <c r="T197" s="162">
        <f t="shared" si="5"/>
        <v>987.3672349</v>
      </c>
      <c r="U197" s="164" t="str">
        <f t="shared" si="60"/>
        <v>N/A</v>
      </c>
      <c r="V197" s="163" t="str">
        <f t="shared" si="61"/>
        <v>N/A</v>
      </c>
    </row>
    <row r="198" ht="37.5" customHeight="1">
      <c r="A198" s="117" t="s">
        <v>2117</v>
      </c>
      <c r="B198" s="117" t="s">
        <v>2118</v>
      </c>
      <c r="C198" s="117" t="s">
        <v>1841</v>
      </c>
      <c r="D198" s="167"/>
      <c r="E198" s="111">
        <v>21.0</v>
      </c>
      <c r="F198" s="50"/>
      <c r="G198" s="157" t="s">
        <v>1791</v>
      </c>
      <c r="H198" s="158">
        <v>1.692</v>
      </c>
      <c r="I198" s="159">
        <f>H198*7*14</f>
        <v>165.816</v>
      </c>
      <c r="J198" s="168">
        <v>588.893</v>
      </c>
      <c r="K198" s="158">
        <v>1.3</v>
      </c>
      <c r="L198" s="118">
        <v>1.22</v>
      </c>
      <c r="M198" s="158">
        <v>1.25</v>
      </c>
      <c r="N198" s="118">
        <v>1.3</v>
      </c>
      <c r="O198" s="158">
        <v>1.1</v>
      </c>
      <c r="P198" s="161">
        <f t="shared" si="47"/>
        <v>1669.496933</v>
      </c>
      <c r="Q198" s="162">
        <v>9696542.31</v>
      </c>
      <c r="R198" s="162">
        <v>45482.674349881796</v>
      </c>
      <c r="S198" s="162">
        <f>IFERROR(P198*7*14,"INF")</f>
        <v>163610.6994</v>
      </c>
      <c r="T198" s="162">
        <f t="shared" si="5"/>
        <v>986.7003148</v>
      </c>
      <c r="U198" s="164">
        <f t="shared" si="60"/>
        <v>0.8655516815</v>
      </c>
      <c r="V198" s="163">
        <f t="shared" si="61"/>
        <v>1.112852162</v>
      </c>
    </row>
    <row r="199" ht="37.5" customHeight="1">
      <c r="A199" s="50" t="s">
        <v>2119</v>
      </c>
      <c r="B199" s="117" t="s">
        <v>1859</v>
      </c>
      <c r="C199" s="117" t="s">
        <v>1103</v>
      </c>
      <c r="D199" s="167"/>
      <c r="E199" s="49" t="s">
        <v>1757</v>
      </c>
      <c r="F199" s="50"/>
      <c r="G199" s="157" t="s">
        <v>582</v>
      </c>
      <c r="H199" s="118">
        <v>0.067</v>
      </c>
      <c r="I199" s="159" t="s">
        <v>582</v>
      </c>
      <c r="J199" s="168">
        <v>28.369</v>
      </c>
      <c r="K199" s="118"/>
      <c r="L199" s="118">
        <v>1.22</v>
      </c>
      <c r="M199" s="158">
        <v>1.25</v>
      </c>
      <c r="N199" s="118">
        <v>1.3</v>
      </c>
      <c r="O199" s="158">
        <v>1.15</v>
      </c>
      <c r="P199" s="161">
        <f t="shared" si="47"/>
        <v>64.67777388</v>
      </c>
      <c r="Q199" s="162"/>
      <c r="R199" s="162"/>
      <c r="S199" s="162" t="str">
        <f t="shared" ref="S199:S205" si="62">IFERROR(P199*E199,"INF")</f>
        <v>INF</v>
      </c>
      <c r="T199" s="162">
        <f t="shared" si="5"/>
        <v>965.3399086</v>
      </c>
      <c r="U199" s="164" t="str">
        <f t="shared" si="60"/>
        <v>N/A</v>
      </c>
      <c r="V199" s="163" t="str">
        <f t="shared" si="61"/>
        <v>N/A</v>
      </c>
    </row>
    <row r="200" ht="37.5" customHeight="1">
      <c r="A200" s="50" t="s">
        <v>2120</v>
      </c>
      <c r="B200" s="117" t="s">
        <v>1859</v>
      </c>
      <c r="C200" s="117" t="s">
        <v>2111</v>
      </c>
      <c r="D200" s="167"/>
      <c r="E200" s="49" t="s">
        <v>1757</v>
      </c>
      <c r="F200" s="50"/>
      <c r="G200" s="165" t="s">
        <v>582</v>
      </c>
      <c r="H200" s="158">
        <v>5.683</v>
      </c>
      <c r="I200" s="159" t="s">
        <v>582</v>
      </c>
      <c r="J200" s="160">
        <f>426.1*6</f>
        <v>2556.6</v>
      </c>
      <c r="K200" s="166"/>
      <c r="L200" s="118">
        <f>(1.1+1.17)/2</f>
        <v>1.135</v>
      </c>
      <c r="M200" s="158">
        <v>1.25</v>
      </c>
      <c r="N200" s="118">
        <v>1.3</v>
      </c>
      <c r="O200" s="158">
        <v>1.15</v>
      </c>
      <c r="P200" s="161">
        <f t="shared" si="47"/>
        <v>5422.628494</v>
      </c>
      <c r="Q200" s="162"/>
      <c r="R200" s="162"/>
      <c r="S200" s="162" t="str">
        <f t="shared" si="62"/>
        <v>INF</v>
      </c>
      <c r="T200" s="162">
        <f t="shared" si="5"/>
        <v>954.1841446</v>
      </c>
      <c r="U200" s="164" t="str">
        <f t="shared" si="60"/>
        <v>N/A</v>
      </c>
      <c r="V200" s="163" t="str">
        <f t="shared" si="61"/>
        <v>N/A</v>
      </c>
    </row>
    <row r="201" ht="37.5" customHeight="1">
      <c r="A201" s="50" t="s">
        <v>2121</v>
      </c>
      <c r="B201" s="117" t="s">
        <v>1771</v>
      </c>
      <c r="C201" s="117" t="s">
        <v>1863</v>
      </c>
      <c r="D201" s="167"/>
      <c r="E201" s="111">
        <v>20.0</v>
      </c>
      <c r="F201" s="50"/>
      <c r="G201" s="165" t="s">
        <v>1753</v>
      </c>
      <c r="H201" s="158">
        <v>1.5</v>
      </c>
      <c r="I201" s="159">
        <f>H201*(E201-1)</f>
        <v>28.5</v>
      </c>
      <c r="J201" s="160">
        <v>439.061</v>
      </c>
      <c r="K201" s="158">
        <v>1.35</v>
      </c>
      <c r="L201" s="118">
        <v>1.22</v>
      </c>
      <c r="M201" s="158">
        <v>1.25</v>
      </c>
      <c r="N201" s="118">
        <v>1.3</v>
      </c>
      <c r="O201" s="158">
        <v>1.15</v>
      </c>
      <c r="P201" s="161">
        <f t="shared" si="47"/>
        <v>1351.355666</v>
      </c>
      <c r="Q201" s="162">
        <v>1451394.492483472</v>
      </c>
      <c r="R201" s="162">
        <v>42272.80516349601</v>
      </c>
      <c r="S201" s="162">
        <f t="shared" si="62"/>
        <v>27027.11333</v>
      </c>
      <c r="T201" s="162">
        <f t="shared" si="5"/>
        <v>948.3197659</v>
      </c>
      <c r="U201" s="164">
        <f t="shared" si="60"/>
        <v>0.9552397625</v>
      </c>
      <c r="V201" s="163">
        <f t="shared" si="61"/>
        <v>1.150779018</v>
      </c>
    </row>
    <row r="202" ht="37.5" customHeight="1">
      <c r="A202" s="117" t="s">
        <v>1021</v>
      </c>
      <c r="B202" s="50" t="s">
        <v>1859</v>
      </c>
      <c r="C202" s="50" t="s">
        <v>2045</v>
      </c>
      <c r="D202" s="167"/>
      <c r="E202" s="49" t="s">
        <v>1757</v>
      </c>
      <c r="F202" s="50"/>
      <c r="G202" s="165" t="s">
        <v>582</v>
      </c>
      <c r="H202" s="158">
        <v>0.4</v>
      </c>
      <c r="I202" s="159" t="s">
        <v>582</v>
      </c>
      <c r="J202" s="160">
        <v>162.82</v>
      </c>
      <c r="K202" s="118"/>
      <c r="L202" s="118">
        <v>1.22</v>
      </c>
      <c r="M202" s="158">
        <v>1.25</v>
      </c>
      <c r="N202" s="118">
        <v>1.3</v>
      </c>
      <c r="O202" s="158">
        <v>1.15</v>
      </c>
      <c r="P202" s="161">
        <f t="shared" si="47"/>
        <v>371.2092475</v>
      </c>
      <c r="Q202" s="162"/>
      <c r="R202" s="162"/>
      <c r="S202" s="162" t="str">
        <f t="shared" si="62"/>
        <v>INF</v>
      </c>
      <c r="T202" s="162">
        <f t="shared" si="5"/>
        <v>928.0231188</v>
      </c>
      <c r="U202" s="164" t="str">
        <f t="shared" si="60"/>
        <v>N/A</v>
      </c>
      <c r="V202" s="163" t="str">
        <f t="shared" si="61"/>
        <v>N/A</v>
      </c>
    </row>
    <row r="203" ht="37.5" customHeight="1">
      <c r="A203" s="50" t="s">
        <v>2122</v>
      </c>
      <c r="B203" s="50" t="s">
        <v>1859</v>
      </c>
      <c r="C203" s="50" t="s">
        <v>1752</v>
      </c>
      <c r="D203" s="167"/>
      <c r="E203" s="49" t="s">
        <v>1757</v>
      </c>
      <c r="F203" s="50"/>
      <c r="G203" s="165" t="s">
        <v>582</v>
      </c>
      <c r="H203" s="158">
        <v>1.25</v>
      </c>
      <c r="I203" s="159" t="s">
        <v>582</v>
      </c>
      <c r="J203" s="160">
        <f>207.6+99.823*3</f>
        <v>507.069</v>
      </c>
      <c r="K203" s="118"/>
      <c r="L203" s="118">
        <v>1.22</v>
      </c>
      <c r="M203" s="158">
        <v>1.25</v>
      </c>
      <c r="N203" s="118">
        <v>1.3</v>
      </c>
      <c r="O203" s="158">
        <v>1.15</v>
      </c>
      <c r="P203" s="161">
        <f t="shared" si="47"/>
        <v>1156.053936</v>
      </c>
      <c r="Q203" s="162"/>
      <c r="R203" s="162"/>
      <c r="S203" s="162" t="str">
        <f t="shared" si="62"/>
        <v>INF</v>
      </c>
      <c r="T203" s="162">
        <f t="shared" si="5"/>
        <v>924.8431491</v>
      </c>
      <c r="U203" s="164" t="str">
        <f t="shared" si="60"/>
        <v>N/A</v>
      </c>
      <c r="V203" s="163" t="str">
        <f t="shared" si="61"/>
        <v>N/A</v>
      </c>
    </row>
    <row r="204" ht="37.5" customHeight="1">
      <c r="A204" s="117" t="s">
        <v>2123</v>
      </c>
      <c r="B204" s="50" t="s">
        <v>1859</v>
      </c>
      <c r="C204" s="50" t="s">
        <v>2045</v>
      </c>
      <c r="D204" s="167"/>
      <c r="E204" s="49" t="s">
        <v>1757</v>
      </c>
      <c r="F204" s="50"/>
      <c r="G204" s="165" t="s">
        <v>582</v>
      </c>
      <c r="H204" s="158">
        <v>9.05</v>
      </c>
      <c r="I204" s="159" t="s">
        <v>582</v>
      </c>
      <c r="J204" s="160">
        <f>417.766*1.27+107.138*15*1.937</f>
        <v>3643.45741</v>
      </c>
      <c r="K204" s="118"/>
      <c r="L204" s="118">
        <v>1.22</v>
      </c>
      <c r="M204" s="158">
        <v>1.25</v>
      </c>
      <c r="N204" s="118">
        <v>1.3</v>
      </c>
      <c r="O204" s="158">
        <v>1.15</v>
      </c>
      <c r="P204" s="161">
        <f t="shared" si="47"/>
        <v>8306.627463</v>
      </c>
      <c r="Q204" s="162"/>
      <c r="R204" s="162"/>
      <c r="S204" s="162" t="str">
        <f t="shared" si="62"/>
        <v>INF</v>
      </c>
      <c r="T204" s="162">
        <f t="shared" si="5"/>
        <v>917.8593881</v>
      </c>
      <c r="U204" s="164" t="str">
        <f t="shared" si="60"/>
        <v>N/A</v>
      </c>
      <c r="V204" s="163" t="str">
        <f t="shared" si="61"/>
        <v>N/A</v>
      </c>
    </row>
    <row r="205" ht="37.5" customHeight="1">
      <c r="A205" s="50" t="s">
        <v>817</v>
      </c>
      <c r="B205" s="117" t="s">
        <v>1859</v>
      </c>
      <c r="C205" s="117" t="s">
        <v>1863</v>
      </c>
      <c r="D205" s="167"/>
      <c r="E205" s="111" t="s">
        <v>1757</v>
      </c>
      <c r="F205" s="50"/>
      <c r="G205" s="165" t="s">
        <v>582</v>
      </c>
      <c r="H205" s="118">
        <v>1.517</v>
      </c>
      <c r="I205" s="186" t="s">
        <v>582</v>
      </c>
      <c r="J205" s="160">
        <v>584.62</v>
      </c>
      <c r="K205" s="158"/>
      <c r="L205" s="118">
        <v>1.22</v>
      </c>
      <c r="M205" s="158">
        <v>1.25</v>
      </c>
      <c r="N205" s="118">
        <v>1.3</v>
      </c>
      <c r="O205" s="158">
        <v>1.15</v>
      </c>
      <c r="P205" s="161">
        <f t="shared" si="47"/>
        <v>1332.860523</v>
      </c>
      <c r="Q205" s="162"/>
      <c r="R205" s="162"/>
      <c r="S205" s="162" t="str">
        <f t="shared" si="62"/>
        <v>INF</v>
      </c>
      <c r="T205" s="162">
        <f t="shared" si="5"/>
        <v>878.6160333</v>
      </c>
      <c r="U205" s="164" t="str">
        <f t="shared" si="60"/>
        <v>N/A</v>
      </c>
      <c r="V205" s="163" t="str">
        <f t="shared" si="61"/>
        <v>N/A</v>
      </c>
    </row>
    <row r="206" ht="37.5" customHeight="1">
      <c r="A206" s="50" t="s">
        <v>2124</v>
      </c>
      <c r="B206" s="50" t="s">
        <v>2118</v>
      </c>
      <c r="C206" s="50" t="s">
        <v>1805</v>
      </c>
      <c r="D206" s="167"/>
      <c r="E206" s="111">
        <v>29.0</v>
      </c>
      <c r="F206" s="50"/>
      <c r="G206" s="165" t="s">
        <v>1982</v>
      </c>
      <c r="H206" s="118">
        <v>10.05</v>
      </c>
      <c r="I206" s="159">
        <f>H206*15</f>
        <v>150.75</v>
      </c>
      <c r="J206" s="160">
        <f>2091.813*2</f>
        <v>4183.626</v>
      </c>
      <c r="K206" s="118"/>
      <c r="L206" s="118">
        <v>1.22</v>
      </c>
      <c r="M206" s="158">
        <v>1.25</v>
      </c>
      <c r="N206" s="118">
        <v>1.3</v>
      </c>
      <c r="O206" s="158">
        <v>1.1</v>
      </c>
      <c r="P206" s="161">
        <f t="shared" si="47"/>
        <v>9123.4424</v>
      </c>
      <c r="Q206" s="162">
        <v>6175880.73905574</v>
      </c>
      <c r="R206" s="162">
        <v>45519.66640173753</v>
      </c>
      <c r="S206" s="162">
        <f>IFERROR(P206*E206/2,"INF")</f>
        <v>132289.9148</v>
      </c>
      <c r="T206" s="162">
        <f t="shared" si="5"/>
        <v>877.5450401</v>
      </c>
      <c r="U206" s="164">
        <f t="shared" si="60"/>
        <v>1.098818685</v>
      </c>
      <c r="V206" s="163">
        <f t="shared" si="61"/>
        <v>0.9889368167</v>
      </c>
    </row>
    <row r="207" ht="37.5" customHeight="1">
      <c r="A207" s="117" t="s">
        <v>701</v>
      </c>
      <c r="B207" s="50" t="s">
        <v>1859</v>
      </c>
      <c r="C207" s="50" t="s">
        <v>1879</v>
      </c>
      <c r="D207" s="167"/>
      <c r="E207" s="49" t="s">
        <v>1757</v>
      </c>
      <c r="F207" s="50"/>
      <c r="G207" s="165" t="s">
        <v>582</v>
      </c>
      <c r="H207" s="118">
        <v>12.65</v>
      </c>
      <c r="I207" s="159" t="s">
        <v>582</v>
      </c>
      <c r="J207" s="168">
        <f>31.133*150</f>
        <v>4669.95</v>
      </c>
      <c r="K207" s="118"/>
      <c r="L207" s="118">
        <v>1.22</v>
      </c>
      <c r="M207" s="158">
        <v>1.25</v>
      </c>
      <c r="N207" s="118">
        <v>1.3</v>
      </c>
      <c r="O207" s="158">
        <v>1.15</v>
      </c>
      <c r="P207" s="161">
        <f t="shared" si="47"/>
        <v>10646.90226</v>
      </c>
      <c r="Q207" s="162"/>
      <c r="R207" s="162"/>
      <c r="S207" s="162" t="str">
        <f>IFERROR(P207*E207,"INF")</f>
        <v>INF</v>
      </c>
      <c r="T207" s="162">
        <f t="shared" si="5"/>
        <v>841.6523523</v>
      </c>
      <c r="U207" s="164" t="str">
        <f t="shared" si="60"/>
        <v>N/A</v>
      </c>
      <c r="V207" s="163" t="str">
        <f t="shared" si="61"/>
        <v>N/A</v>
      </c>
    </row>
    <row r="208" ht="37.5" customHeight="1">
      <c r="A208" s="117" t="s">
        <v>2125</v>
      </c>
      <c r="B208" s="117" t="s">
        <v>1859</v>
      </c>
      <c r="C208" s="117" t="s">
        <v>1942</v>
      </c>
      <c r="D208" s="167"/>
      <c r="E208" s="111" t="s">
        <v>1757</v>
      </c>
      <c r="F208" s="117" t="s">
        <v>1953</v>
      </c>
      <c r="G208" s="157" t="s">
        <v>2126</v>
      </c>
      <c r="H208" s="158">
        <v>9.483</v>
      </c>
      <c r="I208" s="186" t="s">
        <v>582</v>
      </c>
      <c r="J208" s="160">
        <f>135.218*25</f>
        <v>3380.45</v>
      </c>
      <c r="K208" s="118"/>
      <c r="L208" s="118">
        <v>1.22</v>
      </c>
      <c r="M208" s="158">
        <v>1.25</v>
      </c>
      <c r="N208" s="118">
        <v>1.3</v>
      </c>
      <c r="O208" s="158">
        <v>1.15</v>
      </c>
      <c r="P208" s="161">
        <f t="shared" si="47"/>
        <v>7707.003444</v>
      </c>
      <c r="Q208" s="162"/>
      <c r="R208" s="162"/>
      <c r="S208" s="162" t="str">
        <f>IFERROR(P208*E208/1.2*(1+0.2*2/3),"INF")</f>
        <v>INF</v>
      </c>
      <c r="T208" s="162">
        <f t="shared" si="5"/>
        <v>812.7178576</v>
      </c>
      <c r="U208" s="164" t="str">
        <f t="shared" si="60"/>
        <v>N/A</v>
      </c>
      <c r="V208" s="163" t="str">
        <f t="shared" si="61"/>
        <v>N/A</v>
      </c>
    </row>
    <row r="209" ht="37.5" customHeight="1">
      <c r="A209" s="117" t="s">
        <v>2127</v>
      </c>
      <c r="B209" s="117" t="s">
        <v>1859</v>
      </c>
      <c r="C209" s="117" t="s">
        <v>2111</v>
      </c>
      <c r="D209" s="167"/>
      <c r="E209" s="49" t="s">
        <v>1757</v>
      </c>
      <c r="F209" s="50"/>
      <c r="G209" s="165" t="s">
        <v>582</v>
      </c>
      <c r="H209" s="158">
        <v>8.217</v>
      </c>
      <c r="I209" s="159" t="s">
        <v>582</v>
      </c>
      <c r="J209" s="168">
        <f>177.838*20</f>
        <v>3556.76</v>
      </c>
      <c r="K209" s="166"/>
      <c r="L209" s="158"/>
      <c r="M209" s="158">
        <v>1.25</v>
      </c>
      <c r="N209" s="118">
        <v>1.3</v>
      </c>
      <c r="O209" s="158">
        <v>1.15</v>
      </c>
      <c r="P209" s="161">
        <f t="shared" si="47"/>
        <v>6646.69525</v>
      </c>
      <c r="Q209" s="162"/>
      <c r="R209" s="162"/>
      <c r="S209" s="162" t="str">
        <f t="shared" ref="S209:S214" si="63">IFERROR(P209*E209,"INF")</f>
        <v>INF</v>
      </c>
      <c r="T209" s="162">
        <f t="shared" si="5"/>
        <v>808.8956128</v>
      </c>
      <c r="U209" s="164" t="str">
        <f t="shared" si="60"/>
        <v>N/A</v>
      </c>
      <c r="V209" s="163" t="str">
        <f t="shared" si="61"/>
        <v>N/A</v>
      </c>
    </row>
    <row r="210" ht="37.5" customHeight="1">
      <c r="A210" s="50" t="s">
        <v>2128</v>
      </c>
      <c r="B210" s="117" t="s">
        <v>1771</v>
      </c>
      <c r="C210" s="117" t="s">
        <v>1942</v>
      </c>
      <c r="D210" s="167"/>
      <c r="E210" s="111">
        <v>470.0</v>
      </c>
      <c r="F210" s="117" t="s">
        <v>2077</v>
      </c>
      <c r="G210" s="157" t="s">
        <v>2129</v>
      </c>
      <c r="H210" s="118">
        <v>0.067</v>
      </c>
      <c r="I210" s="159">
        <f>H210*(E210-3)+1.083*2</f>
        <v>33.455</v>
      </c>
      <c r="J210" s="160">
        <v>25.029</v>
      </c>
      <c r="K210" s="118"/>
      <c r="L210" s="118">
        <v>1.22</v>
      </c>
      <c r="M210" s="158">
        <v>1.25</v>
      </c>
      <c r="N210" s="118">
        <v>1.3</v>
      </c>
      <c r="O210" s="158">
        <v>1.15</v>
      </c>
      <c r="P210" s="161">
        <f t="shared" si="47"/>
        <v>57.06299138</v>
      </c>
      <c r="Q210" s="162">
        <v>1283025.2619401412</v>
      </c>
      <c r="R210" s="162">
        <v>34138.447221885996</v>
      </c>
      <c r="S210" s="162">
        <f t="shared" si="63"/>
        <v>26819.60595</v>
      </c>
      <c r="T210" s="162">
        <f t="shared" si="5"/>
        <v>801.6621117</v>
      </c>
      <c r="U210" s="164">
        <f t="shared" si="60"/>
        <v>1.072297726</v>
      </c>
      <c r="V210" s="163">
        <f t="shared" si="61"/>
        <v>1.204608144</v>
      </c>
    </row>
    <row r="211" ht="37.5" customHeight="1">
      <c r="A211" s="50" t="s">
        <v>2130</v>
      </c>
      <c r="B211" s="117" t="s">
        <v>2118</v>
      </c>
      <c r="C211" s="117" t="s">
        <v>2131</v>
      </c>
      <c r="D211" s="167"/>
      <c r="E211" s="49" t="s">
        <v>1757</v>
      </c>
      <c r="F211" s="50"/>
      <c r="G211" s="165" t="s">
        <v>582</v>
      </c>
      <c r="H211" s="118">
        <v>1.317</v>
      </c>
      <c r="I211" s="159" t="s">
        <v>582</v>
      </c>
      <c r="J211" s="168">
        <v>615.6</v>
      </c>
      <c r="K211" s="166"/>
      <c r="L211" s="118"/>
      <c r="M211" s="118"/>
      <c r="N211" s="118">
        <v>1.3</v>
      </c>
      <c r="O211" s="118">
        <f>1+0.65*((5444+182*8)/(5444+7090+182*8+103+143))</f>
        <v>1.315046361</v>
      </c>
      <c r="P211" s="161">
        <f t="shared" si="47"/>
        <v>1052.405302</v>
      </c>
      <c r="Q211" s="162"/>
      <c r="R211" s="162"/>
      <c r="S211" s="162" t="str">
        <f t="shared" si="63"/>
        <v>INF</v>
      </c>
      <c r="T211" s="162">
        <f t="shared" si="5"/>
        <v>799.0928641</v>
      </c>
      <c r="U211" s="164" t="str">
        <f t="shared" si="60"/>
        <v>N/A</v>
      </c>
      <c r="V211" s="163" t="str">
        <f t="shared" si="61"/>
        <v>N/A</v>
      </c>
    </row>
    <row r="212" ht="37.5" customHeight="1">
      <c r="A212" s="50" t="s">
        <v>2132</v>
      </c>
      <c r="B212" s="117" t="s">
        <v>1859</v>
      </c>
      <c r="C212" s="117" t="s">
        <v>1879</v>
      </c>
      <c r="D212" s="167"/>
      <c r="E212" s="49" t="s">
        <v>1757</v>
      </c>
      <c r="F212" s="50"/>
      <c r="G212" s="165" t="s">
        <v>582</v>
      </c>
      <c r="H212" s="118">
        <v>7.567</v>
      </c>
      <c r="I212" s="159" t="s">
        <v>582</v>
      </c>
      <c r="J212" s="160">
        <f>27.67*42+475.849*3</f>
        <v>2589.687</v>
      </c>
      <c r="K212" s="118"/>
      <c r="L212" s="118">
        <v>1.22</v>
      </c>
      <c r="M212" s="158">
        <v>1.25</v>
      </c>
      <c r="N212" s="118">
        <v>1.3</v>
      </c>
      <c r="O212" s="158">
        <v>1.15</v>
      </c>
      <c r="P212" s="161">
        <f t="shared" si="47"/>
        <v>5904.162649</v>
      </c>
      <c r="Q212" s="162"/>
      <c r="R212" s="162"/>
      <c r="S212" s="162" t="str">
        <f t="shared" si="63"/>
        <v>INF</v>
      </c>
      <c r="T212" s="162">
        <f t="shared" si="5"/>
        <v>780.2514403</v>
      </c>
      <c r="U212" s="164" t="str">
        <f t="shared" si="60"/>
        <v>N/A</v>
      </c>
      <c r="V212" s="163" t="str">
        <f t="shared" si="61"/>
        <v>N/A</v>
      </c>
    </row>
    <row r="213" ht="37.5" customHeight="1">
      <c r="A213" s="117" t="s">
        <v>2133</v>
      </c>
      <c r="B213" s="117" t="s">
        <v>1859</v>
      </c>
      <c r="C213" s="117" t="s">
        <v>2111</v>
      </c>
      <c r="D213" s="167"/>
      <c r="E213" s="49" t="s">
        <v>1757</v>
      </c>
      <c r="F213" s="50"/>
      <c r="G213" s="165" t="s">
        <v>582</v>
      </c>
      <c r="H213" s="158">
        <v>3.433</v>
      </c>
      <c r="I213" s="159" t="s">
        <v>582</v>
      </c>
      <c r="J213" s="168">
        <f>158.086*8</f>
        <v>1264.688</v>
      </c>
      <c r="K213" s="166"/>
      <c r="L213" s="158"/>
      <c r="M213" s="158">
        <v>1.25</v>
      </c>
      <c r="N213" s="118">
        <v>1.3</v>
      </c>
      <c r="O213" s="158">
        <v>1.15</v>
      </c>
      <c r="P213" s="161">
        <f t="shared" si="47"/>
        <v>2363.3857</v>
      </c>
      <c r="Q213" s="162"/>
      <c r="R213" s="162"/>
      <c r="S213" s="162" t="str">
        <f t="shared" si="63"/>
        <v>INF</v>
      </c>
      <c r="T213" s="162">
        <f t="shared" si="5"/>
        <v>688.431605</v>
      </c>
      <c r="U213" s="164" t="str">
        <f t="shared" si="60"/>
        <v>N/A</v>
      </c>
      <c r="V213" s="163" t="str">
        <f t="shared" si="61"/>
        <v>N/A</v>
      </c>
    </row>
    <row r="214" ht="37.5" customHeight="1">
      <c r="A214" s="117" t="s">
        <v>2134</v>
      </c>
      <c r="B214" s="50" t="s">
        <v>1859</v>
      </c>
      <c r="C214" s="50" t="s">
        <v>1879</v>
      </c>
      <c r="D214" s="167"/>
      <c r="E214" s="49" t="s">
        <v>1757</v>
      </c>
      <c r="F214" s="50"/>
      <c r="G214" s="165" t="s">
        <v>582</v>
      </c>
      <c r="H214" s="118">
        <v>5.167</v>
      </c>
      <c r="I214" s="159" t="s">
        <v>582</v>
      </c>
      <c r="J214" s="160">
        <f>36.032*43</f>
        <v>1549.376</v>
      </c>
      <c r="K214" s="118"/>
      <c r="L214" s="118">
        <v>1.22</v>
      </c>
      <c r="M214" s="158">
        <v>1.25</v>
      </c>
      <c r="N214" s="118">
        <v>1.3</v>
      </c>
      <c r="O214" s="158">
        <v>1.15</v>
      </c>
      <c r="P214" s="161">
        <f t="shared" si="47"/>
        <v>3532.383608</v>
      </c>
      <c r="Q214" s="162"/>
      <c r="R214" s="162"/>
      <c r="S214" s="162" t="str">
        <f t="shared" si="63"/>
        <v>INF</v>
      </c>
      <c r="T214" s="162">
        <f t="shared" si="5"/>
        <v>683.6430439</v>
      </c>
      <c r="U214" s="164" t="str">
        <f t="shared" si="60"/>
        <v>N/A</v>
      </c>
      <c r="V214" s="163" t="str">
        <f t="shared" si="61"/>
        <v>N/A</v>
      </c>
    </row>
    <row r="215" ht="37.5" customHeight="1">
      <c r="A215" s="117" t="s">
        <v>2135</v>
      </c>
      <c r="B215" s="117" t="s">
        <v>1859</v>
      </c>
      <c r="C215" s="117" t="s">
        <v>1942</v>
      </c>
      <c r="D215" s="167"/>
      <c r="E215" s="111" t="s">
        <v>1757</v>
      </c>
      <c r="F215" s="117" t="s">
        <v>1953</v>
      </c>
      <c r="G215" s="157" t="s">
        <v>2126</v>
      </c>
      <c r="H215" s="158">
        <v>6.133</v>
      </c>
      <c r="I215" s="186" t="s">
        <v>582</v>
      </c>
      <c r="J215" s="160">
        <f>23.139*75</f>
        <v>1735.425</v>
      </c>
      <c r="K215" s="118"/>
      <c r="L215" s="118">
        <v>1.22</v>
      </c>
      <c r="M215" s="158">
        <v>1.25</v>
      </c>
      <c r="N215" s="118">
        <v>1.3</v>
      </c>
      <c r="O215" s="158">
        <v>1.15</v>
      </c>
      <c r="P215" s="161">
        <f t="shared" si="47"/>
        <v>3956.552072</v>
      </c>
      <c r="Q215" s="162"/>
      <c r="R215" s="162"/>
      <c r="S215" s="162" t="str">
        <f>IFERROR(P215*E215/1.2*(1+0.2*2/3),"INF")</f>
        <v>INF</v>
      </c>
      <c r="T215" s="162">
        <f t="shared" si="5"/>
        <v>645.1250729</v>
      </c>
      <c r="U215" s="164" t="str">
        <f t="shared" si="60"/>
        <v>N/A</v>
      </c>
      <c r="V215" s="163" t="str">
        <f t="shared" si="61"/>
        <v>N/A</v>
      </c>
    </row>
    <row r="216" ht="37.5" customHeight="1">
      <c r="A216" s="50" t="s">
        <v>2136</v>
      </c>
      <c r="B216" s="50" t="s">
        <v>2118</v>
      </c>
      <c r="C216" s="50" t="s">
        <v>2137</v>
      </c>
      <c r="D216" s="167"/>
      <c r="E216" s="49" t="s">
        <v>1757</v>
      </c>
      <c r="F216" s="50"/>
      <c r="G216" s="165" t="s">
        <v>582</v>
      </c>
      <c r="H216" s="158">
        <v>1.46</v>
      </c>
      <c r="I216" s="159" t="s">
        <v>582</v>
      </c>
      <c r="J216" s="160">
        <v>675.457</v>
      </c>
      <c r="K216" s="166"/>
      <c r="L216" s="118"/>
      <c r="M216" s="118"/>
      <c r="N216" s="118">
        <v>1.3</v>
      </c>
      <c r="O216" s="118"/>
      <c r="P216" s="161">
        <f t="shared" si="47"/>
        <v>878.0941</v>
      </c>
      <c r="Q216" s="162"/>
      <c r="R216" s="162"/>
      <c r="S216" s="162" t="str">
        <f t="shared" ref="S216:S227" si="64">IFERROR(P216*E216,"INF")</f>
        <v>INF</v>
      </c>
      <c r="T216" s="162">
        <f t="shared" si="5"/>
        <v>601.4343151</v>
      </c>
      <c r="U216" s="164" t="str">
        <f t="shared" si="60"/>
        <v>N/A</v>
      </c>
      <c r="V216" s="163" t="str">
        <f t="shared" si="61"/>
        <v>N/A</v>
      </c>
    </row>
    <row r="217" ht="37.5" customHeight="1">
      <c r="A217" s="117" t="s">
        <v>2138</v>
      </c>
      <c r="B217" s="117" t="s">
        <v>2118</v>
      </c>
      <c r="C217" s="117" t="s">
        <v>2131</v>
      </c>
      <c r="D217" s="167"/>
      <c r="E217" s="49" t="s">
        <v>1757</v>
      </c>
      <c r="F217" s="50"/>
      <c r="G217" s="165" t="s">
        <v>582</v>
      </c>
      <c r="H217" s="158">
        <v>1.0</v>
      </c>
      <c r="I217" s="159" t="s">
        <v>582</v>
      </c>
      <c r="J217" s="168">
        <v>277.816</v>
      </c>
      <c r="K217" s="166"/>
      <c r="L217" s="118"/>
      <c r="M217" s="118"/>
      <c r="N217" s="118">
        <v>1.3</v>
      </c>
      <c r="O217" s="118">
        <v>1.65</v>
      </c>
      <c r="P217" s="161">
        <f t="shared" si="47"/>
        <v>595.91532</v>
      </c>
      <c r="Q217" s="162" t="s">
        <v>1757</v>
      </c>
      <c r="R217" s="162">
        <v>12092.6</v>
      </c>
      <c r="S217" s="162" t="str">
        <f t="shared" si="64"/>
        <v>INF</v>
      </c>
      <c r="T217" s="162">
        <f t="shared" si="5"/>
        <v>595.91532</v>
      </c>
      <c r="U217" s="164" t="str">
        <f t="shared" si="60"/>
        <v>N/A</v>
      </c>
      <c r="V217" s="163">
        <f t="shared" si="61"/>
        <v>2.52791847</v>
      </c>
    </row>
    <row r="218" ht="37.5" customHeight="1">
      <c r="A218" s="50" t="s">
        <v>2139</v>
      </c>
      <c r="B218" s="117" t="s">
        <v>1859</v>
      </c>
      <c r="C218" s="117" t="s">
        <v>2045</v>
      </c>
      <c r="D218" s="167"/>
      <c r="E218" s="111" t="s">
        <v>1757</v>
      </c>
      <c r="F218" s="117" t="s">
        <v>1953</v>
      </c>
      <c r="G218" s="157" t="s">
        <v>2140</v>
      </c>
      <c r="H218" s="158">
        <v>5.617</v>
      </c>
      <c r="I218" s="186" t="s">
        <v>582</v>
      </c>
      <c r="J218" s="168">
        <f>91.29*16</f>
        <v>1460.64</v>
      </c>
      <c r="K218" s="158"/>
      <c r="L218" s="118">
        <v>1.22</v>
      </c>
      <c r="M218" s="158">
        <v>1.25</v>
      </c>
      <c r="N218" s="118">
        <v>1.3</v>
      </c>
      <c r="O218" s="158">
        <v>1.15</v>
      </c>
      <c r="P218" s="161">
        <f t="shared" si="47"/>
        <v>3330.07662</v>
      </c>
      <c r="Q218" s="162"/>
      <c r="R218" s="162"/>
      <c r="S218" s="162" t="str">
        <f t="shared" si="64"/>
        <v>INF</v>
      </c>
      <c r="T218" s="162">
        <f t="shared" si="5"/>
        <v>592.8567954</v>
      </c>
      <c r="U218" s="164" t="str">
        <f t="shared" si="60"/>
        <v>N/A</v>
      </c>
      <c r="V218" s="163" t="str">
        <f t="shared" si="61"/>
        <v>N/A</v>
      </c>
    </row>
    <row r="219" ht="37.5" customHeight="1">
      <c r="A219" s="50" t="s">
        <v>2141</v>
      </c>
      <c r="B219" s="117" t="s">
        <v>2118</v>
      </c>
      <c r="C219" s="117" t="s">
        <v>2131</v>
      </c>
      <c r="D219" s="167"/>
      <c r="E219" s="49" t="s">
        <v>1757</v>
      </c>
      <c r="F219" s="50"/>
      <c r="G219" s="165" t="s">
        <v>582</v>
      </c>
      <c r="H219" s="118">
        <v>1.317</v>
      </c>
      <c r="I219" s="159" t="s">
        <v>582</v>
      </c>
      <c r="J219" s="168">
        <v>459.42</v>
      </c>
      <c r="K219" s="166"/>
      <c r="L219" s="118"/>
      <c r="M219" s="118"/>
      <c r="N219" s="118">
        <v>1.3</v>
      </c>
      <c r="O219" s="118">
        <f>1+0.65*(6807/(6807+7090+103*2+181*2))</f>
        <v>1.30587971</v>
      </c>
      <c r="P219" s="161">
        <f t="shared" si="47"/>
        <v>779.9314331</v>
      </c>
      <c r="Q219" s="162" t="s">
        <v>1757</v>
      </c>
      <c r="R219" s="162">
        <v>23513.712533262806</v>
      </c>
      <c r="S219" s="162" t="str">
        <f t="shared" si="64"/>
        <v>INF</v>
      </c>
      <c r="T219" s="162">
        <f t="shared" si="5"/>
        <v>592.2030623</v>
      </c>
      <c r="U219" s="164" t="str">
        <f t="shared" si="60"/>
        <v>N/A</v>
      </c>
      <c r="V219" s="163">
        <f t="shared" si="61"/>
        <v>1.291955766</v>
      </c>
    </row>
    <row r="220" ht="37.5" customHeight="1">
      <c r="A220" s="50" t="s">
        <v>2142</v>
      </c>
      <c r="B220" s="50" t="s">
        <v>2118</v>
      </c>
      <c r="C220" s="50" t="s">
        <v>1863</v>
      </c>
      <c r="D220" s="167"/>
      <c r="E220" s="111">
        <v>20.0</v>
      </c>
      <c r="F220" s="50"/>
      <c r="G220" s="165" t="s">
        <v>1753</v>
      </c>
      <c r="H220" s="118">
        <v>6.0</v>
      </c>
      <c r="I220" s="159">
        <f>H220*E220</f>
        <v>120</v>
      </c>
      <c r="J220" s="160">
        <v>1079.425</v>
      </c>
      <c r="K220" s="158">
        <v>1.35</v>
      </c>
      <c r="L220" s="118">
        <v>1.22</v>
      </c>
      <c r="M220" s="158">
        <v>1.25</v>
      </c>
      <c r="N220" s="118">
        <v>1.3</v>
      </c>
      <c r="O220" s="158">
        <v>1.15</v>
      </c>
      <c r="P220" s="161">
        <f t="shared" si="47"/>
        <v>3322.287997</v>
      </c>
      <c r="Q220" s="162">
        <v>3142541.1942332876</v>
      </c>
      <c r="R220" s="162">
        <v>20950.274628221916</v>
      </c>
      <c r="S220" s="162">
        <f t="shared" si="64"/>
        <v>66445.75994</v>
      </c>
      <c r="T220" s="162">
        <f t="shared" si="5"/>
        <v>553.7146662</v>
      </c>
      <c r="U220" s="164">
        <f t="shared" si="60"/>
        <v>1.084637195</v>
      </c>
      <c r="V220" s="163">
        <f t="shared" si="61"/>
        <v>1.355796494</v>
      </c>
    </row>
    <row r="221" ht="37.5" customHeight="1">
      <c r="A221" s="50" t="s">
        <v>2143</v>
      </c>
      <c r="B221" s="117" t="s">
        <v>2118</v>
      </c>
      <c r="C221" s="117" t="s">
        <v>2131</v>
      </c>
      <c r="D221" s="167"/>
      <c r="E221" s="49" t="s">
        <v>1757</v>
      </c>
      <c r="F221" s="50"/>
      <c r="G221" s="165" t="s">
        <v>582</v>
      </c>
      <c r="H221" s="118">
        <v>1.35</v>
      </c>
      <c r="I221" s="159" t="s">
        <v>582</v>
      </c>
      <c r="J221" s="168">
        <v>272.031</v>
      </c>
      <c r="K221" s="166"/>
      <c r="L221" s="118"/>
      <c r="M221" s="118">
        <v>1.1</v>
      </c>
      <c r="N221" s="118">
        <v>1.3</v>
      </c>
      <c r="O221" s="118">
        <v>1.65</v>
      </c>
      <c r="P221" s="161">
        <f t="shared" si="47"/>
        <v>641.8571445</v>
      </c>
      <c r="Q221" s="162" t="s">
        <v>1757</v>
      </c>
      <c r="R221" s="162">
        <v>14905.588837476804</v>
      </c>
      <c r="S221" s="162" t="str">
        <f t="shared" si="64"/>
        <v>INF</v>
      </c>
      <c r="T221" s="162">
        <f t="shared" si="5"/>
        <v>475.4497367</v>
      </c>
      <c r="U221" s="164" t="str">
        <f t="shared" si="60"/>
        <v>N/A</v>
      </c>
      <c r="V221" s="163">
        <f t="shared" si="61"/>
        <v>1.636265125</v>
      </c>
    </row>
    <row r="222" ht="37.5" customHeight="1">
      <c r="A222" s="50" t="s">
        <v>2144</v>
      </c>
      <c r="B222" s="50" t="s">
        <v>2118</v>
      </c>
      <c r="C222" s="50" t="s">
        <v>1863</v>
      </c>
      <c r="D222" s="167"/>
      <c r="E222" s="111">
        <v>20.0</v>
      </c>
      <c r="F222" s="50"/>
      <c r="G222" s="165" t="s">
        <v>1753</v>
      </c>
      <c r="H222" s="118">
        <v>4.65</v>
      </c>
      <c r="I222" s="159">
        <f t="shared" ref="I222:I223" si="65">H222*E222</f>
        <v>93</v>
      </c>
      <c r="J222" s="160">
        <v>951.485</v>
      </c>
      <c r="K222" s="118"/>
      <c r="L222" s="118">
        <v>1.22</v>
      </c>
      <c r="M222" s="158">
        <v>1.25</v>
      </c>
      <c r="N222" s="118">
        <v>1.3</v>
      </c>
      <c r="O222" s="158">
        <v>1.15</v>
      </c>
      <c r="P222" s="161">
        <f t="shared" si="47"/>
        <v>2169.266864</v>
      </c>
      <c r="Q222" s="162">
        <v>2412941.5289662206</v>
      </c>
      <c r="R222" s="162">
        <v>20756.486270677164</v>
      </c>
      <c r="S222" s="162">
        <f t="shared" si="64"/>
        <v>43385.33729</v>
      </c>
      <c r="T222" s="162">
        <f t="shared" si="5"/>
        <v>466.5090031</v>
      </c>
      <c r="U222" s="164">
        <f t="shared" si="60"/>
        <v>0.922347086</v>
      </c>
      <c r="V222" s="163">
        <f t="shared" si="61"/>
        <v>1.152933858</v>
      </c>
    </row>
    <row r="223" ht="37.5" customHeight="1">
      <c r="A223" s="50" t="s">
        <v>2145</v>
      </c>
      <c r="B223" s="50" t="s">
        <v>2118</v>
      </c>
      <c r="C223" s="50" t="s">
        <v>1863</v>
      </c>
      <c r="D223" s="167"/>
      <c r="E223" s="111">
        <v>20.0</v>
      </c>
      <c r="F223" s="50"/>
      <c r="G223" s="165" t="s">
        <v>1753</v>
      </c>
      <c r="H223" s="118">
        <v>9.783</v>
      </c>
      <c r="I223" s="159">
        <f t="shared" si="65"/>
        <v>195.66</v>
      </c>
      <c r="J223" s="160">
        <v>1948.335</v>
      </c>
      <c r="K223" s="118"/>
      <c r="L223" s="118">
        <v>1.22</v>
      </c>
      <c r="M223" s="158">
        <v>1.25</v>
      </c>
      <c r="N223" s="118">
        <v>1.3</v>
      </c>
      <c r="O223" s="158">
        <v>1.15</v>
      </c>
      <c r="P223" s="161">
        <f t="shared" si="47"/>
        <v>4441.960258</v>
      </c>
      <c r="Q223" s="162">
        <v>4955947.004408523</v>
      </c>
      <c r="R223" s="162">
        <v>20263.506100004186</v>
      </c>
      <c r="S223" s="162">
        <f t="shared" si="64"/>
        <v>88839.20516</v>
      </c>
      <c r="T223" s="162">
        <f t="shared" si="5"/>
        <v>454.0488867</v>
      </c>
      <c r="U223" s="164">
        <f t="shared" si="60"/>
        <v>0.919551825</v>
      </c>
      <c r="V223" s="163">
        <f t="shared" si="61"/>
        <v>1.149439781</v>
      </c>
    </row>
    <row r="224" ht="37.5" customHeight="1">
      <c r="A224" s="50" t="s">
        <v>2146</v>
      </c>
      <c r="B224" s="50" t="s">
        <v>2118</v>
      </c>
      <c r="C224" s="50" t="s">
        <v>2137</v>
      </c>
      <c r="D224" s="167"/>
      <c r="E224" s="49" t="s">
        <v>1757</v>
      </c>
      <c r="F224" s="50"/>
      <c r="G224" s="165" t="s">
        <v>582</v>
      </c>
      <c r="H224" s="158">
        <v>2.15</v>
      </c>
      <c r="I224" s="159" t="s">
        <v>582</v>
      </c>
      <c r="J224" s="168">
        <v>373.698</v>
      </c>
      <c r="K224" s="118"/>
      <c r="L224" s="118"/>
      <c r="M224" s="158"/>
      <c r="N224" s="118">
        <v>1.3</v>
      </c>
      <c r="O224" s="158"/>
      <c r="P224" s="161">
        <f t="shared" si="47"/>
        <v>485.8074</v>
      </c>
      <c r="Q224" s="162"/>
      <c r="R224" s="162"/>
      <c r="S224" s="162" t="str">
        <f t="shared" si="64"/>
        <v>INF</v>
      </c>
      <c r="T224" s="162">
        <f t="shared" si="5"/>
        <v>225.9569302</v>
      </c>
      <c r="U224" s="164" t="str">
        <f t="shared" si="60"/>
        <v>N/A</v>
      </c>
      <c r="V224" s="163" t="str">
        <f t="shared" si="61"/>
        <v>N/A</v>
      </c>
    </row>
    <row r="225" ht="37.5" customHeight="1">
      <c r="A225" s="50" t="s">
        <v>2147</v>
      </c>
      <c r="B225" s="117" t="s">
        <v>2118</v>
      </c>
      <c r="C225" s="117" t="s">
        <v>2131</v>
      </c>
      <c r="D225" s="167"/>
      <c r="E225" s="49" t="s">
        <v>1757</v>
      </c>
      <c r="F225" s="50"/>
      <c r="G225" s="165" t="s">
        <v>582</v>
      </c>
      <c r="H225" s="118">
        <v>1.833</v>
      </c>
      <c r="I225" s="159" t="s">
        <v>582</v>
      </c>
      <c r="J225" s="168">
        <v>163.219</v>
      </c>
      <c r="K225" s="166"/>
      <c r="L225" s="118"/>
      <c r="M225" s="118">
        <v>1.1</v>
      </c>
      <c r="N225" s="118">
        <v>1.3</v>
      </c>
      <c r="O225" s="118">
        <v>1.65</v>
      </c>
      <c r="P225" s="161">
        <f t="shared" si="47"/>
        <v>385.1152305</v>
      </c>
      <c r="Q225" s="162" t="s">
        <v>1757</v>
      </c>
      <c r="R225" s="162">
        <v>6533.487487981047</v>
      </c>
      <c r="S225" s="162" t="str">
        <f t="shared" si="64"/>
        <v>INF</v>
      </c>
      <c r="T225" s="162">
        <f t="shared" si="5"/>
        <v>210.1010532</v>
      </c>
      <c r="U225" s="164" t="str">
        <f t="shared" si="60"/>
        <v>N/A</v>
      </c>
      <c r="V225" s="163">
        <f t="shared" si="61"/>
        <v>1.649610323</v>
      </c>
    </row>
    <row r="226" ht="37.5" customHeight="1">
      <c r="A226" s="50" t="s">
        <v>1440</v>
      </c>
      <c r="B226" s="117" t="s">
        <v>2118</v>
      </c>
      <c r="C226" s="117" t="s">
        <v>2137</v>
      </c>
      <c r="D226" s="156"/>
      <c r="E226" s="49" t="s">
        <v>1757</v>
      </c>
      <c r="F226" s="50"/>
      <c r="G226" s="165" t="s">
        <v>582</v>
      </c>
      <c r="H226" s="118">
        <v>1.0</v>
      </c>
      <c r="I226" s="159" t="s">
        <v>582</v>
      </c>
      <c r="J226" s="160">
        <v>99.094</v>
      </c>
      <c r="K226" s="166"/>
      <c r="L226" s="118"/>
      <c r="M226" s="118"/>
      <c r="N226" s="118">
        <v>1.3</v>
      </c>
      <c r="O226" s="118"/>
      <c r="P226" s="161">
        <f t="shared" si="47"/>
        <v>128.8222</v>
      </c>
      <c r="Q226" s="162" t="s">
        <v>1757</v>
      </c>
      <c r="R226" s="162">
        <v>6611.612670599852</v>
      </c>
      <c r="S226" s="162" t="str">
        <f t="shared" si="64"/>
        <v>INF</v>
      </c>
      <c r="T226" s="162">
        <f t="shared" si="5"/>
        <v>128.8222</v>
      </c>
      <c r="U226" s="164" t="str">
        <f t="shared" si="60"/>
        <v>N/A</v>
      </c>
      <c r="V226" s="163">
        <f t="shared" si="61"/>
        <v>0.9994970311</v>
      </c>
    </row>
    <row r="227" ht="37.5" customHeight="1">
      <c r="A227" s="50" t="s">
        <v>2148</v>
      </c>
      <c r="B227" s="117" t="s">
        <v>2118</v>
      </c>
      <c r="C227" s="117" t="s">
        <v>2137</v>
      </c>
      <c r="D227" s="156"/>
      <c r="E227" s="49" t="s">
        <v>1757</v>
      </c>
      <c r="F227" s="50"/>
      <c r="G227" s="165" t="s">
        <v>582</v>
      </c>
      <c r="H227" s="118">
        <v>1.277</v>
      </c>
      <c r="I227" s="159" t="s">
        <v>582</v>
      </c>
      <c r="J227" s="160">
        <f>38.78*3</f>
        <v>116.34</v>
      </c>
      <c r="K227" s="166"/>
      <c r="L227" s="118"/>
      <c r="M227" s="118"/>
      <c r="N227" s="118">
        <v>1.3</v>
      </c>
      <c r="O227" s="118"/>
      <c r="P227" s="161">
        <f t="shared" si="47"/>
        <v>151.242</v>
      </c>
      <c r="Q227" s="162" t="s">
        <v>1757</v>
      </c>
      <c r="R227" s="162">
        <v>3840.9314342532366</v>
      </c>
      <c r="S227" s="162" t="str">
        <f t="shared" si="64"/>
        <v>INF</v>
      </c>
      <c r="T227" s="162">
        <f t="shared" si="5"/>
        <v>118.4353955</v>
      </c>
      <c r="U227" s="164" t="str">
        <f t="shared" si="60"/>
        <v>N/A</v>
      </c>
      <c r="V227" s="163">
        <f t="shared" si="61"/>
        <v>1.581769365</v>
      </c>
    </row>
    <row r="228" ht="37.5" customHeight="1">
      <c r="A228" s="50" t="s">
        <v>2149</v>
      </c>
      <c r="B228" s="117" t="s">
        <v>1751</v>
      </c>
      <c r="C228" s="117" t="s">
        <v>1761</v>
      </c>
      <c r="D228" s="167"/>
      <c r="E228" s="111">
        <v>9.0</v>
      </c>
      <c r="F228" s="117" t="s">
        <v>2150</v>
      </c>
      <c r="G228" s="157" t="s">
        <v>1765</v>
      </c>
      <c r="H228" s="118">
        <v>1.083</v>
      </c>
      <c r="I228" s="159">
        <f>H228*(E228-5)+2.233*4</f>
        <v>13.264</v>
      </c>
      <c r="J228" s="168" t="s">
        <v>1047</v>
      </c>
      <c r="K228" s="158">
        <v>1.35</v>
      </c>
      <c r="L228" s="118">
        <v>1.22</v>
      </c>
      <c r="M228" s="158">
        <v>1.25</v>
      </c>
      <c r="N228" s="118">
        <v>1.3</v>
      </c>
      <c r="O228" s="158">
        <v>1.1</v>
      </c>
      <c r="P228" s="161">
        <f t="shared" si="47"/>
        <v>2.9440125</v>
      </c>
      <c r="Q228" s="162"/>
      <c r="R228" s="162"/>
      <c r="S228" s="162" t="s">
        <v>1047</v>
      </c>
      <c r="T228" s="162">
        <v>0.0</v>
      </c>
      <c r="U228" s="164" t="str">
        <f t="shared" si="60"/>
        <v>N/A</v>
      </c>
      <c r="V228" s="163" t="str">
        <f t="shared" si="61"/>
        <v>N/A</v>
      </c>
    </row>
    <row r="229" ht="37.5" customHeight="1">
      <c r="A229" s="50" t="s">
        <v>2151</v>
      </c>
      <c r="B229" s="117" t="s">
        <v>1771</v>
      </c>
      <c r="C229" s="117" t="s">
        <v>1779</v>
      </c>
      <c r="D229" s="156"/>
      <c r="E229" s="111">
        <v>51.0</v>
      </c>
      <c r="F229" s="165" t="s">
        <v>1998</v>
      </c>
      <c r="G229" s="165" t="s">
        <v>1811</v>
      </c>
      <c r="H229" s="118">
        <v>2.433</v>
      </c>
      <c r="I229" s="159">
        <f>H229*8</f>
        <v>19.464</v>
      </c>
      <c r="J229" s="160" t="s">
        <v>1047</v>
      </c>
      <c r="K229" s="118"/>
      <c r="L229" s="118">
        <v>1.22</v>
      </c>
      <c r="M229" s="158">
        <v>1.25</v>
      </c>
      <c r="N229" s="118">
        <v>1.3</v>
      </c>
      <c r="O229" s="158">
        <v>1.15</v>
      </c>
      <c r="P229" s="161">
        <f t="shared" si="47"/>
        <v>2.279875</v>
      </c>
      <c r="Q229" s="162">
        <v>3460979.647775</v>
      </c>
      <c r="R229" s="162">
        <v>158057.2520333836</v>
      </c>
      <c r="S229" s="162" t="s">
        <v>1047</v>
      </c>
      <c r="T229" s="162">
        <v>0.0</v>
      </c>
      <c r="U229" s="164" t="str">
        <f t="shared" si="60"/>
        <v>N/A</v>
      </c>
      <c r="V229" s="163">
        <f t="shared" si="61"/>
        <v>0</v>
      </c>
    </row>
    <row r="230" ht="37.5" customHeight="1">
      <c r="A230" s="50" t="s">
        <v>2152</v>
      </c>
      <c r="B230" s="117" t="s">
        <v>1771</v>
      </c>
      <c r="C230" s="117" t="s">
        <v>1779</v>
      </c>
      <c r="D230" s="156"/>
      <c r="E230" s="111">
        <v>51.0</v>
      </c>
      <c r="F230" s="165" t="s">
        <v>2153</v>
      </c>
      <c r="G230" s="165" t="s">
        <v>1915</v>
      </c>
      <c r="H230" s="118">
        <v>2.283</v>
      </c>
      <c r="I230" s="159">
        <f>H230*10</f>
        <v>22.83</v>
      </c>
      <c r="J230" s="160" t="s">
        <v>1047</v>
      </c>
      <c r="K230" s="118"/>
      <c r="L230" s="118">
        <v>1.22</v>
      </c>
      <c r="M230" s="158">
        <v>1.25</v>
      </c>
      <c r="N230" s="118">
        <v>1.3</v>
      </c>
      <c r="O230" s="158">
        <v>1.15</v>
      </c>
      <c r="P230" s="161">
        <f t="shared" si="47"/>
        <v>2.279875</v>
      </c>
      <c r="Q230" s="162">
        <v>4594596.373586521</v>
      </c>
      <c r="R230" s="162">
        <v>182956.8898015578</v>
      </c>
      <c r="S230" s="162" t="s">
        <v>1047</v>
      </c>
      <c r="T230" s="162">
        <v>0.0</v>
      </c>
      <c r="U230" s="164" t="str">
        <f t="shared" si="60"/>
        <v>N/A</v>
      </c>
      <c r="V230" s="163">
        <f t="shared" si="61"/>
        <v>0</v>
      </c>
    </row>
    <row r="231" ht="37.5" customHeight="1">
      <c r="A231" s="50" t="s">
        <v>2154</v>
      </c>
      <c r="B231" s="117" t="s">
        <v>1771</v>
      </c>
      <c r="C231" s="117" t="s">
        <v>1779</v>
      </c>
      <c r="D231" s="156"/>
      <c r="E231" s="111">
        <v>51.0</v>
      </c>
      <c r="F231" s="165" t="s">
        <v>2155</v>
      </c>
      <c r="G231" s="165" t="s">
        <v>1999</v>
      </c>
      <c r="H231" s="118">
        <v>2.75</v>
      </c>
      <c r="I231" s="159">
        <f>H231*6</f>
        <v>16.5</v>
      </c>
      <c r="J231" s="160" t="s">
        <v>1047</v>
      </c>
      <c r="K231" s="118"/>
      <c r="L231" s="118">
        <v>1.22</v>
      </c>
      <c r="M231" s="158">
        <v>1.25</v>
      </c>
      <c r="N231" s="118">
        <v>1.3</v>
      </c>
      <c r="O231" s="158">
        <v>1.15</v>
      </c>
      <c r="P231" s="161">
        <f t="shared" si="47"/>
        <v>2.279875</v>
      </c>
      <c r="Q231" s="162">
        <v>3565079.8385305298</v>
      </c>
      <c r="R231" s="162">
        <v>185198.9526509366</v>
      </c>
      <c r="S231" s="162" t="s">
        <v>1047</v>
      </c>
      <c r="T231" s="162">
        <v>0.0</v>
      </c>
      <c r="U231" s="164" t="str">
        <f t="shared" si="60"/>
        <v>N/A</v>
      </c>
      <c r="V231" s="163">
        <f t="shared" si="61"/>
        <v>0</v>
      </c>
    </row>
  </sheetData>
  <autoFilter ref="$A$1:$V$231">
    <sortState ref="A1:V231">
      <sortCondition descending="1" ref="T1:T231"/>
      <sortCondition ref="C1:C231"/>
      <sortCondition ref="A1:A231"/>
      <sortCondition descending="1" ref="S1:S231"/>
      <sortCondition ref="B1:B231"/>
    </sortState>
  </autoFilter>
  <conditionalFormatting sqref="U2:V231">
    <cfRule type="colorScale" priority="1">
      <colorScale>
        <cfvo type="min"/>
        <cfvo type="formula" val="1"/>
        <cfvo type="max"/>
        <color rgb="FFE67C73"/>
        <color rgb="FFFFFFFF"/>
        <color rgb="FF57BB8A"/>
      </colorScale>
    </cfRule>
  </conditionalFormatting>
  <conditionalFormatting sqref="T2:T231">
    <cfRule type="colorScale" priority="2">
      <colorScale>
        <cfvo type="min"/>
        <cfvo type="percentile" val="50"/>
        <cfvo type="max"/>
        <color rgb="FFE67C73"/>
        <color rgb="FFFFD666"/>
        <color rgb="FF57BB8A"/>
      </colorScale>
    </cfRule>
  </conditionalFormatting>
  <conditionalFormatting sqref="Q2:Q231">
    <cfRule type="colorScale" priority="3">
      <colorScale>
        <cfvo type="min"/>
        <cfvo type="percentile" val="50"/>
        <cfvo type="max"/>
        <color rgb="FFE67C73"/>
        <color rgb="FFFFD666"/>
        <color rgb="FF57BB8A"/>
      </colorScale>
    </cfRule>
  </conditionalFormatting>
  <conditionalFormatting sqref="R2:R231">
    <cfRule type="colorScale" priority="4">
      <colorScale>
        <cfvo type="min"/>
        <cfvo type="percentile" val="50"/>
        <cfvo type="max"/>
        <color rgb="FFE67C73"/>
        <color rgb="FFFFD666"/>
        <color rgb="FF57BB8A"/>
      </colorScale>
    </cfRule>
  </conditionalFormatting>
  <conditionalFormatting sqref="S2:S231">
    <cfRule type="colorScale" priority="5">
      <colorScale>
        <cfvo type="min"/>
        <cfvo type="percentile" val="50"/>
        <cfvo type="max"/>
        <color rgb="FFE67C73"/>
        <color rgb="FFFFD666"/>
        <color rgb="FF57BB8A"/>
      </colorScale>
    </cfRule>
  </conditionalFormatting>
  <conditionalFormatting sqref="U2:U231">
    <cfRule type="colorScale" priority="6">
      <colorScale>
        <cfvo type="min"/>
        <cfvo type="formula" val="1"/>
        <cfvo type="max"/>
        <color rgb="FFE67C73"/>
        <color rgb="FFFFFFFF"/>
        <color rgb="FF57BB8A"/>
      </colorScale>
    </cfRule>
  </conditionalFormatting>
  <conditionalFormatting sqref="A1:T231">
    <cfRule type="containsText" dxfId="4" priority="7" operator="containsText" text="~?">
      <formula>NOT(ISERROR(SEARCH(("~?"),(A1))))</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9.25"/>
    <col customWidth="1" min="2" max="2" width="8.0"/>
    <col customWidth="1" min="3" max="3" width="6.38"/>
    <col customWidth="1" min="4" max="4" width="8.13"/>
    <col customWidth="1" min="5" max="5" width="4.38"/>
    <col customWidth="1" min="6" max="10" width="7.63"/>
    <col customWidth="1" min="11" max="11" width="8.63"/>
    <col customWidth="1" min="12" max="18" width="7.63"/>
  </cols>
  <sheetData>
    <row r="1" ht="30.0" customHeight="1">
      <c r="A1" s="153" t="s">
        <v>295</v>
      </c>
      <c r="B1" s="153" t="s">
        <v>636</v>
      </c>
      <c r="C1" s="155" t="s">
        <v>1638</v>
      </c>
      <c r="D1" s="191" t="s">
        <v>1347</v>
      </c>
      <c r="E1" s="192" t="s">
        <v>292</v>
      </c>
      <c r="F1" s="155" t="s">
        <v>1741</v>
      </c>
      <c r="G1" s="155" t="s">
        <v>1742</v>
      </c>
      <c r="H1" s="155" t="s">
        <v>311</v>
      </c>
      <c r="I1" s="155" t="s">
        <v>1743</v>
      </c>
      <c r="J1" s="155">
        <v>200.0</v>
      </c>
      <c r="K1" s="155" t="s">
        <v>1747</v>
      </c>
      <c r="L1" s="193" t="s">
        <v>2156</v>
      </c>
      <c r="M1" s="155" t="s">
        <v>2157</v>
      </c>
      <c r="N1" s="155" t="s">
        <v>2158</v>
      </c>
      <c r="O1" s="155" t="s">
        <v>2159</v>
      </c>
      <c r="P1" s="155" t="s">
        <v>2160</v>
      </c>
      <c r="Q1" s="193" t="s">
        <v>2161</v>
      </c>
      <c r="R1" s="155" t="s">
        <v>2162</v>
      </c>
    </row>
    <row r="2" ht="37.5" customHeight="1">
      <c r="A2" s="50" t="s">
        <v>2163</v>
      </c>
      <c r="B2" s="49" t="s">
        <v>2164</v>
      </c>
      <c r="C2" s="49"/>
      <c r="D2" s="194">
        <f>17288.397/1.2</f>
        <v>14406.9975</v>
      </c>
      <c r="E2" s="195">
        <v>1.0</v>
      </c>
      <c r="F2" s="196"/>
      <c r="G2" s="197"/>
      <c r="H2" s="197">
        <f>1.2*1.1</f>
        <v>1.32</v>
      </c>
      <c r="I2" s="197">
        <v>1.3</v>
      </c>
      <c r="J2" s="197">
        <v>1.45</v>
      </c>
      <c r="K2" s="162">
        <f t="shared" ref="K2:K174" si="1">PRODUCT(D2:J2)</f>
        <v>35847.49118</v>
      </c>
      <c r="L2" s="198" t="s">
        <v>303</v>
      </c>
      <c r="M2" s="158" t="s">
        <v>303</v>
      </c>
      <c r="N2" s="158" t="s">
        <v>303</v>
      </c>
      <c r="O2" s="158">
        <v>0.816</v>
      </c>
      <c r="P2" s="118">
        <f t="shared" ref="P2:P10" si="2">O2</f>
        <v>0.816</v>
      </c>
      <c r="Q2" s="199">
        <f t="shared" ref="Q2:Q174" si="3">K2/O2</f>
        <v>43930.74899</v>
      </c>
      <c r="R2" s="162">
        <f t="shared" ref="R2:R174" si="4">K2/P2</f>
        <v>43930.74899</v>
      </c>
    </row>
    <row r="3" ht="37.5" customHeight="1">
      <c r="A3" s="50" t="s">
        <v>2165</v>
      </c>
      <c r="B3" s="49" t="s">
        <v>852</v>
      </c>
      <c r="C3" s="44"/>
      <c r="D3" s="200">
        <v>7157.662</v>
      </c>
      <c r="E3" s="128">
        <v>1.0</v>
      </c>
      <c r="F3" s="196"/>
      <c r="G3" s="197">
        <v>1.22</v>
      </c>
      <c r="H3" s="197">
        <v>1.25</v>
      </c>
      <c r="I3" s="197">
        <v>1.3</v>
      </c>
      <c r="J3" s="197">
        <v>1.15</v>
      </c>
      <c r="K3" s="162">
        <f t="shared" si="1"/>
        <v>16318.57465</v>
      </c>
      <c r="L3" s="201">
        <v>0.0</v>
      </c>
      <c r="M3" s="118">
        <v>0.0</v>
      </c>
      <c r="N3" s="118">
        <v>0.417</v>
      </c>
      <c r="O3" s="118">
        <f t="shared" ref="O3:O6" si="5">SUM(L3:N3)</f>
        <v>0.417</v>
      </c>
      <c r="P3" s="118">
        <f t="shared" si="2"/>
        <v>0.417</v>
      </c>
      <c r="Q3" s="199">
        <f t="shared" si="3"/>
        <v>39133.27255</v>
      </c>
      <c r="R3" s="162">
        <f t="shared" si="4"/>
        <v>39133.27255</v>
      </c>
    </row>
    <row r="4" ht="37.5" customHeight="1">
      <c r="A4" s="50" t="s">
        <v>2166</v>
      </c>
      <c r="B4" s="49" t="s">
        <v>852</v>
      </c>
      <c r="C4" s="156"/>
      <c r="D4" s="194">
        <v>5750.584</v>
      </c>
      <c r="E4" s="128">
        <v>1.0</v>
      </c>
      <c r="F4" s="197"/>
      <c r="G4" s="197">
        <f>AVERAGE(1.17,1.1)</f>
        <v>1.135</v>
      </c>
      <c r="H4" s="197">
        <v>1.25</v>
      </c>
      <c r="I4" s="197">
        <v>1.3</v>
      </c>
      <c r="J4" s="197">
        <v>1.1</v>
      </c>
      <c r="K4" s="162">
        <f t="shared" si="1"/>
        <v>11666.8567</v>
      </c>
      <c r="L4" s="201">
        <v>0.2</v>
      </c>
      <c r="M4" s="118">
        <v>0.0</v>
      </c>
      <c r="N4" s="118">
        <v>0.317</v>
      </c>
      <c r="O4" s="118">
        <f t="shared" si="5"/>
        <v>0.517</v>
      </c>
      <c r="P4" s="118">
        <f t="shared" si="2"/>
        <v>0.517</v>
      </c>
      <c r="Q4" s="199">
        <f t="shared" si="3"/>
        <v>22566.45397</v>
      </c>
      <c r="R4" s="162">
        <f t="shared" si="4"/>
        <v>22566.45397</v>
      </c>
    </row>
    <row r="5" ht="37.5" customHeight="1">
      <c r="A5" s="50" t="s">
        <v>2167</v>
      </c>
      <c r="B5" s="49" t="s">
        <v>852</v>
      </c>
      <c r="C5" s="167"/>
      <c r="D5" s="194">
        <v>2031.837</v>
      </c>
      <c r="E5" s="128">
        <v>1.0</v>
      </c>
      <c r="F5" s="197">
        <v>3.0</v>
      </c>
      <c r="G5" s="197">
        <v>1.22</v>
      </c>
      <c r="H5" s="197">
        <v>1.25</v>
      </c>
      <c r="I5" s="197">
        <v>1.3</v>
      </c>
      <c r="J5" s="197">
        <v>1.1</v>
      </c>
      <c r="K5" s="162">
        <f t="shared" si="1"/>
        <v>13292.78561</v>
      </c>
      <c r="L5" s="201">
        <v>0.35</v>
      </c>
      <c r="M5" s="118">
        <v>0.0</v>
      </c>
      <c r="N5" s="118">
        <v>0.316</v>
      </c>
      <c r="O5" s="118">
        <f t="shared" si="5"/>
        <v>0.666</v>
      </c>
      <c r="P5" s="118">
        <f t="shared" si="2"/>
        <v>0.666</v>
      </c>
      <c r="Q5" s="199">
        <f t="shared" si="3"/>
        <v>19959.13756</v>
      </c>
      <c r="R5" s="162">
        <f t="shared" si="4"/>
        <v>19959.13756</v>
      </c>
    </row>
    <row r="6" ht="37.5" customHeight="1">
      <c r="A6" s="50" t="s">
        <v>2168</v>
      </c>
      <c r="B6" s="117" t="s">
        <v>2169</v>
      </c>
      <c r="C6" s="156"/>
      <c r="D6" s="194">
        <v>1659.403</v>
      </c>
      <c r="E6" s="128">
        <v>1.0</v>
      </c>
      <c r="F6" s="158">
        <v>1.25</v>
      </c>
      <c r="G6" s="118">
        <v>1.22</v>
      </c>
      <c r="H6" s="158">
        <f>1.25*2.5</f>
        <v>3.125</v>
      </c>
      <c r="I6" s="118">
        <v>1.3</v>
      </c>
      <c r="J6" s="158">
        <v>1.1</v>
      </c>
      <c r="K6" s="162">
        <f t="shared" si="1"/>
        <v>11308.57216</v>
      </c>
      <c r="L6" s="201">
        <v>0.183</v>
      </c>
      <c r="M6" s="118">
        <v>0.0</v>
      </c>
      <c r="N6" s="118">
        <v>0.416</v>
      </c>
      <c r="O6" s="118">
        <f t="shared" si="5"/>
        <v>0.599</v>
      </c>
      <c r="P6" s="118">
        <f t="shared" si="2"/>
        <v>0.599</v>
      </c>
      <c r="Q6" s="199">
        <f t="shared" si="3"/>
        <v>18879.08541</v>
      </c>
      <c r="R6" s="162">
        <f t="shared" si="4"/>
        <v>18879.08541</v>
      </c>
    </row>
    <row r="7" ht="37.5" customHeight="1">
      <c r="A7" s="50" t="s">
        <v>2170</v>
      </c>
      <c r="B7" s="49" t="s">
        <v>2164</v>
      </c>
      <c r="C7" s="156"/>
      <c r="D7" s="194">
        <f>17288.397/1.2</f>
        <v>14406.9975</v>
      </c>
      <c r="E7" s="195">
        <v>1.0</v>
      </c>
      <c r="F7" s="197"/>
      <c r="G7" s="197"/>
      <c r="H7" s="197">
        <f>1.2*1.1</f>
        <v>1.32</v>
      </c>
      <c r="I7" s="197">
        <v>1.3</v>
      </c>
      <c r="J7" s="197">
        <v>1.45</v>
      </c>
      <c r="K7" s="162">
        <f t="shared" si="1"/>
        <v>35847.49118</v>
      </c>
      <c r="L7" s="198" t="s">
        <v>303</v>
      </c>
      <c r="M7" s="158" t="s">
        <v>303</v>
      </c>
      <c r="N7" s="158" t="s">
        <v>303</v>
      </c>
      <c r="O7" s="158">
        <v>1.93</v>
      </c>
      <c r="P7" s="118">
        <f t="shared" si="2"/>
        <v>1.93</v>
      </c>
      <c r="Q7" s="199">
        <f t="shared" si="3"/>
        <v>18573.82963</v>
      </c>
      <c r="R7" s="162">
        <f t="shared" si="4"/>
        <v>18573.82963</v>
      </c>
    </row>
    <row r="8" ht="37.5" customHeight="1">
      <c r="A8" s="202" t="s">
        <v>2171</v>
      </c>
      <c r="B8" s="49" t="s">
        <v>2164</v>
      </c>
      <c r="C8" s="156"/>
      <c r="D8" s="194">
        <v>18659.13</v>
      </c>
      <c r="E8" s="128">
        <v>1.0</v>
      </c>
      <c r="F8" s="197"/>
      <c r="G8" s="197"/>
      <c r="H8" s="197"/>
      <c r="I8" s="197">
        <v>1.3</v>
      </c>
      <c r="J8" s="197">
        <v>1.45</v>
      </c>
      <c r="K8" s="162">
        <f t="shared" si="1"/>
        <v>35172.46005</v>
      </c>
      <c r="L8" s="198" t="s">
        <v>303</v>
      </c>
      <c r="M8" s="158" t="s">
        <v>303</v>
      </c>
      <c r="N8" s="158" t="s">
        <v>303</v>
      </c>
      <c r="O8" s="158">
        <v>2.2</v>
      </c>
      <c r="P8" s="118">
        <f t="shared" si="2"/>
        <v>2.2</v>
      </c>
      <c r="Q8" s="199">
        <f t="shared" si="3"/>
        <v>15987.48184</v>
      </c>
      <c r="R8" s="162">
        <f t="shared" si="4"/>
        <v>15987.48184</v>
      </c>
    </row>
    <row r="9" ht="37.5" customHeight="1">
      <c r="A9" s="50" t="s">
        <v>2172</v>
      </c>
      <c r="B9" s="49" t="s">
        <v>852</v>
      </c>
      <c r="C9" s="167"/>
      <c r="D9" s="194">
        <v>3197.353</v>
      </c>
      <c r="E9" s="128">
        <v>1.0</v>
      </c>
      <c r="F9" s="197"/>
      <c r="G9" s="197">
        <v>1.22</v>
      </c>
      <c r="H9" s="197">
        <f>1.25</f>
        <v>1.25</v>
      </c>
      <c r="I9" s="197">
        <v>1.3</v>
      </c>
      <c r="J9" s="197">
        <v>1.15</v>
      </c>
      <c r="K9" s="162">
        <f t="shared" si="1"/>
        <v>7289.565171</v>
      </c>
      <c r="L9" s="201">
        <v>0.216</v>
      </c>
      <c r="M9" s="118">
        <v>0.0</v>
      </c>
      <c r="N9" s="118">
        <v>0.25</v>
      </c>
      <c r="O9" s="118">
        <f t="shared" ref="O9:O10" si="6">SUM(L9:N9)</f>
        <v>0.466</v>
      </c>
      <c r="P9" s="118">
        <f t="shared" si="2"/>
        <v>0.466</v>
      </c>
      <c r="Q9" s="199">
        <f t="shared" si="3"/>
        <v>15642.84371</v>
      </c>
      <c r="R9" s="162">
        <f t="shared" si="4"/>
        <v>15642.84371</v>
      </c>
    </row>
    <row r="10" ht="37.5" customHeight="1">
      <c r="A10" s="117" t="s">
        <v>2173</v>
      </c>
      <c r="B10" s="50" t="s">
        <v>1756</v>
      </c>
      <c r="C10" s="156"/>
      <c r="D10" s="194">
        <f>389.038*2</f>
        <v>778.076</v>
      </c>
      <c r="E10" s="128">
        <v>1.0</v>
      </c>
      <c r="F10" s="166"/>
      <c r="G10" s="118"/>
      <c r="H10" s="118">
        <f>(1+1.5+1.65+4)*1.1</f>
        <v>8.965</v>
      </c>
      <c r="I10" s="118">
        <v>1.3</v>
      </c>
      <c r="J10" s="118">
        <f>1.3*1.65</f>
        <v>2.145</v>
      </c>
      <c r="K10" s="162">
        <f t="shared" si="1"/>
        <v>19451.04606</v>
      </c>
      <c r="L10" s="201">
        <v>0.0</v>
      </c>
      <c r="M10" s="118">
        <v>1.5</v>
      </c>
      <c r="N10" s="118">
        <v>0.0</v>
      </c>
      <c r="O10" s="118">
        <f t="shared" si="6"/>
        <v>1.5</v>
      </c>
      <c r="P10" s="118">
        <f t="shared" si="2"/>
        <v>1.5</v>
      </c>
      <c r="Q10" s="199">
        <f t="shared" si="3"/>
        <v>12967.36404</v>
      </c>
      <c r="R10" s="162">
        <f t="shared" si="4"/>
        <v>12967.36404</v>
      </c>
    </row>
    <row r="11" ht="37.5" customHeight="1">
      <c r="A11" s="50" t="s">
        <v>2174</v>
      </c>
      <c r="B11" s="49" t="s">
        <v>2164</v>
      </c>
      <c r="C11" s="156"/>
      <c r="D11" s="200">
        <v>15693.478</v>
      </c>
      <c r="E11" s="128">
        <v>1.0</v>
      </c>
      <c r="F11" s="203"/>
      <c r="G11" s="203"/>
      <c r="H11" s="203"/>
      <c r="I11" s="197">
        <v>1.3</v>
      </c>
      <c r="J11" s="196">
        <v>1.4423</v>
      </c>
      <c r="K11" s="162">
        <f t="shared" si="1"/>
        <v>29425.11432</v>
      </c>
      <c r="L11" s="198" t="s">
        <v>303</v>
      </c>
      <c r="M11" s="158" t="s">
        <v>303</v>
      </c>
      <c r="N11" s="158" t="s">
        <v>303</v>
      </c>
      <c r="O11" s="158">
        <v>1.78</v>
      </c>
      <c r="P11" s="158">
        <v>2.37</v>
      </c>
      <c r="Q11" s="199">
        <f t="shared" si="3"/>
        <v>16530.9631</v>
      </c>
      <c r="R11" s="162">
        <f t="shared" si="4"/>
        <v>12415.66005</v>
      </c>
    </row>
    <row r="12" ht="37.5" customHeight="1">
      <c r="A12" s="50" t="s">
        <v>2175</v>
      </c>
      <c r="B12" s="49" t="s">
        <v>2164</v>
      </c>
      <c r="C12" s="49"/>
      <c r="D12" s="194">
        <v>13932.119</v>
      </c>
      <c r="E12" s="195">
        <v>1.0</v>
      </c>
      <c r="F12" s="197"/>
      <c r="G12" s="197"/>
      <c r="H12" s="197">
        <v>1.1</v>
      </c>
      <c r="I12" s="197">
        <v>1.3</v>
      </c>
      <c r="J12" s="197">
        <v>1.45</v>
      </c>
      <c r="K12" s="162">
        <f t="shared" si="1"/>
        <v>28888.24875</v>
      </c>
      <c r="L12" s="198" t="s">
        <v>303</v>
      </c>
      <c r="M12" s="158" t="s">
        <v>303</v>
      </c>
      <c r="N12" s="158" t="s">
        <v>303</v>
      </c>
      <c r="O12" s="158">
        <v>1.78</v>
      </c>
      <c r="P12" s="158">
        <v>2.37</v>
      </c>
      <c r="Q12" s="199">
        <f t="shared" si="3"/>
        <v>16229.35323</v>
      </c>
      <c r="R12" s="162">
        <f t="shared" si="4"/>
        <v>12189.13449</v>
      </c>
    </row>
    <row r="13" ht="37.5" customHeight="1">
      <c r="A13" s="50" t="s">
        <v>2176</v>
      </c>
      <c r="B13" s="49" t="s">
        <v>852</v>
      </c>
      <c r="C13" s="167"/>
      <c r="D13" s="194">
        <v>469.344</v>
      </c>
      <c r="E13" s="128">
        <v>20.0</v>
      </c>
      <c r="F13" s="203"/>
      <c r="G13" s="197">
        <v>1.22</v>
      </c>
      <c r="H13" s="197">
        <f>1.25</f>
        <v>1.25</v>
      </c>
      <c r="I13" s="197">
        <v>1.3</v>
      </c>
      <c r="J13" s="197">
        <v>1.1</v>
      </c>
      <c r="K13" s="162">
        <f t="shared" si="1"/>
        <v>20470.43856</v>
      </c>
      <c r="L13" s="201">
        <v>0.35</v>
      </c>
      <c r="M13" s="118">
        <v>1.25</v>
      </c>
      <c r="N13" s="118">
        <v>0.25</v>
      </c>
      <c r="O13" s="118">
        <f>SUM(L13:N13)</f>
        <v>1.85</v>
      </c>
      <c r="P13" s="118">
        <f>O13</f>
        <v>1.85</v>
      </c>
      <c r="Q13" s="199">
        <f t="shared" si="3"/>
        <v>11065.10192</v>
      </c>
      <c r="R13" s="162">
        <f t="shared" si="4"/>
        <v>11065.10192</v>
      </c>
    </row>
    <row r="14" ht="37.5" customHeight="1">
      <c r="A14" s="50" t="s">
        <v>2177</v>
      </c>
      <c r="B14" s="49" t="s">
        <v>2164</v>
      </c>
      <c r="C14" s="49"/>
      <c r="D14" s="194">
        <v>13405.5</v>
      </c>
      <c r="E14" s="195">
        <v>1.0</v>
      </c>
      <c r="F14" s="203"/>
      <c r="G14" s="203"/>
      <c r="H14" s="203"/>
      <c r="I14" s="197">
        <v>1.3</v>
      </c>
      <c r="J14" s="197">
        <v>1.45</v>
      </c>
      <c r="K14" s="162">
        <f t="shared" si="1"/>
        <v>25269.3675</v>
      </c>
      <c r="L14" s="198" t="s">
        <v>303</v>
      </c>
      <c r="M14" s="158" t="s">
        <v>303</v>
      </c>
      <c r="N14" s="158" t="s">
        <v>303</v>
      </c>
      <c r="O14" s="158">
        <v>1.78</v>
      </c>
      <c r="P14" s="158">
        <v>2.37</v>
      </c>
      <c r="Q14" s="199">
        <f t="shared" si="3"/>
        <v>14196.27388</v>
      </c>
      <c r="R14" s="162">
        <f t="shared" si="4"/>
        <v>10662.18038</v>
      </c>
    </row>
    <row r="15" ht="37.5" customHeight="1">
      <c r="A15" s="50" t="s">
        <v>2178</v>
      </c>
      <c r="B15" s="49" t="s">
        <v>2164</v>
      </c>
      <c r="C15" s="49"/>
      <c r="D15" s="194">
        <f>15627/1.2</f>
        <v>13022.5</v>
      </c>
      <c r="E15" s="195">
        <v>1.0</v>
      </c>
      <c r="F15" s="197"/>
      <c r="G15" s="197"/>
      <c r="H15" s="197">
        <f>1.2*1.1</f>
        <v>1.32</v>
      </c>
      <c r="I15" s="197">
        <v>1.3</v>
      </c>
      <c r="J15" s="197">
        <v>1.45</v>
      </c>
      <c r="K15" s="162">
        <f t="shared" si="1"/>
        <v>32402.5845</v>
      </c>
      <c r="L15" s="198" t="s">
        <v>303</v>
      </c>
      <c r="M15" s="158" t="s">
        <v>303</v>
      </c>
      <c r="N15" s="158" t="s">
        <v>303</v>
      </c>
      <c r="O15" s="158">
        <v>3.13</v>
      </c>
      <c r="P15" s="118">
        <f>O15</f>
        <v>3.13</v>
      </c>
      <c r="Q15" s="199">
        <f t="shared" si="3"/>
        <v>10352.26342</v>
      </c>
      <c r="R15" s="162">
        <f t="shared" si="4"/>
        <v>10352.26342</v>
      </c>
    </row>
    <row r="16" ht="37.5" customHeight="1">
      <c r="A16" s="169" t="s">
        <v>2179</v>
      </c>
      <c r="B16" s="204" t="s">
        <v>2180</v>
      </c>
      <c r="C16" s="130"/>
      <c r="D16" s="205">
        <f>29618/1.05</f>
        <v>28207.61905</v>
      </c>
      <c r="E16" s="135">
        <v>1.0</v>
      </c>
      <c r="F16" s="206"/>
      <c r="G16" s="206">
        <v>1.22</v>
      </c>
      <c r="H16" s="206">
        <f>1.25</f>
        <v>1.25</v>
      </c>
      <c r="I16" s="206">
        <v>1.3</v>
      </c>
      <c r="J16" s="206">
        <v>1.15</v>
      </c>
      <c r="K16" s="177">
        <f t="shared" si="1"/>
        <v>64309.84548</v>
      </c>
      <c r="L16" s="207">
        <v>0.083</v>
      </c>
      <c r="M16" s="175">
        <v>5.8</v>
      </c>
      <c r="N16" s="175">
        <v>0.133</v>
      </c>
      <c r="O16" s="175">
        <f>SUM(L16:N16)</f>
        <v>6.016</v>
      </c>
      <c r="P16" s="175">
        <f>L16+M16+0.566</f>
        <v>6.449</v>
      </c>
      <c r="Q16" s="208">
        <f t="shared" si="3"/>
        <v>10689.80144</v>
      </c>
      <c r="R16" s="177">
        <f t="shared" si="4"/>
        <v>9972.064735</v>
      </c>
    </row>
    <row r="17" ht="37.5" customHeight="1">
      <c r="A17" s="50" t="s">
        <v>2181</v>
      </c>
      <c r="B17" s="49" t="s">
        <v>2164</v>
      </c>
      <c r="C17" s="49"/>
      <c r="D17" s="194">
        <v>11372.029</v>
      </c>
      <c r="E17" s="128">
        <v>1.0</v>
      </c>
      <c r="F17" s="197"/>
      <c r="G17" s="197"/>
      <c r="H17" s="197"/>
      <c r="I17" s="197">
        <v>1.3</v>
      </c>
      <c r="J17" s="197">
        <v>1.45</v>
      </c>
      <c r="K17" s="162">
        <f t="shared" si="1"/>
        <v>21436.27467</v>
      </c>
      <c r="L17" s="198" t="s">
        <v>303</v>
      </c>
      <c r="M17" s="158" t="s">
        <v>303</v>
      </c>
      <c r="N17" s="158" t="s">
        <v>303</v>
      </c>
      <c r="O17" s="158">
        <v>2.2</v>
      </c>
      <c r="P17" s="118">
        <f t="shared" ref="P17:P18" si="7">O17</f>
        <v>2.2</v>
      </c>
      <c r="Q17" s="199">
        <f t="shared" si="3"/>
        <v>9743.761211</v>
      </c>
      <c r="R17" s="162">
        <f t="shared" si="4"/>
        <v>9743.761211</v>
      </c>
    </row>
    <row r="18" ht="37.5" customHeight="1">
      <c r="A18" s="50" t="s">
        <v>2182</v>
      </c>
      <c r="B18" s="49" t="s">
        <v>2164</v>
      </c>
      <c r="C18" s="49"/>
      <c r="D18" s="194">
        <v>17539.0</v>
      </c>
      <c r="E18" s="195">
        <v>1.0</v>
      </c>
      <c r="F18" s="197"/>
      <c r="G18" s="197"/>
      <c r="H18" s="197"/>
      <c r="I18" s="197"/>
      <c r="J18" s="197">
        <v>1.45</v>
      </c>
      <c r="K18" s="162">
        <f t="shared" si="1"/>
        <v>25431.55</v>
      </c>
      <c r="L18" s="198" t="s">
        <v>303</v>
      </c>
      <c r="M18" s="158" t="s">
        <v>303</v>
      </c>
      <c r="N18" s="158" t="s">
        <v>303</v>
      </c>
      <c r="O18" s="158">
        <v>2.65</v>
      </c>
      <c r="P18" s="158">
        <f t="shared" si="7"/>
        <v>2.65</v>
      </c>
      <c r="Q18" s="199">
        <f t="shared" si="3"/>
        <v>9596.811321</v>
      </c>
      <c r="R18" s="162">
        <f t="shared" si="4"/>
        <v>9596.811321</v>
      </c>
    </row>
    <row r="19" ht="37.5" customHeight="1">
      <c r="A19" s="169" t="s">
        <v>2183</v>
      </c>
      <c r="B19" s="204" t="s">
        <v>2180</v>
      </c>
      <c r="C19" s="130"/>
      <c r="D19" s="205">
        <f>(20009+2192*3)/1.05</f>
        <v>25319.04762</v>
      </c>
      <c r="E19" s="135">
        <v>1.0</v>
      </c>
      <c r="F19" s="206"/>
      <c r="G19" s="206">
        <v>1.22</v>
      </c>
      <c r="H19" s="206">
        <f t="shared" ref="H19:H20" si="8">1.25</f>
        <v>1.25</v>
      </c>
      <c r="I19" s="206">
        <v>1.3</v>
      </c>
      <c r="J19" s="206">
        <v>1.15</v>
      </c>
      <c r="K19" s="177">
        <f t="shared" si="1"/>
        <v>57724.26369</v>
      </c>
      <c r="L19" s="207">
        <v>0.083</v>
      </c>
      <c r="M19" s="175">
        <f>0.349*16</f>
        <v>5.584</v>
      </c>
      <c r="N19" s="175">
        <v>0.133</v>
      </c>
      <c r="O19" s="175">
        <f t="shared" ref="O19:O20" si="9">SUM(L19:N19)</f>
        <v>5.8</v>
      </c>
      <c r="P19" s="175">
        <f>L19+M19+0.566</f>
        <v>6.233</v>
      </c>
      <c r="Q19" s="208">
        <f t="shared" si="3"/>
        <v>9952.459257</v>
      </c>
      <c r="R19" s="177">
        <f t="shared" si="4"/>
        <v>9261.072307</v>
      </c>
    </row>
    <row r="20" ht="37.5" customHeight="1">
      <c r="A20" s="50" t="s">
        <v>2184</v>
      </c>
      <c r="B20" s="49" t="s">
        <v>2169</v>
      </c>
      <c r="C20" s="44"/>
      <c r="D20" s="194">
        <v>712.149</v>
      </c>
      <c r="E20" s="128">
        <v>1.0</v>
      </c>
      <c r="F20" s="197">
        <f>2*1.35</f>
        <v>2.7</v>
      </c>
      <c r="G20" s="197">
        <v>1.22</v>
      </c>
      <c r="H20" s="197">
        <f t="shared" si="8"/>
        <v>1.25</v>
      </c>
      <c r="I20" s="197">
        <v>1.3</v>
      </c>
      <c r="J20" s="197">
        <v>1.15</v>
      </c>
      <c r="K20" s="162">
        <f t="shared" si="1"/>
        <v>4383.748894</v>
      </c>
      <c r="L20" s="201">
        <v>0.183</v>
      </c>
      <c r="M20" s="118">
        <v>0.0</v>
      </c>
      <c r="N20" s="118">
        <v>0.3</v>
      </c>
      <c r="O20" s="118">
        <f t="shared" si="9"/>
        <v>0.483</v>
      </c>
      <c r="P20" s="118">
        <f>O20</f>
        <v>0.483</v>
      </c>
      <c r="Q20" s="199">
        <f t="shared" si="3"/>
        <v>9076.084666</v>
      </c>
      <c r="R20" s="162">
        <f t="shared" si="4"/>
        <v>9076.084666</v>
      </c>
    </row>
    <row r="21" ht="37.5" customHeight="1">
      <c r="A21" s="50" t="s">
        <v>2185</v>
      </c>
      <c r="B21" s="49" t="s">
        <v>2164</v>
      </c>
      <c r="C21" s="49"/>
      <c r="D21" s="194">
        <v>11102.902</v>
      </c>
      <c r="E21" s="195">
        <v>1.0</v>
      </c>
      <c r="F21" s="203"/>
      <c r="G21" s="203"/>
      <c r="H21" s="203"/>
      <c r="I21" s="197">
        <v>1.3</v>
      </c>
      <c r="J21" s="197">
        <v>1.45</v>
      </c>
      <c r="K21" s="162">
        <f t="shared" si="1"/>
        <v>20928.97027</v>
      </c>
      <c r="L21" s="198" t="s">
        <v>303</v>
      </c>
      <c r="M21" s="158" t="s">
        <v>303</v>
      </c>
      <c r="N21" s="158" t="s">
        <v>303</v>
      </c>
      <c r="O21" s="158">
        <v>1.78</v>
      </c>
      <c r="P21" s="158">
        <v>2.37</v>
      </c>
      <c r="Q21" s="199">
        <f t="shared" si="3"/>
        <v>11757.84847</v>
      </c>
      <c r="R21" s="162">
        <f t="shared" si="4"/>
        <v>8830.789143</v>
      </c>
    </row>
    <row r="22" ht="37.5" customHeight="1">
      <c r="A22" s="117" t="s">
        <v>2186</v>
      </c>
      <c r="B22" s="111" t="s">
        <v>2169</v>
      </c>
      <c r="C22" s="44"/>
      <c r="D22" s="200">
        <v>1993.076</v>
      </c>
      <c r="E22" s="128">
        <v>1.0</v>
      </c>
      <c r="F22" s="197"/>
      <c r="G22" s="197">
        <v>1.22</v>
      </c>
      <c r="H22" s="197">
        <f>1.25</f>
        <v>1.25</v>
      </c>
      <c r="I22" s="197">
        <v>1.3</v>
      </c>
      <c r="J22" s="197">
        <v>1.15</v>
      </c>
      <c r="K22" s="162">
        <f t="shared" si="1"/>
        <v>4543.964146</v>
      </c>
      <c r="L22" s="198">
        <v>0.2</v>
      </c>
      <c r="M22" s="118">
        <v>0.0</v>
      </c>
      <c r="N22" s="158">
        <v>0.317</v>
      </c>
      <c r="O22" s="118">
        <f>SUM(L22:N22)</f>
        <v>0.517</v>
      </c>
      <c r="P22" s="118">
        <f t="shared" ref="P22:P25" si="10">O22</f>
        <v>0.517</v>
      </c>
      <c r="Q22" s="199">
        <f t="shared" si="3"/>
        <v>8789.098927</v>
      </c>
      <c r="R22" s="162">
        <f t="shared" si="4"/>
        <v>8789.098927</v>
      </c>
    </row>
    <row r="23" ht="37.5" customHeight="1">
      <c r="A23" s="50" t="s">
        <v>2187</v>
      </c>
      <c r="B23" s="49" t="s">
        <v>2164</v>
      </c>
      <c r="C23" s="156"/>
      <c r="D23" s="194">
        <v>60013.0</v>
      </c>
      <c r="E23" s="195">
        <v>1.0</v>
      </c>
      <c r="F23" s="197"/>
      <c r="G23" s="197"/>
      <c r="H23" s="197"/>
      <c r="I23" s="197">
        <v>1.3</v>
      </c>
      <c r="J23" s="197">
        <v>1.45</v>
      </c>
      <c r="K23" s="162">
        <f t="shared" si="1"/>
        <v>113124.505</v>
      </c>
      <c r="L23" s="198" t="s">
        <v>303</v>
      </c>
      <c r="M23" s="158" t="s">
        <v>303</v>
      </c>
      <c r="N23" s="158" t="s">
        <v>303</v>
      </c>
      <c r="O23" s="158">
        <v>12.88</v>
      </c>
      <c r="P23" s="118">
        <f t="shared" si="10"/>
        <v>12.88</v>
      </c>
      <c r="Q23" s="199">
        <f t="shared" si="3"/>
        <v>8782.958463</v>
      </c>
      <c r="R23" s="162">
        <f t="shared" si="4"/>
        <v>8782.958463</v>
      </c>
    </row>
    <row r="24" ht="37.5" customHeight="1">
      <c r="A24" s="50" t="s">
        <v>2188</v>
      </c>
      <c r="B24" s="49" t="s">
        <v>2164</v>
      </c>
      <c r="C24" s="156"/>
      <c r="D24" s="194">
        <v>40845.024</v>
      </c>
      <c r="E24" s="195">
        <v>1.0</v>
      </c>
      <c r="F24" s="197"/>
      <c r="G24" s="197"/>
      <c r="H24" s="197"/>
      <c r="I24" s="197">
        <v>1.3</v>
      </c>
      <c r="J24" s="197">
        <v>1.45</v>
      </c>
      <c r="K24" s="162">
        <f t="shared" si="1"/>
        <v>76992.87024</v>
      </c>
      <c r="L24" s="198" t="s">
        <v>303</v>
      </c>
      <c r="M24" s="158" t="s">
        <v>303</v>
      </c>
      <c r="N24" s="158" t="s">
        <v>303</v>
      </c>
      <c r="O24" s="158">
        <v>8.967</v>
      </c>
      <c r="P24" s="158">
        <f t="shared" si="10"/>
        <v>8.967</v>
      </c>
      <c r="Q24" s="199">
        <f t="shared" si="3"/>
        <v>8586.246263</v>
      </c>
      <c r="R24" s="162">
        <f t="shared" si="4"/>
        <v>8586.246263</v>
      </c>
    </row>
    <row r="25" ht="37.5" customHeight="1">
      <c r="A25" s="50" t="s">
        <v>2189</v>
      </c>
      <c r="B25" s="49" t="s">
        <v>2169</v>
      </c>
      <c r="C25" s="44"/>
      <c r="D25" s="194">
        <v>1667.836</v>
      </c>
      <c r="E25" s="128">
        <v>1.0</v>
      </c>
      <c r="F25" s="197"/>
      <c r="G25" s="197">
        <v>1.22</v>
      </c>
      <c r="H25" s="197">
        <f t="shared" ref="H25:H26" si="11">1.25</f>
        <v>1.25</v>
      </c>
      <c r="I25" s="197">
        <v>1.3</v>
      </c>
      <c r="J25" s="197">
        <v>1.1</v>
      </c>
      <c r="K25" s="162">
        <f t="shared" si="1"/>
        <v>3637.133357</v>
      </c>
      <c r="L25" s="201">
        <v>0.217</v>
      </c>
      <c r="M25" s="118">
        <v>0.0</v>
      </c>
      <c r="N25" s="118">
        <v>0.217</v>
      </c>
      <c r="O25" s="118">
        <f t="shared" ref="O25:O26" si="12">SUM(L25:N25)</f>
        <v>0.434</v>
      </c>
      <c r="P25" s="118">
        <f t="shared" si="10"/>
        <v>0.434</v>
      </c>
      <c r="Q25" s="199">
        <f t="shared" si="3"/>
        <v>8380.491606</v>
      </c>
      <c r="R25" s="162">
        <f t="shared" si="4"/>
        <v>8380.491606</v>
      </c>
    </row>
    <row r="26" ht="37.5" customHeight="1">
      <c r="A26" s="50" t="s">
        <v>2190</v>
      </c>
      <c r="B26" s="49" t="s">
        <v>852</v>
      </c>
      <c r="C26" s="49"/>
      <c r="D26" s="194">
        <v>1257.035</v>
      </c>
      <c r="E26" s="128">
        <v>7.0</v>
      </c>
      <c r="F26" s="196"/>
      <c r="G26" s="197">
        <v>1.22</v>
      </c>
      <c r="H26" s="197">
        <f t="shared" si="11"/>
        <v>1.25</v>
      </c>
      <c r="I26" s="197">
        <v>1.3</v>
      </c>
      <c r="J26" s="197">
        <v>1.1</v>
      </c>
      <c r="K26" s="162">
        <f t="shared" si="1"/>
        <v>19188.95353</v>
      </c>
      <c r="L26" s="201">
        <v>0.183</v>
      </c>
      <c r="M26" s="118">
        <f>0.508*0.6*6</f>
        <v>1.8288</v>
      </c>
      <c r="N26" s="118">
        <v>0.333</v>
      </c>
      <c r="O26" s="118">
        <f t="shared" si="12"/>
        <v>2.3448</v>
      </c>
      <c r="P26" s="118">
        <f>L26+M26+0.333</f>
        <v>2.3448</v>
      </c>
      <c r="Q26" s="199">
        <f t="shared" si="3"/>
        <v>8183.620579</v>
      </c>
      <c r="R26" s="162">
        <f t="shared" si="4"/>
        <v>8183.620579</v>
      </c>
    </row>
    <row r="27" ht="37.5" customHeight="1">
      <c r="A27" s="50" t="s">
        <v>2191</v>
      </c>
      <c r="B27" s="49" t="s">
        <v>2164</v>
      </c>
      <c r="C27" s="49"/>
      <c r="D27" s="194">
        <v>9287.339</v>
      </c>
      <c r="E27" s="195">
        <v>1.0</v>
      </c>
      <c r="F27" s="197"/>
      <c r="G27" s="197"/>
      <c r="H27" s="197">
        <v>1.1</v>
      </c>
      <c r="I27" s="197">
        <v>1.3</v>
      </c>
      <c r="J27" s="197">
        <v>1.45</v>
      </c>
      <c r="K27" s="162">
        <f t="shared" si="1"/>
        <v>19257.29742</v>
      </c>
      <c r="L27" s="198" t="s">
        <v>303</v>
      </c>
      <c r="M27" s="158" t="s">
        <v>303</v>
      </c>
      <c r="N27" s="158" t="s">
        <v>303</v>
      </c>
      <c r="O27" s="158">
        <v>1.78</v>
      </c>
      <c r="P27" s="158">
        <v>2.37</v>
      </c>
      <c r="Q27" s="199">
        <f t="shared" si="3"/>
        <v>10818.70641</v>
      </c>
      <c r="R27" s="162">
        <f t="shared" si="4"/>
        <v>8125.441948</v>
      </c>
    </row>
    <row r="28" ht="37.5" customHeight="1">
      <c r="A28" s="50" t="s">
        <v>2192</v>
      </c>
      <c r="B28" s="50" t="s">
        <v>1756</v>
      </c>
      <c r="C28" s="156"/>
      <c r="D28" s="194">
        <f>389.038*2</f>
        <v>778.076</v>
      </c>
      <c r="E28" s="128">
        <v>1.0</v>
      </c>
      <c r="F28" s="197"/>
      <c r="G28" s="197"/>
      <c r="H28" s="118">
        <f>1+1+1.65+1.5</f>
        <v>5.15</v>
      </c>
      <c r="I28" s="197">
        <v>1.3</v>
      </c>
      <c r="J28" s="118">
        <f>1.3*1.65</f>
        <v>2.145</v>
      </c>
      <c r="K28" s="162">
        <f t="shared" si="1"/>
        <v>11173.77437</v>
      </c>
      <c r="L28" s="201">
        <v>0.0</v>
      </c>
      <c r="M28" s="118">
        <v>1.5</v>
      </c>
      <c r="N28" s="118">
        <v>0.0</v>
      </c>
      <c r="O28" s="118">
        <f t="shared" ref="O28:O30" si="13">SUM(L28:N28)</f>
        <v>1.5</v>
      </c>
      <c r="P28" s="118">
        <f>O28</f>
        <v>1.5</v>
      </c>
      <c r="Q28" s="199">
        <f t="shared" si="3"/>
        <v>7449.182913</v>
      </c>
      <c r="R28" s="162">
        <f t="shared" si="4"/>
        <v>7449.182913</v>
      </c>
    </row>
    <row r="29" ht="37.5" customHeight="1">
      <c r="A29" s="50" t="s">
        <v>2193</v>
      </c>
      <c r="B29" s="49" t="s">
        <v>852</v>
      </c>
      <c r="C29" s="49"/>
      <c r="D29" s="194">
        <v>640.506</v>
      </c>
      <c r="E29" s="128">
        <v>8.0</v>
      </c>
      <c r="F29" s="197">
        <v>1.46</v>
      </c>
      <c r="G29" s="197">
        <v>1.22</v>
      </c>
      <c r="H29" s="197">
        <f>1.25</f>
        <v>1.25</v>
      </c>
      <c r="I29" s="197">
        <v>1.3</v>
      </c>
      <c r="J29" s="197">
        <v>1.1</v>
      </c>
      <c r="K29" s="162">
        <f t="shared" si="1"/>
        <v>16314.43081</v>
      </c>
      <c r="L29" s="201">
        <v>0.183</v>
      </c>
      <c r="M29" s="118">
        <f>0.4*0.6*7</f>
        <v>1.68</v>
      </c>
      <c r="N29" s="118">
        <v>0.333</v>
      </c>
      <c r="O29" s="118">
        <f t="shared" si="13"/>
        <v>2.196</v>
      </c>
      <c r="P29" s="118">
        <f>L29+M29+0.333</f>
        <v>2.196</v>
      </c>
      <c r="Q29" s="199">
        <f t="shared" si="3"/>
        <v>7429.157927</v>
      </c>
      <c r="R29" s="162">
        <f t="shared" si="4"/>
        <v>7429.157927</v>
      </c>
    </row>
    <row r="30" ht="37.5" customHeight="1">
      <c r="A30" s="50" t="s">
        <v>2194</v>
      </c>
      <c r="B30" s="117" t="s">
        <v>2169</v>
      </c>
      <c r="C30" s="49"/>
      <c r="D30" s="200">
        <v>979.247</v>
      </c>
      <c r="E30" s="128">
        <v>1.0</v>
      </c>
      <c r="F30" s="158">
        <v>1.7</v>
      </c>
      <c r="G30" s="158">
        <v>1.17</v>
      </c>
      <c r="H30" s="158">
        <v>1.25</v>
      </c>
      <c r="I30" s="118">
        <v>1.3</v>
      </c>
      <c r="J30" s="158">
        <v>1.15</v>
      </c>
      <c r="K30" s="162">
        <f t="shared" si="1"/>
        <v>3639.806016</v>
      </c>
      <c r="L30" s="201">
        <v>0.167</v>
      </c>
      <c r="M30" s="158">
        <v>0.0</v>
      </c>
      <c r="N30" s="118">
        <v>0.35</v>
      </c>
      <c r="O30" s="118">
        <f t="shared" si="13"/>
        <v>0.517</v>
      </c>
      <c r="P30" s="118">
        <f t="shared" ref="P30:P33" si="14">O30</f>
        <v>0.517</v>
      </c>
      <c r="Q30" s="199">
        <f t="shared" si="3"/>
        <v>7040.243745</v>
      </c>
      <c r="R30" s="162">
        <f t="shared" si="4"/>
        <v>7040.243745</v>
      </c>
    </row>
    <row r="31" ht="37.5" customHeight="1">
      <c r="A31" s="50" t="s">
        <v>2195</v>
      </c>
      <c r="B31" s="49" t="s">
        <v>2164</v>
      </c>
      <c r="C31" s="49"/>
      <c r="D31" s="194">
        <f>12659.098*1.25/1.3</f>
        <v>12172.20962</v>
      </c>
      <c r="E31" s="195">
        <v>1.0</v>
      </c>
      <c r="F31" s="197"/>
      <c r="G31" s="197"/>
      <c r="H31" s="197">
        <v>1.1</v>
      </c>
      <c r="I31" s="197">
        <v>1.3</v>
      </c>
      <c r="J31" s="197">
        <v>1.45</v>
      </c>
      <c r="K31" s="162">
        <f t="shared" si="1"/>
        <v>25239.07664</v>
      </c>
      <c r="L31" s="198" t="s">
        <v>303</v>
      </c>
      <c r="M31" s="158" t="s">
        <v>303</v>
      </c>
      <c r="N31" s="158" t="s">
        <v>303</v>
      </c>
      <c r="O31" s="158">
        <v>3.63</v>
      </c>
      <c r="P31" s="118">
        <f t="shared" si="14"/>
        <v>3.63</v>
      </c>
      <c r="Q31" s="199">
        <f t="shared" si="3"/>
        <v>6952.913674</v>
      </c>
      <c r="R31" s="162">
        <f t="shared" si="4"/>
        <v>6952.913674</v>
      </c>
    </row>
    <row r="32" ht="37.5" customHeight="1">
      <c r="A32" s="50" t="s">
        <v>489</v>
      </c>
      <c r="B32" s="49" t="s">
        <v>2169</v>
      </c>
      <c r="C32" s="167"/>
      <c r="D32" s="194">
        <v>2031.837</v>
      </c>
      <c r="E32" s="128">
        <v>1.0</v>
      </c>
      <c r="F32" s="197"/>
      <c r="G32" s="197">
        <v>1.22</v>
      </c>
      <c r="H32" s="197">
        <f t="shared" ref="H32:H35" si="15">1.25</f>
        <v>1.25</v>
      </c>
      <c r="I32" s="197">
        <v>1.3</v>
      </c>
      <c r="J32" s="197">
        <v>1.1</v>
      </c>
      <c r="K32" s="162">
        <f t="shared" si="1"/>
        <v>4430.928538</v>
      </c>
      <c r="L32" s="201">
        <v>0.35</v>
      </c>
      <c r="M32" s="118">
        <v>0.0</v>
      </c>
      <c r="N32" s="118">
        <v>0.316</v>
      </c>
      <c r="O32" s="118">
        <f t="shared" ref="O32:O35" si="16">SUM(L32:N32)</f>
        <v>0.666</v>
      </c>
      <c r="P32" s="118">
        <f t="shared" si="14"/>
        <v>0.666</v>
      </c>
      <c r="Q32" s="199">
        <f t="shared" si="3"/>
        <v>6653.045852</v>
      </c>
      <c r="R32" s="162">
        <f t="shared" si="4"/>
        <v>6653.045852</v>
      </c>
    </row>
    <row r="33" ht="37.5" customHeight="1">
      <c r="A33" s="50" t="s">
        <v>2196</v>
      </c>
      <c r="B33" s="49" t="s">
        <v>852</v>
      </c>
      <c r="C33" s="167"/>
      <c r="D33" s="194">
        <v>4992.135</v>
      </c>
      <c r="E33" s="128">
        <v>1.0</v>
      </c>
      <c r="F33" s="197"/>
      <c r="G33" s="197">
        <v>1.22</v>
      </c>
      <c r="H33" s="197">
        <f t="shared" si="15"/>
        <v>1.25</v>
      </c>
      <c r="I33" s="197">
        <v>1.3</v>
      </c>
      <c r="J33" s="197">
        <v>1.15</v>
      </c>
      <c r="K33" s="162">
        <f t="shared" si="1"/>
        <v>11381.44378</v>
      </c>
      <c r="L33" s="201">
        <v>0.0</v>
      </c>
      <c r="M33" s="118">
        <v>1.317</v>
      </c>
      <c r="N33" s="118">
        <v>0.4</v>
      </c>
      <c r="O33" s="118">
        <f t="shared" si="16"/>
        <v>1.717</v>
      </c>
      <c r="P33" s="118">
        <f t="shared" si="14"/>
        <v>1.717</v>
      </c>
      <c r="Q33" s="199">
        <f t="shared" si="3"/>
        <v>6628.68013</v>
      </c>
      <c r="R33" s="162">
        <f t="shared" si="4"/>
        <v>6628.68013</v>
      </c>
    </row>
    <row r="34" ht="37.5" customHeight="1">
      <c r="A34" s="50" t="s">
        <v>2197</v>
      </c>
      <c r="B34" s="49" t="s">
        <v>852</v>
      </c>
      <c r="C34" s="156"/>
      <c r="D34" s="194">
        <v>640.506</v>
      </c>
      <c r="E34" s="128">
        <v>8.0</v>
      </c>
      <c r="F34" s="118">
        <f>(1.3*7+1)/8</f>
        <v>1.2625</v>
      </c>
      <c r="G34" s="197">
        <v>1.22</v>
      </c>
      <c r="H34" s="197">
        <f t="shared" si="15"/>
        <v>1.25</v>
      </c>
      <c r="I34" s="197">
        <v>1.3</v>
      </c>
      <c r="J34" s="197">
        <v>1.1</v>
      </c>
      <c r="K34" s="162">
        <f t="shared" si="1"/>
        <v>14107.51294</v>
      </c>
      <c r="L34" s="201">
        <v>0.183</v>
      </c>
      <c r="M34" s="118">
        <f>0.4*0.6*7</f>
        <v>1.68</v>
      </c>
      <c r="N34" s="118">
        <v>0.333</v>
      </c>
      <c r="O34" s="118">
        <f t="shared" si="16"/>
        <v>2.196</v>
      </c>
      <c r="P34" s="118">
        <f>L34+M34+0.333</f>
        <v>2.196</v>
      </c>
      <c r="Q34" s="199">
        <f t="shared" si="3"/>
        <v>6424.186221</v>
      </c>
      <c r="R34" s="162">
        <f t="shared" si="4"/>
        <v>6424.186221</v>
      </c>
    </row>
    <row r="35" ht="37.5" customHeight="1">
      <c r="A35" s="50" t="s">
        <v>2198</v>
      </c>
      <c r="B35" s="49" t="s">
        <v>852</v>
      </c>
      <c r="C35" s="167"/>
      <c r="D35" s="194">
        <v>3923.647</v>
      </c>
      <c r="E35" s="128">
        <v>1.0</v>
      </c>
      <c r="F35" s="203"/>
      <c r="G35" s="197">
        <v>1.22</v>
      </c>
      <c r="H35" s="197">
        <f t="shared" si="15"/>
        <v>1.25</v>
      </c>
      <c r="I35" s="197">
        <v>1.3</v>
      </c>
      <c r="J35" s="197">
        <v>1.15</v>
      </c>
      <c r="K35" s="162">
        <f t="shared" si="1"/>
        <v>8945.424704</v>
      </c>
      <c r="L35" s="201">
        <v>0.216</v>
      </c>
      <c r="M35" s="158">
        <v>0.783</v>
      </c>
      <c r="N35" s="118">
        <v>0.4</v>
      </c>
      <c r="O35" s="118">
        <f t="shared" si="16"/>
        <v>1.399</v>
      </c>
      <c r="P35" s="118">
        <f t="shared" ref="P35:P36" si="17">O35</f>
        <v>1.399</v>
      </c>
      <c r="Q35" s="199">
        <f t="shared" si="3"/>
        <v>6394.156329</v>
      </c>
      <c r="R35" s="162">
        <f t="shared" si="4"/>
        <v>6394.156329</v>
      </c>
    </row>
    <row r="36" ht="37.5" customHeight="1">
      <c r="A36" s="50" t="s">
        <v>2199</v>
      </c>
      <c r="B36" s="49" t="s">
        <v>2164</v>
      </c>
      <c r="C36" s="156"/>
      <c r="D36" s="194">
        <v>17764.0</v>
      </c>
      <c r="E36" s="195">
        <v>1.0</v>
      </c>
      <c r="F36" s="197"/>
      <c r="G36" s="197"/>
      <c r="H36" s="197"/>
      <c r="I36" s="197"/>
      <c r="J36" s="197">
        <v>1.45</v>
      </c>
      <c r="K36" s="162">
        <f t="shared" si="1"/>
        <v>25757.8</v>
      </c>
      <c r="L36" s="198" t="s">
        <v>303</v>
      </c>
      <c r="M36" s="158" t="s">
        <v>303</v>
      </c>
      <c r="N36" s="158" t="s">
        <v>303</v>
      </c>
      <c r="O36" s="158">
        <v>4.07</v>
      </c>
      <c r="P36" s="158">
        <f t="shared" si="17"/>
        <v>4.07</v>
      </c>
      <c r="Q36" s="199">
        <f t="shared" si="3"/>
        <v>6328.697789</v>
      </c>
      <c r="R36" s="162">
        <f t="shared" si="4"/>
        <v>6328.697789</v>
      </c>
    </row>
    <row r="37" ht="37.5" customHeight="1">
      <c r="A37" s="50" t="s">
        <v>2200</v>
      </c>
      <c r="B37" s="49" t="s">
        <v>852</v>
      </c>
      <c r="C37" s="156"/>
      <c r="D37" s="194">
        <v>745.212</v>
      </c>
      <c r="E37" s="128">
        <v>8.0</v>
      </c>
      <c r="F37" s="118">
        <f>(1.3*7+1)/8</f>
        <v>1.2625</v>
      </c>
      <c r="G37" s="197">
        <v>1.22</v>
      </c>
      <c r="H37" s="197">
        <f t="shared" ref="H37:H39" si="18">1.25</f>
        <v>1.25</v>
      </c>
      <c r="I37" s="197">
        <v>1.3</v>
      </c>
      <c r="J37" s="197">
        <v>1.1</v>
      </c>
      <c r="K37" s="162">
        <f t="shared" si="1"/>
        <v>16413.7228</v>
      </c>
      <c r="L37" s="201">
        <v>0.183</v>
      </c>
      <c r="M37" s="118">
        <f>0.508*0.6*7</f>
        <v>2.1336</v>
      </c>
      <c r="N37" s="118">
        <v>0.333</v>
      </c>
      <c r="O37" s="118">
        <f t="shared" ref="O37:O39" si="19">SUM(L37:N37)</f>
        <v>2.6496</v>
      </c>
      <c r="P37" s="118">
        <f>L37+M37+0.333</f>
        <v>2.6496</v>
      </c>
      <c r="Q37" s="199">
        <f t="shared" si="3"/>
        <v>6194.792722</v>
      </c>
      <c r="R37" s="162">
        <f t="shared" si="4"/>
        <v>6194.792722</v>
      </c>
    </row>
    <row r="38" ht="37.5" customHeight="1">
      <c r="A38" s="50" t="s">
        <v>2201</v>
      </c>
      <c r="B38" s="49" t="s">
        <v>852</v>
      </c>
      <c r="C38" s="167"/>
      <c r="D38" s="194">
        <f>3127.583/1.05</f>
        <v>2978.650476</v>
      </c>
      <c r="E38" s="128">
        <v>1.0</v>
      </c>
      <c r="F38" s="197"/>
      <c r="G38" s="197">
        <v>1.22</v>
      </c>
      <c r="H38" s="197">
        <f t="shared" si="18"/>
        <v>1.25</v>
      </c>
      <c r="I38" s="197">
        <v>1.3</v>
      </c>
      <c r="J38" s="197">
        <v>1.15</v>
      </c>
      <c r="K38" s="162">
        <f t="shared" si="1"/>
        <v>6790.950754</v>
      </c>
      <c r="L38" s="198">
        <v>0.833</v>
      </c>
      <c r="M38" s="118">
        <v>0.0</v>
      </c>
      <c r="N38" s="118">
        <v>0.3</v>
      </c>
      <c r="O38" s="118">
        <f t="shared" si="19"/>
        <v>1.133</v>
      </c>
      <c r="P38" s="118">
        <f t="shared" ref="P38:P44" si="20">O38</f>
        <v>1.133</v>
      </c>
      <c r="Q38" s="199">
        <f t="shared" si="3"/>
        <v>5993.778247</v>
      </c>
      <c r="R38" s="162">
        <f t="shared" si="4"/>
        <v>5993.778247</v>
      </c>
    </row>
    <row r="39" ht="37.5" customHeight="1">
      <c r="A39" s="50" t="s">
        <v>2202</v>
      </c>
      <c r="B39" s="49" t="s">
        <v>2169</v>
      </c>
      <c r="C39" s="156"/>
      <c r="D39" s="194">
        <v>800.505</v>
      </c>
      <c r="E39" s="128">
        <v>1.0</v>
      </c>
      <c r="F39" s="197">
        <v>2.0</v>
      </c>
      <c r="G39" s="197">
        <v>1.22</v>
      </c>
      <c r="H39" s="197">
        <f t="shared" si="18"/>
        <v>1.25</v>
      </c>
      <c r="I39" s="197">
        <v>1.3</v>
      </c>
      <c r="J39" s="197">
        <v>1.15</v>
      </c>
      <c r="K39" s="162">
        <f t="shared" si="1"/>
        <v>3650.102674</v>
      </c>
      <c r="L39" s="201">
        <v>0.266</v>
      </c>
      <c r="M39" s="118">
        <v>0.0</v>
      </c>
      <c r="N39" s="118">
        <v>0.35</v>
      </c>
      <c r="O39" s="118">
        <f t="shared" si="19"/>
        <v>0.616</v>
      </c>
      <c r="P39" s="118">
        <f t="shared" si="20"/>
        <v>0.616</v>
      </c>
      <c r="Q39" s="199">
        <f t="shared" si="3"/>
        <v>5925.491353</v>
      </c>
      <c r="R39" s="162">
        <f t="shared" si="4"/>
        <v>5925.491353</v>
      </c>
    </row>
    <row r="40" ht="37.5" customHeight="1">
      <c r="A40" s="50" t="s">
        <v>2203</v>
      </c>
      <c r="B40" s="49" t="s">
        <v>2164</v>
      </c>
      <c r="C40" s="156"/>
      <c r="D40" s="194">
        <v>10516.5</v>
      </c>
      <c r="E40" s="195">
        <v>1.0</v>
      </c>
      <c r="F40" s="197"/>
      <c r="G40" s="197"/>
      <c r="H40" s="197"/>
      <c r="I40" s="197"/>
      <c r="J40" s="197">
        <v>1.45</v>
      </c>
      <c r="K40" s="162">
        <f t="shared" si="1"/>
        <v>15248.925</v>
      </c>
      <c r="L40" s="198" t="s">
        <v>303</v>
      </c>
      <c r="M40" s="158" t="s">
        <v>303</v>
      </c>
      <c r="N40" s="158" t="s">
        <v>303</v>
      </c>
      <c r="O40" s="158">
        <v>2.65</v>
      </c>
      <c r="P40" s="158">
        <f t="shared" si="20"/>
        <v>2.65</v>
      </c>
      <c r="Q40" s="199">
        <f t="shared" si="3"/>
        <v>5754.311321</v>
      </c>
      <c r="R40" s="162">
        <f t="shared" si="4"/>
        <v>5754.311321</v>
      </c>
    </row>
    <row r="41" ht="37.5" customHeight="1">
      <c r="A41" s="50" t="s">
        <v>2204</v>
      </c>
      <c r="B41" s="49" t="s">
        <v>2164</v>
      </c>
      <c r="C41" s="156"/>
      <c r="D41" s="160">
        <v>38969.0</v>
      </c>
      <c r="E41" s="195">
        <v>1.0</v>
      </c>
      <c r="F41" s="197"/>
      <c r="G41" s="197"/>
      <c r="H41" s="197"/>
      <c r="I41" s="197">
        <v>1.3</v>
      </c>
      <c r="J41" s="197">
        <v>1.45</v>
      </c>
      <c r="K41" s="162">
        <f t="shared" si="1"/>
        <v>73456.565</v>
      </c>
      <c r="L41" s="198" t="s">
        <v>303</v>
      </c>
      <c r="M41" s="158" t="s">
        <v>303</v>
      </c>
      <c r="N41" s="158" t="s">
        <v>303</v>
      </c>
      <c r="O41" s="158">
        <v>12.88</v>
      </c>
      <c r="P41" s="118">
        <f t="shared" si="20"/>
        <v>12.88</v>
      </c>
      <c r="Q41" s="199">
        <f t="shared" si="3"/>
        <v>5703.149457</v>
      </c>
      <c r="R41" s="162">
        <f t="shared" si="4"/>
        <v>5703.149457</v>
      </c>
    </row>
    <row r="42" ht="37.5" customHeight="1">
      <c r="A42" s="50" t="s">
        <v>2205</v>
      </c>
      <c r="B42" s="49" t="s">
        <v>2169</v>
      </c>
      <c r="C42" s="167"/>
      <c r="D42" s="160">
        <v>1230.518</v>
      </c>
      <c r="E42" s="128">
        <v>1.0</v>
      </c>
      <c r="F42" s="197"/>
      <c r="G42" s="197">
        <v>1.15</v>
      </c>
      <c r="H42" s="197">
        <f>1.25</f>
        <v>1.25</v>
      </c>
      <c r="I42" s="197">
        <v>1.3</v>
      </c>
      <c r="J42" s="197">
        <v>1.15</v>
      </c>
      <c r="K42" s="162">
        <f t="shared" si="1"/>
        <v>2644.460089</v>
      </c>
      <c r="L42" s="201">
        <v>0.15</v>
      </c>
      <c r="M42" s="118">
        <v>0.0</v>
      </c>
      <c r="N42" s="118">
        <v>0.317</v>
      </c>
      <c r="O42" s="118">
        <f>SUM(L42:N42)</f>
        <v>0.467</v>
      </c>
      <c r="P42" s="118">
        <f t="shared" si="20"/>
        <v>0.467</v>
      </c>
      <c r="Q42" s="199">
        <f t="shared" si="3"/>
        <v>5662.655438</v>
      </c>
      <c r="R42" s="162">
        <f t="shared" si="4"/>
        <v>5662.655438</v>
      </c>
    </row>
    <row r="43" ht="37.5" customHeight="1">
      <c r="A43" s="50" t="s">
        <v>2206</v>
      </c>
      <c r="B43" s="49" t="s">
        <v>2164</v>
      </c>
      <c r="C43" s="49"/>
      <c r="D43" s="194">
        <v>26488.605</v>
      </c>
      <c r="E43" s="195">
        <v>1.0</v>
      </c>
      <c r="F43" s="197"/>
      <c r="G43" s="197"/>
      <c r="H43" s="197"/>
      <c r="I43" s="197">
        <v>1.3</v>
      </c>
      <c r="J43" s="197">
        <v>1.45</v>
      </c>
      <c r="K43" s="162">
        <f t="shared" si="1"/>
        <v>49931.02043</v>
      </c>
      <c r="L43" s="198" t="s">
        <v>303</v>
      </c>
      <c r="M43" s="158" t="s">
        <v>303</v>
      </c>
      <c r="N43" s="158" t="s">
        <v>303</v>
      </c>
      <c r="O43" s="158">
        <v>8.967</v>
      </c>
      <c r="P43" s="158">
        <f t="shared" si="20"/>
        <v>8.967</v>
      </c>
      <c r="Q43" s="199">
        <f t="shared" si="3"/>
        <v>5568.308289</v>
      </c>
      <c r="R43" s="162">
        <f t="shared" si="4"/>
        <v>5568.308289</v>
      </c>
    </row>
    <row r="44" ht="37.5" customHeight="1">
      <c r="A44" s="50" t="s">
        <v>2207</v>
      </c>
      <c r="B44" s="49" t="s">
        <v>2164</v>
      </c>
      <c r="C44" s="49"/>
      <c r="D44" s="194">
        <f>12659.098/1.3</f>
        <v>9737.767692</v>
      </c>
      <c r="E44" s="195">
        <v>1.0</v>
      </c>
      <c r="F44" s="197"/>
      <c r="G44" s="197"/>
      <c r="H44" s="197">
        <v>1.1</v>
      </c>
      <c r="I44" s="197">
        <v>1.3</v>
      </c>
      <c r="J44" s="197">
        <v>1.45</v>
      </c>
      <c r="K44" s="162">
        <f t="shared" si="1"/>
        <v>20191.26131</v>
      </c>
      <c r="L44" s="198" t="s">
        <v>303</v>
      </c>
      <c r="M44" s="158" t="s">
        <v>303</v>
      </c>
      <c r="N44" s="158" t="s">
        <v>303</v>
      </c>
      <c r="O44" s="158">
        <v>3.63</v>
      </c>
      <c r="P44" s="118">
        <f t="shared" si="20"/>
        <v>3.63</v>
      </c>
      <c r="Q44" s="199">
        <f t="shared" si="3"/>
        <v>5562.330939</v>
      </c>
      <c r="R44" s="162">
        <f t="shared" si="4"/>
        <v>5562.330939</v>
      </c>
    </row>
    <row r="45" ht="37.5" customHeight="1">
      <c r="A45" s="50" t="s">
        <v>2208</v>
      </c>
      <c r="B45" s="50" t="s">
        <v>1769</v>
      </c>
      <c r="C45" s="49"/>
      <c r="D45" s="200">
        <v>6882.75</v>
      </c>
      <c r="E45" s="128">
        <v>1.0</v>
      </c>
      <c r="F45" s="197">
        <f>1.35</f>
        <v>1.35</v>
      </c>
      <c r="G45" s="197"/>
      <c r="H45" s="196">
        <v>1.73</v>
      </c>
      <c r="I45" s="197">
        <v>1.3</v>
      </c>
      <c r="J45" s="197">
        <v>1.65</v>
      </c>
      <c r="K45" s="162">
        <f t="shared" si="1"/>
        <v>34480.15133</v>
      </c>
      <c r="L45" s="198" t="s">
        <v>303</v>
      </c>
      <c r="M45" s="158" t="s">
        <v>303</v>
      </c>
      <c r="N45" s="158" t="s">
        <v>303</v>
      </c>
      <c r="O45" s="118">
        <v>1.283</v>
      </c>
      <c r="P45" s="118">
        <v>6.283</v>
      </c>
      <c r="Q45" s="199">
        <f t="shared" si="3"/>
        <v>26874.63081</v>
      </c>
      <c r="R45" s="162">
        <f t="shared" si="4"/>
        <v>5487.848373</v>
      </c>
    </row>
    <row r="46" ht="37.5" customHeight="1">
      <c r="A46" s="50" t="s">
        <v>2209</v>
      </c>
      <c r="B46" s="49" t="s">
        <v>2164</v>
      </c>
      <c r="C46" s="156"/>
      <c r="D46" s="160">
        <v>15987.048</v>
      </c>
      <c r="E46" s="195">
        <v>1.0</v>
      </c>
      <c r="F46" s="197"/>
      <c r="G46" s="197"/>
      <c r="H46" s="197">
        <v>1.1</v>
      </c>
      <c r="I46" s="197">
        <v>1.3</v>
      </c>
      <c r="J46" s="197">
        <v>1.45</v>
      </c>
      <c r="K46" s="162">
        <f t="shared" si="1"/>
        <v>33149.14403</v>
      </c>
      <c r="L46" s="198" t="s">
        <v>303</v>
      </c>
      <c r="M46" s="158" t="s">
        <v>303</v>
      </c>
      <c r="N46" s="158" t="s">
        <v>303</v>
      </c>
      <c r="O46" s="158">
        <v>1.98</v>
      </c>
      <c r="P46" s="158">
        <v>6.25</v>
      </c>
      <c r="Q46" s="199">
        <f t="shared" si="3"/>
        <v>16741.99193</v>
      </c>
      <c r="R46" s="162">
        <f t="shared" si="4"/>
        <v>5303.863044</v>
      </c>
    </row>
    <row r="47" ht="37.5" customHeight="1">
      <c r="A47" s="117" t="s">
        <v>2210</v>
      </c>
      <c r="B47" s="49" t="s">
        <v>852</v>
      </c>
      <c r="C47" s="111"/>
      <c r="D47" s="200">
        <v>1149.415</v>
      </c>
      <c r="E47" s="128">
        <v>6.0</v>
      </c>
      <c r="F47" s="197"/>
      <c r="G47" s="197">
        <v>1.22</v>
      </c>
      <c r="H47" s="197">
        <f t="shared" ref="H47:H54" si="21">1.25</f>
        <v>1.25</v>
      </c>
      <c r="I47" s="197">
        <v>1.3</v>
      </c>
      <c r="J47" s="197">
        <v>1.15</v>
      </c>
      <c r="K47" s="162">
        <f t="shared" si="1"/>
        <v>15723.13514</v>
      </c>
      <c r="L47" s="198">
        <v>0.183</v>
      </c>
      <c r="M47" s="118">
        <f>0.5*5</f>
        <v>2.5</v>
      </c>
      <c r="N47" s="158">
        <v>0.333</v>
      </c>
      <c r="O47" s="118">
        <f t="shared" ref="O47:O54" si="22">SUM(L47:N47)</f>
        <v>3.016</v>
      </c>
      <c r="P47" s="118">
        <f>L47+M47+0.333</f>
        <v>3.016</v>
      </c>
      <c r="Q47" s="199">
        <f t="shared" si="3"/>
        <v>5213.241094</v>
      </c>
      <c r="R47" s="162">
        <f t="shared" si="4"/>
        <v>5213.241094</v>
      </c>
    </row>
    <row r="48" ht="37.5" customHeight="1">
      <c r="A48" s="50" t="s">
        <v>2211</v>
      </c>
      <c r="B48" s="49" t="s">
        <v>852</v>
      </c>
      <c r="C48" s="49"/>
      <c r="D48" s="194">
        <v>2312.279</v>
      </c>
      <c r="E48" s="128">
        <v>3.0</v>
      </c>
      <c r="F48" s="197">
        <f>1.07*1.4</f>
        <v>1.498</v>
      </c>
      <c r="G48" s="197">
        <v>1.22</v>
      </c>
      <c r="H48" s="197">
        <f t="shared" si="21"/>
        <v>1.25</v>
      </c>
      <c r="I48" s="197">
        <v>1.3</v>
      </c>
      <c r="J48" s="197">
        <v>1.1</v>
      </c>
      <c r="K48" s="162">
        <f t="shared" si="1"/>
        <v>22661.00592</v>
      </c>
      <c r="L48" s="201">
        <v>0.233</v>
      </c>
      <c r="M48" s="118">
        <f>1.083*2</f>
        <v>2.166</v>
      </c>
      <c r="N48" s="118">
        <v>0.4</v>
      </c>
      <c r="O48" s="118">
        <f t="shared" si="22"/>
        <v>2.799</v>
      </c>
      <c r="P48" s="118">
        <f>L48+M48+2</f>
        <v>4.399</v>
      </c>
      <c r="Q48" s="199">
        <f t="shared" si="3"/>
        <v>8096.107866</v>
      </c>
      <c r="R48" s="162">
        <f t="shared" si="4"/>
        <v>5151.39939</v>
      </c>
    </row>
    <row r="49" ht="37.5" customHeight="1">
      <c r="A49" s="50" t="s">
        <v>2212</v>
      </c>
      <c r="B49" s="49" t="s">
        <v>2169</v>
      </c>
      <c r="C49" s="44"/>
      <c r="D49" s="194">
        <v>980.531</v>
      </c>
      <c r="E49" s="128">
        <v>1.0</v>
      </c>
      <c r="F49" s="197"/>
      <c r="G49" s="197">
        <v>1.22</v>
      </c>
      <c r="H49" s="197">
        <f t="shared" si="21"/>
        <v>1.25</v>
      </c>
      <c r="I49" s="197">
        <v>1.3</v>
      </c>
      <c r="J49" s="197">
        <v>1.15</v>
      </c>
      <c r="K49" s="162">
        <f t="shared" si="1"/>
        <v>2235.488114</v>
      </c>
      <c r="L49" s="201">
        <v>0.117</v>
      </c>
      <c r="M49" s="118">
        <v>0.0</v>
      </c>
      <c r="N49" s="118">
        <v>0.317</v>
      </c>
      <c r="O49" s="118">
        <f t="shared" si="22"/>
        <v>0.434</v>
      </c>
      <c r="P49" s="118">
        <f t="shared" ref="P49:P51" si="23">O49</f>
        <v>0.434</v>
      </c>
      <c r="Q49" s="199">
        <f t="shared" si="3"/>
        <v>5150.894271</v>
      </c>
      <c r="R49" s="162">
        <f t="shared" si="4"/>
        <v>5150.894271</v>
      </c>
    </row>
    <row r="50" ht="37.5" customHeight="1">
      <c r="A50" s="50" t="s">
        <v>2213</v>
      </c>
      <c r="B50" s="49" t="s">
        <v>2169</v>
      </c>
      <c r="C50" s="44"/>
      <c r="D50" s="194">
        <v>5110.478</v>
      </c>
      <c r="E50" s="128">
        <v>1.0</v>
      </c>
      <c r="F50" s="197"/>
      <c r="G50" s="197">
        <v>1.22</v>
      </c>
      <c r="H50" s="197">
        <f t="shared" si="21"/>
        <v>1.25</v>
      </c>
      <c r="I50" s="197">
        <v>1.3</v>
      </c>
      <c r="J50" s="197">
        <v>1.15</v>
      </c>
      <c r="K50" s="162">
        <f t="shared" si="1"/>
        <v>11651.25103</v>
      </c>
      <c r="L50" s="201">
        <v>1.9</v>
      </c>
      <c r="M50" s="118">
        <v>0.0</v>
      </c>
      <c r="N50" s="118">
        <v>0.417</v>
      </c>
      <c r="O50" s="118">
        <f t="shared" si="22"/>
        <v>2.317</v>
      </c>
      <c r="P50" s="118">
        <f t="shared" si="23"/>
        <v>2.317</v>
      </c>
      <c r="Q50" s="199">
        <f t="shared" si="3"/>
        <v>5028.593453</v>
      </c>
      <c r="R50" s="162">
        <f t="shared" si="4"/>
        <v>5028.593453</v>
      </c>
    </row>
    <row r="51" ht="37.5" customHeight="1">
      <c r="A51" s="169" t="s">
        <v>2214</v>
      </c>
      <c r="B51" s="204" t="s">
        <v>2169</v>
      </c>
      <c r="C51" s="130"/>
      <c r="D51" s="205">
        <v>642.128</v>
      </c>
      <c r="E51" s="135">
        <v>3.0</v>
      </c>
      <c r="F51" s="206">
        <f>1.3*1.15</f>
        <v>1.495</v>
      </c>
      <c r="G51" s="206">
        <v>1.22</v>
      </c>
      <c r="H51" s="206">
        <f t="shared" si="21"/>
        <v>1.25</v>
      </c>
      <c r="I51" s="206">
        <v>1.3</v>
      </c>
      <c r="J51" s="206">
        <v>1.15</v>
      </c>
      <c r="K51" s="177">
        <f t="shared" si="1"/>
        <v>6565.912509</v>
      </c>
      <c r="L51" s="207">
        <v>0.166</v>
      </c>
      <c r="M51" s="175">
        <f>0.416*2</f>
        <v>0.832</v>
      </c>
      <c r="N51" s="175">
        <v>0.316</v>
      </c>
      <c r="O51" s="175">
        <f t="shared" si="22"/>
        <v>1.314</v>
      </c>
      <c r="P51" s="175">
        <f t="shared" si="23"/>
        <v>1.314</v>
      </c>
      <c r="Q51" s="208">
        <f t="shared" si="3"/>
        <v>4996.889277</v>
      </c>
      <c r="R51" s="177">
        <f t="shared" si="4"/>
        <v>4996.889277</v>
      </c>
    </row>
    <row r="52" ht="37.5" customHeight="1">
      <c r="A52" s="50" t="s">
        <v>2215</v>
      </c>
      <c r="B52" s="49" t="s">
        <v>852</v>
      </c>
      <c r="C52" s="49"/>
      <c r="D52" s="194">
        <v>745.212</v>
      </c>
      <c r="E52" s="128">
        <v>8.0</v>
      </c>
      <c r="F52" s="197"/>
      <c r="G52" s="197">
        <v>1.22</v>
      </c>
      <c r="H52" s="197">
        <f t="shared" si="21"/>
        <v>1.25</v>
      </c>
      <c r="I52" s="197">
        <v>1.3</v>
      </c>
      <c r="J52" s="197">
        <v>1.1</v>
      </c>
      <c r="K52" s="162">
        <f t="shared" si="1"/>
        <v>13000.96855</v>
      </c>
      <c r="L52" s="201">
        <v>0.183</v>
      </c>
      <c r="M52" s="118">
        <f>0.508*0.6*7</f>
        <v>2.1336</v>
      </c>
      <c r="N52" s="118">
        <v>0.333</v>
      </c>
      <c r="O52" s="118">
        <f t="shared" si="22"/>
        <v>2.6496</v>
      </c>
      <c r="P52" s="118">
        <f>L52+M52+0.333</f>
        <v>2.6496</v>
      </c>
      <c r="Q52" s="199">
        <f t="shared" si="3"/>
        <v>4906.766513</v>
      </c>
      <c r="R52" s="162">
        <f t="shared" si="4"/>
        <v>4906.766513</v>
      </c>
    </row>
    <row r="53" ht="37.5" customHeight="1">
      <c r="A53" s="50" t="s">
        <v>2216</v>
      </c>
      <c r="B53" s="49" t="s">
        <v>2169</v>
      </c>
      <c r="C53" s="44"/>
      <c r="D53" s="194">
        <v>3197.353</v>
      </c>
      <c r="E53" s="128">
        <v>1.0</v>
      </c>
      <c r="F53" s="197"/>
      <c r="G53" s="197">
        <v>1.22</v>
      </c>
      <c r="H53" s="197">
        <f t="shared" si="21"/>
        <v>1.25</v>
      </c>
      <c r="I53" s="197">
        <v>1.3</v>
      </c>
      <c r="J53" s="197">
        <v>1.15</v>
      </c>
      <c r="K53" s="162">
        <f t="shared" si="1"/>
        <v>7289.565171</v>
      </c>
      <c r="L53" s="201">
        <v>0.216</v>
      </c>
      <c r="M53" s="118">
        <v>0.0</v>
      </c>
      <c r="N53" s="158">
        <v>1.284</v>
      </c>
      <c r="O53" s="118">
        <f t="shared" si="22"/>
        <v>1.5</v>
      </c>
      <c r="P53" s="118">
        <f t="shared" ref="P53:P54" si="24">O53</f>
        <v>1.5</v>
      </c>
      <c r="Q53" s="199">
        <f t="shared" si="3"/>
        <v>4859.710114</v>
      </c>
      <c r="R53" s="162">
        <f t="shared" si="4"/>
        <v>4859.710114</v>
      </c>
    </row>
    <row r="54" ht="37.5" customHeight="1">
      <c r="A54" s="50" t="s">
        <v>2217</v>
      </c>
      <c r="B54" s="49" t="s">
        <v>2180</v>
      </c>
      <c r="C54" s="44"/>
      <c r="D54" s="194">
        <f>12869/1.05</f>
        <v>12256.19048</v>
      </c>
      <c r="E54" s="128">
        <v>1.0</v>
      </c>
      <c r="F54" s="197"/>
      <c r="G54" s="196">
        <v>1.22</v>
      </c>
      <c r="H54" s="197">
        <f t="shared" si="21"/>
        <v>1.25</v>
      </c>
      <c r="I54" s="197">
        <v>1.3</v>
      </c>
      <c r="J54" s="197">
        <v>1.15</v>
      </c>
      <c r="K54" s="162">
        <f t="shared" si="1"/>
        <v>27942.58226</v>
      </c>
      <c r="L54" s="198">
        <v>0.1</v>
      </c>
      <c r="M54" s="158">
        <v>5.467</v>
      </c>
      <c r="N54" s="118">
        <v>0.333</v>
      </c>
      <c r="O54" s="118">
        <f t="shared" si="22"/>
        <v>5.9</v>
      </c>
      <c r="P54" s="118">
        <f t="shared" si="24"/>
        <v>5.9</v>
      </c>
      <c r="Q54" s="199">
        <f t="shared" si="3"/>
        <v>4736.030892</v>
      </c>
      <c r="R54" s="162">
        <f t="shared" si="4"/>
        <v>4736.030892</v>
      </c>
    </row>
    <row r="55" ht="37.5" customHeight="1">
      <c r="A55" s="50" t="s">
        <v>2218</v>
      </c>
      <c r="B55" s="49" t="s">
        <v>2164</v>
      </c>
      <c r="C55" s="49"/>
      <c r="D55" s="194">
        <v>22176.0</v>
      </c>
      <c r="E55" s="195">
        <v>1.0</v>
      </c>
      <c r="F55" s="197"/>
      <c r="G55" s="197"/>
      <c r="H55" s="197">
        <v>1.1</v>
      </c>
      <c r="I55" s="197">
        <v>1.3</v>
      </c>
      <c r="J55" s="197">
        <v>1.45</v>
      </c>
      <c r="K55" s="162">
        <f t="shared" si="1"/>
        <v>45981.936</v>
      </c>
      <c r="L55" s="198" t="s">
        <v>303</v>
      </c>
      <c r="M55" s="158" t="s">
        <v>303</v>
      </c>
      <c r="N55" s="158" t="s">
        <v>303</v>
      </c>
      <c r="O55" s="158">
        <v>9.08</v>
      </c>
      <c r="P55" s="158">
        <v>9.98</v>
      </c>
      <c r="Q55" s="199">
        <f t="shared" si="3"/>
        <v>5064.089868</v>
      </c>
      <c r="R55" s="162">
        <f t="shared" si="4"/>
        <v>4607.408417</v>
      </c>
    </row>
    <row r="56" ht="37.5" customHeight="1">
      <c r="A56" s="50" t="s">
        <v>2219</v>
      </c>
      <c r="B56" s="49" t="s">
        <v>2164</v>
      </c>
      <c r="C56" s="49"/>
      <c r="D56" s="194">
        <f>3963.5*8</f>
        <v>31708</v>
      </c>
      <c r="E56" s="195">
        <v>1.0</v>
      </c>
      <c r="F56" s="197"/>
      <c r="G56" s="197"/>
      <c r="H56" s="197"/>
      <c r="I56" s="197">
        <v>1.3</v>
      </c>
      <c r="J56" s="197">
        <v>1.45</v>
      </c>
      <c r="K56" s="162">
        <f t="shared" si="1"/>
        <v>59769.58</v>
      </c>
      <c r="L56" s="198" t="s">
        <v>303</v>
      </c>
      <c r="M56" s="158" t="s">
        <v>303</v>
      </c>
      <c r="N56" s="158" t="s">
        <v>303</v>
      </c>
      <c r="O56" s="158">
        <v>13.23</v>
      </c>
      <c r="P56" s="118">
        <f t="shared" ref="P56:P60" si="25">O56</f>
        <v>13.23</v>
      </c>
      <c r="Q56" s="199">
        <f t="shared" si="3"/>
        <v>4517.730915</v>
      </c>
      <c r="R56" s="162">
        <f t="shared" si="4"/>
        <v>4517.730915</v>
      </c>
    </row>
    <row r="57" ht="37.5" customHeight="1">
      <c r="A57" s="50" t="s">
        <v>2220</v>
      </c>
      <c r="B57" s="49" t="s">
        <v>2180</v>
      </c>
      <c r="C57" s="167"/>
      <c r="D57" s="168">
        <v>10566.5</v>
      </c>
      <c r="E57" s="128">
        <v>1.0</v>
      </c>
      <c r="F57" s="197"/>
      <c r="G57" s="197">
        <v>1.22</v>
      </c>
      <c r="H57" s="197">
        <f t="shared" ref="H57:H58" si="26">1.25</f>
        <v>1.25</v>
      </c>
      <c r="I57" s="197">
        <v>1.3</v>
      </c>
      <c r="J57" s="197">
        <v>1.15</v>
      </c>
      <c r="K57" s="162">
        <f t="shared" si="1"/>
        <v>24090.29919</v>
      </c>
      <c r="L57" s="201">
        <v>0.166</v>
      </c>
      <c r="M57" s="118">
        <v>4.95</v>
      </c>
      <c r="N57" s="118">
        <v>0.25</v>
      </c>
      <c r="O57" s="118">
        <f t="shared" ref="O57:O58" si="27">SUM(L57:N57)</f>
        <v>5.366</v>
      </c>
      <c r="P57" s="118">
        <f t="shared" si="25"/>
        <v>5.366</v>
      </c>
      <c r="Q57" s="199">
        <f t="shared" si="3"/>
        <v>4489.433319</v>
      </c>
      <c r="R57" s="162">
        <f t="shared" si="4"/>
        <v>4489.433319</v>
      </c>
    </row>
    <row r="58" ht="37.5" customHeight="1">
      <c r="A58" s="117" t="s">
        <v>472</v>
      </c>
      <c r="B58" s="111" t="s">
        <v>2169</v>
      </c>
      <c r="C58" s="44"/>
      <c r="D58" s="200">
        <v>1016.191</v>
      </c>
      <c r="E58" s="128">
        <v>1.0</v>
      </c>
      <c r="F58" s="197"/>
      <c r="G58" s="197">
        <v>1.22</v>
      </c>
      <c r="H58" s="197">
        <f t="shared" si="26"/>
        <v>1.25</v>
      </c>
      <c r="I58" s="197">
        <v>1.3</v>
      </c>
      <c r="J58" s="197">
        <v>1.15</v>
      </c>
      <c r="K58" s="162">
        <f t="shared" si="1"/>
        <v>2316.788456</v>
      </c>
      <c r="L58" s="198">
        <v>0.2</v>
      </c>
      <c r="M58" s="118">
        <v>0.0</v>
      </c>
      <c r="N58" s="158">
        <v>0.317</v>
      </c>
      <c r="O58" s="118">
        <f t="shared" si="27"/>
        <v>0.517</v>
      </c>
      <c r="P58" s="118">
        <f t="shared" si="25"/>
        <v>0.517</v>
      </c>
      <c r="Q58" s="199">
        <f t="shared" si="3"/>
        <v>4481.215582</v>
      </c>
      <c r="R58" s="162">
        <f t="shared" si="4"/>
        <v>4481.215582</v>
      </c>
    </row>
    <row r="59" ht="37.5" customHeight="1">
      <c r="A59" s="50" t="s">
        <v>2221</v>
      </c>
      <c r="B59" s="49" t="s">
        <v>2164</v>
      </c>
      <c r="C59" s="49"/>
      <c r="D59" s="194">
        <v>28785.0</v>
      </c>
      <c r="E59" s="128">
        <v>1.0</v>
      </c>
      <c r="F59" s="197"/>
      <c r="G59" s="197"/>
      <c r="H59" s="197">
        <v>1.1</v>
      </c>
      <c r="I59" s="197">
        <v>1.3</v>
      </c>
      <c r="J59" s="197">
        <v>1.45</v>
      </c>
      <c r="K59" s="162">
        <f t="shared" si="1"/>
        <v>59685.6975</v>
      </c>
      <c r="L59" s="198" t="s">
        <v>303</v>
      </c>
      <c r="M59" s="158" t="s">
        <v>303</v>
      </c>
      <c r="N59" s="158" t="s">
        <v>303</v>
      </c>
      <c r="O59" s="158">
        <v>13.55</v>
      </c>
      <c r="P59" s="118">
        <f t="shared" si="25"/>
        <v>13.55</v>
      </c>
      <c r="Q59" s="199">
        <f t="shared" si="3"/>
        <v>4404.848524</v>
      </c>
      <c r="R59" s="162">
        <f t="shared" si="4"/>
        <v>4404.848524</v>
      </c>
    </row>
    <row r="60" ht="37.5" customHeight="1">
      <c r="A60" s="50" t="s">
        <v>2222</v>
      </c>
      <c r="B60" s="49" t="s">
        <v>2169</v>
      </c>
      <c r="C60" s="49"/>
      <c r="D60" s="194">
        <v>5750.584</v>
      </c>
      <c r="E60" s="128">
        <v>1.0</v>
      </c>
      <c r="F60" s="196"/>
      <c r="G60" s="197">
        <f>AVERAGE(1.17,1.1)</f>
        <v>1.135</v>
      </c>
      <c r="H60" s="197">
        <v>1.25</v>
      </c>
      <c r="I60" s="197">
        <v>1.3</v>
      </c>
      <c r="J60" s="197">
        <v>1.1</v>
      </c>
      <c r="K60" s="162">
        <f t="shared" si="1"/>
        <v>11666.8567</v>
      </c>
      <c r="L60" s="201">
        <v>2.417</v>
      </c>
      <c r="M60" s="118">
        <v>0.0</v>
      </c>
      <c r="N60" s="118">
        <v>0.233</v>
      </c>
      <c r="O60" s="118">
        <f>SUM(L60:N60)</f>
        <v>2.65</v>
      </c>
      <c r="P60" s="118">
        <f t="shared" si="25"/>
        <v>2.65</v>
      </c>
      <c r="Q60" s="199">
        <f t="shared" si="3"/>
        <v>4402.587435</v>
      </c>
      <c r="R60" s="162">
        <f t="shared" si="4"/>
        <v>4402.587435</v>
      </c>
    </row>
    <row r="61" ht="37.5" customHeight="1">
      <c r="A61" s="50" t="s">
        <v>2223</v>
      </c>
      <c r="B61" s="49" t="s">
        <v>2164</v>
      </c>
      <c r="C61" s="49"/>
      <c r="D61" s="200">
        <v>22874.0</v>
      </c>
      <c r="E61" s="128">
        <v>1.0</v>
      </c>
      <c r="F61" s="197"/>
      <c r="G61" s="197"/>
      <c r="H61" s="197"/>
      <c r="I61" s="197">
        <v>1.3</v>
      </c>
      <c r="J61" s="197">
        <v>1.45</v>
      </c>
      <c r="K61" s="162">
        <f t="shared" si="1"/>
        <v>43117.49</v>
      </c>
      <c r="L61" s="198" t="s">
        <v>303</v>
      </c>
      <c r="M61" s="158" t="s">
        <v>303</v>
      </c>
      <c r="N61" s="158" t="s">
        <v>303</v>
      </c>
      <c r="O61" s="158">
        <v>9.8</v>
      </c>
      <c r="P61" s="158">
        <v>9.8</v>
      </c>
      <c r="Q61" s="199">
        <f t="shared" si="3"/>
        <v>4399.743878</v>
      </c>
      <c r="R61" s="162">
        <f t="shared" si="4"/>
        <v>4399.743878</v>
      </c>
    </row>
    <row r="62" ht="37.5" customHeight="1">
      <c r="A62" s="50" t="s">
        <v>2224</v>
      </c>
      <c r="B62" s="50" t="s">
        <v>1756</v>
      </c>
      <c r="C62" s="49"/>
      <c r="D62" s="194">
        <f>136.349*4</f>
        <v>545.396</v>
      </c>
      <c r="E62" s="128">
        <v>11.0</v>
      </c>
      <c r="F62" s="197"/>
      <c r="G62" s="197"/>
      <c r="H62" s="118">
        <f>((1+1+0.1)+(1+1+0.2)+(1+1+1.2)*9)/11</f>
        <v>3.009090909</v>
      </c>
      <c r="I62" s="197">
        <v>1.3</v>
      </c>
      <c r="J62" s="197">
        <v>1.3</v>
      </c>
      <c r="K62" s="162">
        <f t="shared" si="1"/>
        <v>30508.90684</v>
      </c>
      <c r="L62" s="201">
        <v>0.0</v>
      </c>
      <c r="M62" s="118">
        <v>6.971</v>
      </c>
      <c r="N62" s="118">
        <v>0.0</v>
      </c>
      <c r="O62" s="118">
        <f t="shared" ref="O62:O65" si="28">SUM(L62:N62)</f>
        <v>6.971</v>
      </c>
      <c r="P62" s="118">
        <f t="shared" ref="P62:P64" si="29">O62</f>
        <v>6.971</v>
      </c>
      <c r="Q62" s="199">
        <f t="shared" si="3"/>
        <v>4376.546671</v>
      </c>
      <c r="R62" s="162">
        <f t="shared" si="4"/>
        <v>4376.546671</v>
      </c>
    </row>
    <row r="63" ht="37.5" customHeight="1">
      <c r="A63" s="50" t="s">
        <v>2225</v>
      </c>
      <c r="B63" s="111" t="s">
        <v>2180</v>
      </c>
      <c r="C63" s="44"/>
      <c r="D63" s="194">
        <v>9938.703</v>
      </c>
      <c r="E63" s="128">
        <v>1.0</v>
      </c>
      <c r="F63" s="196">
        <v>1.2</v>
      </c>
      <c r="G63" s="197">
        <v>1.22</v>
      </c>
      <c r="H63" s="197">
        <v>1.25</v>
      </c>
      <c r="I63" s="197">
        <v>1.3</v>
      </c>
      <c r="J63" s="196">
        <v>1.15</v>
      </c>
      <c r="K63" s="162">
        <f t="shared" si="1"/>
        <v>27190.8006</v>
      </c>
      <c r="L63" s="201">
        <v>0.083</v>
      </c>
      <c r="M63" s="118">
        <v>5.9</v>
      </c>
      <c r="N63" s="118">
        <v>0.25</v>
      </c>
      <c r="O63" s="118">
        <f t="shared" si="28"/>
        <v>6.233</v>
      </c>
      <c r="P63" s="118">
        <f t="shared" si="29"/>
        <v>6.233</v>
      </c>
      <c r="Q63" s="199">
        <f t="shared" si="3"/>
        <v>4362.393808</v>
      </c>
      <c r="R63" s="162">
        <f t="shared" si="4"/>
        <v>4362.393808</v>
      </c>
    </row>
    <row r="64" ht="37.5" customHeight="1">
      <c r="A64" s="50" t="s">
        <v>2226</v>
      </c>
      <c r="B64" s="49" t="s">
        <v>2169</v>
      </c>
      <c r="C64" s="44"/>
      <c r="D64" s="194">
        <v>748.671</v>
      </c>
      <c r="E64" s="128">
        <v>1.0</v>
      </c>
      <c r="F64" s="197">
        <v>1.15</v>
      </c>
      <c r="G64" s="197">
        <v>1.22</v>
      </c>
      <c r="H64" s="197">
        <f t="shared" ref="H64:H65" si="30">1.25</f>
        <v>1.25</v>
      </c>
      <c r="I64" s="197">
        <v>1.3</v>
      </c>
      <c r="J64" s="197">
        <v>1.15</v>
      </c>
      <c r="K64" s="162">
        <f t="shared" si="1"/>
        <v>1962.907741</v>
      </c>
      <c r="L64" s="201">
        <v>0.15</v>
      </c>
      <c r="M64" s="118">
        <v>0.0</v>
      </c>
      <c r="N64" s="118">
        <v>0.3</v>
      </c>
      <c r="O64" s="118">
        <f t="shared" si="28"/>
        <v>0.45</v>
      </c>
      <c r="P64" s="118">
        <f t="shared" si="29"/>
        <v>0.45</v>
      </c>
      <c r="Q64" s="199">
        <f t="shared" si="3"/>
        <v>4362.017201</v>
      </c>
      <c r="R64" s="162">
        <f t="shared" si="4"/>
        <v>4362.017201</v>
      </c>
    </row>
    <row r="65" ht="37.5" customHeight="1">
      <c r="A65" s="50" t="s">
        <v>2227</v>
      </c>
      <c r="B65" s="49" t="s">
        <v>2169</v>
      </c>
      <c r="C65" s="49"/>
      <c r="D65" s="194">
        <v>783.868</v>
      </c>
      <c r="E65" s="128">
        <v>1.0</v>
      </c>
      <c r="F65" s="197">
        <v>1.3</v>
      </c>
      <c r="G65" s="197">
        <v>1.22</v>
      </c>
      <c r="H65" s="197">
        <f t="shared" si="30"/>
        <v>1.25</v>
      </c>
      <c r="I65" s="197">
        <v>1.3</v>
      </c>
      <c r="J65" s="197">
        <v>1.15</v>
      </c>
      <c r="K65" s="162">
        <f t="shared" si="1"/>
        <v>2323.257373</v>
      </c>
      <c r="L65" s="201">
        <v>0.2</v>
      </c>
      <c r="M65" s="118">
        <v>0.0</v>
      </c>
      <c r="N65" s="118">
        <v>0.333</v>
      </c>
      <c r="O65" s="118">
        <f t="shared" si="28"/>
        <v>0.533</v>
      </c>
      <c r="P65" s="118">
        <v>0.533</v>
      </c>
      <c r="Q65" s="199">
        <f t="shared" si="3"/>
        <v>4358.831845</v>
      </c>
      <c r="R65" s="162">
        <f t="shared" si="4"/>
        <v>4358.831845</v>
      </c>
    </row>
    <row r="66" ht="37.5" customHeight="1">
      <c r="A66" s="50" t="s">
        <v>2228</v>
      </c>
      <c r="B66" s="49" t="s">
        <v>2164</v>
      </c>
      <c r="C66" s="49"/>
      <c r="D66" s="194">
        <v>16018.159</v>
      </c>
      <c r="E66" s="195">
        <v>1.0</v>
      </c>
      <c r="F66" s="197"/>
      <c r="G66" s="197"/>
      <c r="H66" s="197">
        <v>1.1</v>
      </c>
      <c r="I66" s="197">
        <v>1.3</v>
      </c>
      <c r="J66" s="197">
        <v>1.45</v>
      </c>
      <c r="K66" s="162">
        <f t="shared" si="1"/>
        <v>33213.65269</v>
      </c>
      <c r="L66" s="198" t="s">
        <v>303</v>
      </c>
      <c r="M66" s="158" t="s">
        <v>303</v>
      </c>
      <c r="N66" s="158" t="s">
        <v>303</v>
      </c>
      <c r="O66" s="158">
        <v>7.68</v>
      </c>
      <c r="P66" s="118">
        <f t="shared" ref="P66:P67" si="31">O66</f>
        <v>7.68</v>
      </c>
      <c r="Q66" s="199">
        <f t="shared" si="3"/>
        <v>4324.69436</v>
      </c>
      <c r="R66" s="162">
        <f t="shared" si="4"/>
        <v>4324.69436</v>
      </c>
    </row>
    <row r="67" ht="37.5" customHeight="1">
      <c r="A67" s="50" t="s">
        <v>2229</v>
      </c>
      <c r="B67" s="49" t="s">
        <v>2164</v>
      </c>
      <c r="C67" s="49"/>
      <c r="D67" s="194">
        <v>26143.0</v>
      </c>
      <c r="E67" s="128">
        <v>1.0</v>
      </c>
      <c r="F67" s="197"/>
      <c r="G67" s="197"/>
      <c r="H67" s="197"/>
      <c r="I67" s="197">
        <v>1.3</v>
      </c>
      <c r="J67" s="197">
        <v>1.45</v>
      </c>
      <c r="K67" s="162">
        <f t="shared" si="1"/>
        <v>49279.555</v>
      </c>
      <c r="L67" s="198" t="s">
        <v>303</v>
      </c>
      <c r="M67" s="158" t="s">
        <v>303</v>
      </c>
      <c r="N67" s="158" t="s">
        <v>303</v>
      </c>
      <c r="O67" s="118">
        <f>8.67+3.034</f>
        <v>11.704</v>
      </c>
      <c r="P67" s="118">
        <f t="shared" si="31"/>
        <v>11.704</v>
      </c>
      <c r="Q67" s="199">
        <f t="shared" si="3"/>
        <v>4210.488295</v>
      </c>
      <c r="R67" s="162">
        <f t="shared" si="4"/>
        <v>4210.488295</v>
      </c>
    </row>
    <row r="68" ht="37.5" customHeight="1">
      <c r="A68" s="50" t="s">
        <v>2230</v>
      </c>
      <c r="B68" s="49" t="s">
        <v>2169</v>
      </c>
      <c r="C68" s="49"/>
      <c r="D68" s="194">
        <v>745.212</v>
      </c>
      <c r="E68" s="128">
        <v>8.0</v>
      </c>
      <c r="F68" s="197">
        <v>1.3</v>
      </c>
      <c r="G68" s="197">
        <v>1.22</v>
      </c>
      <c r="H68" s="197">
        <f>1.25</f>
        <v>1.25</v>
      </c>
      <c r="I68" s="197">
        <v>1.3</v>
      </c>
      <c r="J68" s="197">
        <v>1.1</v>
      </c>
      <c r="K68" s="162">
        <f t="shared" si="1"/>
        <v>16901.25912</v>
      </c>
      <c r="L68" s="201">
        <v>0.183</v>
      </c>
      <c r="M68" s="118">
        <f>0.508*7</f>
        <v>3.556</v>
      </c>
      <c r="N68" s="118">
        <v>0.333</v>
      </c>
      <c r="O68" s="118">
        <f>SUM(L68:N68)</f>
        <v>4.072</v>
      </c>
      <c r="P68" s="118">
        <f>L68+M68+0.333</f>
        <v>4.072</v>
      </c>
      <c r="Q68" s="199">
        <f t="shared" si="3"/>
        <v>4150.603909</v>
      </c>
      <c r="R68" s="162">
        <f t="shared" si="4"/>
        <v>4150.603909</v>
      </c>
    </row>
    <row r="69" ht="37.5" customHeight="1">
      <c r="A69" s="50" t="s">
        <v>2231</v>
      </c>
      <c r="B69" s="49" t="s">
        <v>2164</v>
      </c>
      <c r="C69" s="49"/>
      <c r="D69" s="194">
        <f>16018.159/3</f>
        <v>5339.386333</v>
      </c>
      <c r="E69" s="195">
        <v>1.0</v>
      </c>
      <c r="F69" s="197"/>
      <c r="G69" s="197"/>
      <c r="H69" s="197">
        <v>1.1</v>
      </c>
      <c r="I69" s="197">
        <v>1.3</v>
      </c>
      <c r="J69" s="197">
        <v>1.45</v>
      </c>
      <c r="K69" s="162">
        <f t="shared" si="1"/>
        <v>11071.21756</v>
      </c>
      <c r="L69" s="198" t="s">
        <v>303</v>
      </c>
      <c r="M69" s="158" t="s">
        <v>303</v>
      </c>
      <c r="N69" s="158" t="s">
        <v>303</v>
      </c>
      <c r="O69" s="118">
        <v>2.683</v>
      </c>
      <c r="P69" s="118">
        <f>O69</f>
        <v>2.683</v>
      </c>
      <c r="Q69" s="199">
        <f t="shared" si="3"/>
        <v>4126.432189</v>
      </c>
      <c r="R69" s="162">
        <f t="shared" si="4"/>
        <v>4126.432189</v>
      </c>
    </row>
    <row r="70" ht="37.5" customHeight="1">
      <c r="A70" s="50" t="s">
        <v>2232</v>
      </c>
      <c r="B70" s="49" t="s">
        <v>2164</v>
      </c>
      <c r="C70" s="49"/>
      <c r="D70" s="194">
        <v>18910.0</v>
      </c>
      <c r="E70" s="128">
        <v>1.0</v>
      </c>
      <c r="F70" s="197"/>
      <c r="G70" s="197"/>
      <c r="H70" s="197"/>
      <c r="I70" s="197">
        <v>1.3</v>
      </c>
      <c r="J70" s="197">
        <v>1.45</v>
      </c>
      <c r="K70" s="162">
        <f t="shared" si="1"/>
        <v>35645.35</v>
      </c>
      <c r="L70" s="198" t="s">
        <v>303</v>
      </c>
      <c r="M70" s="158" t="s">
        <v>303</v>
      </c>
      <c r="N70" s="158" t="s">
        <v>303</v>
      </c>
      <c r="O70" s="158">
        <v>8.67</v>
      </c>
      <c r="P70" s="158">
        <v>8.67</v>
      </c>
      <c r="Q70" s="199">
        <f t="shared" si="3"/>
        <v>4111.343714</v>
      </c>
      <c r="R70" s="162">
        <f t="shared" si="4"/>
        <v>4111.343714</v>
      </c>
    </row>
    <row r="71" ht="37.5" customHeight="1">
      <c r="A71" s="50" t="s">
        <v>2233</v>
      </c>
      <c r="B71" s="49" t="s">
        <v>852</v>
      </c>
      <c r="C71" s="44"/>
      <c r="D71" s="194">
        <v>739.507</v>
      </c>
      <c r="E71" s="128">
        <v>6.0</v>
      </c>
      <c r="F71" s="197"/>
      <c r="G71" s="197">
        <v>1.22</v>
      </c>
      <c r="H71" s="197">
        <f>1.25</f>
        <v>1.25</v>
      </c>
      <c r="I71" s="197">
        <v>1.3</v>
      </c>
      <c r="J71" s="197">
        <v>1.1</v>
      </c>
      <c r="K71" s="162">
        <f t="shared" si="1"/>
        <v>9676.079342</v>
      </c>
      <c r="L71" s="201">
        <v>0.2</v>
      </c>
      <c r="M71" s="118">
        <f>2.567/7*5</f>
        <v>1.833571429</v>
      </c>
      <c r="N71" s="118">
        <v>0.333</v>
      </c>
      <c r="O71" s="118">
        <f>SUM(L71:N71)</f>
        <v>2.366571429</v>
      </c>
      <c r="P71" s="118">
        <f>O71</f>
        <v>2.366571429</v>
      </c>
      <c r="Q71" s="199">
        <f t="shared" si="3"/>
        <v>4088.648762</v>
      </c>
      <c r="R71" s="162">
        <f t="shared" si="4"/>
        <v>4088.648762</v>
      </c>
    </row>
    <row r="72" ht="37.5" customHeight="1">
      <c r="A72" s="50" t="s">
        <v>2234</v>
      </c>
      <c r="B72" s="49" t="s">
        <v>2164</v>
      </c>
      <c r="C72" s="105"/>
      <c r="D72" s="194">
        <v>19258.0</v>
      </c>
      <c r="E72" s="128">
        <v>1.0</v>
      </c>
      <c r="F72" s="197"/>
      <c r="G72" s="197"/>
      <c r="H72" s="197"/>
      <c r="I72" s="197">
        <v>1.3</v>
      </c>
      <c r="J72" s="197">
        <v>1.45</v>
      </c>
      <c r="K72" s="162">
        <f t="shared" si="1"/>
        <v>36301.33</v>
      </c>
      <c r="L72" s="198" t="s">
        <v>303</v>
      </c>
      <c r="M72" s="158" t="s">
        <v>303</v>
      </c>
      <c r="N72" s="158" t="s">
        <v>303</v>
      </c>
      <c r="O72" s="158">
        <v>9.017</v>
      </c>
      <c r="P72" s="158">
        <v>9.017</v>
      </c>
      <c r="Q72" s="199">
        <f t="shared" si="3"/>
        <v>4025.876677</v>
      </c>
      <c r="R72" s="162">
        <f t="shared" si="4"/>
        <v>4025.876677</v>
      </c>
    </row>
    <row r="73" ht="37.5" customHeight="1">
      <c r="A73" s="50" t="s">
        <v>2235</v>
      </c>
      <c r="B73" s="49" t="s">
        <v>2164</v>
      </c>
      <c r="C73" s="49"/>
      <c r="D73" s="194">
        <v>21738.0</v>
      </c>
      <c r="E73" s="128">
        <v>1.0</v>
      </c>
      <c r="F73" s="197"/>
      <c r="G73" s="197"/>
      <c r="H73" s="197"/>
      <c r="I73" s="197">
        <v>1.3</v>
      </c>
      <c r="J73" s="197">
        <v>1.45</v>
      </c>
      <c r="K73" s="162">
        <f t="shared" si="1"/>
        <v>40976.13</v>
      </c>
      <c r="L73" s="198" t="s">
        <v>303</v>
      </c>
      <c r="M73" s="158" t="s">
        <v>303</v>
      </c>
      <c r="N73" s="158" t="s">
        <v>303</v>
      </c>
      <c r="O73" s="158">
        <v>10.42</v>
      </c>
      <c r="P73" s="118">
        <f>O73</f>
        <v>10.42</v>
      </c>
      <c r="Q73" s="199">
        <f t="shared" si="3"/>
        <v>3932.450096</v>
      </c>
      <c r="R73" s="162">
        <f t="shared" si="4"/>
        <v>3932.450096</v>
      </c>
    </row>
    <row r="74" ht="37.5" customHeight="1">
      <c r="A74" s="50" t="s">
        <v>2236</v>
      </c>
      <c r="B74" s="49" t="s">
        <v>2169</v>
      </c>
      <c r="C74" s="44"/>
      <c r="D74" s="194">
        <v>2312.279</v>
      </c>
      <c r="E74" s="128">
        <v>2.0</v>
      </c>
      <c r="F74" s="197">
        <v>1.3</v>
      </c>
      <c r="G74" s="197">
        <v>1.22</v>
      </c>
      <c r="H74" s="197">
        <f t="shared" ref="H74:H76" si="32">1.25</f>
        <v>1.25</v>
      </c>
      <c r="I74" s="197">
        <v>1.3</v>
      </c>
      <c r="J74" s="197">
        <v>1.1</v>
      </c>
      <c r="K74" s="162">
        <f t="shared" si="1"/>
        <v>13110.50632</v>
      </c>
      <c r="L74" s="201">
        <v>0.183</v>
      </c>
      <c r="M74" s="118">
        <v>1.166</v>
      </c>
      <c r="N74" s="118">
        <v>0.333</v>
      </c>
      <c r="O74" s="118">
        <f t="shared" ref="O74:O76" si="33">SUM(L74:N74)</f>
        <v>1.682</v>
      </c>
      <c r="P74" s="118">
        <f>L74+M74+2</f>
        <v>3.349</v>
      </c>
      <c r="Q74" s="199">
        <f t="shared" si="3"/>
        <v>7794.593529</v>
      </c>
      <c r="R74" s="162">
        <f t="shared" si="4"/>
        <v>3914.752558</v>
      </c>
    </row>
    <row r="75" ht="37.5" customHeight="1">
      <c r="A75" s="50" t="s">
        <v>2237</v>
      </c>
      <c r="B75" s="49" t="s">
        <v>2169</v>
      </c>
      <c r="C75" s="44"/>
      <c r="D75" s="194">
        <v>712.149</v>
      </c>
      <c r="E75" s="128">
        <v>1.0</v>
      </c>
      <c r="F75" s="197">
        <v>1.15</v>
      </c>
      <c r="G75" s="197">
        <v>1.22</v>
      </c>
      <c r="H75" s="197">
        <f t="shared" si="32"/>
        <v>1.25</v>
      </c>
      <c r="I75" s="197">
        <v>1.3</v>
      </c>
      <c r="J75" s="197">
        <v>1.15</v>
      </c>
      <c r="K75" s="162">
        <f t="shared" si="1"/>
        <v>1867.152307</v>
      </c>
      <c r="L75" s="201">
        <v>0.183</v>
      </c>
      <c r="M75" s="118">
        <v>0.0</v>
      </c>
      <c r="N75" s="118">
        <v>0.3</v>
      </c>
      <c r="O75" s="118">
        <f t="shared" si="33"/>
        <v>0.483</v>
      </c>
      <c r="P75" s="118">
        <f t="shared" ref="P75:P83" si="34">O75</f>
        <v>0.483</v>
      </c>
      <c r="Q75" s="199">
        <f t="shared" si="3"/>
        <v>3865.739765</v>
      </c>
      <c r="R75" s="162">
        <f t="shared" si="4"/>
        <v>3865.739765</v>
      </c>
    </row>
    <row r="76" ht="37.5" customHeight="1">
      <c r="A76" s="50" t="s">
        <v>2238</v>
      </c>
      <c r="B76" s="49" t="s">
        <v>852</v>
      </c>
      <c r="C76" s="44"/>
      <c r="D76" s="194">
        <v>497.126</v>
      </c>
      <c r="E76" s="128">
        <v>8.0</v>
      </c>
      <c r="F76" s="197"/>
      <c r="G76" s="197">
        <v>1.22</v>
      </c>
      <c r="H76" s="197">
        <f t="shared" si="32"/>
        <v>1.25</v>
      </c>
      <c r="I76" s="197">
        <v>1.3</v>
      </c>
      <c r="J76" s="197">
        <v>1.15</v>
      </c>
      <c r="K76" s="162">
        <f t="shared" si="1"/>
        <v>9067.081114</v>
      </c>
      <c r="L76" s="201">
        <v>0.216</v>
      </c>
      <c r="M76" s="118">
        <f>3.033*0.6</f>
        <v>1.8198</v>
      </c>
      <c r="N76" s="118">
        <v>0.316</v>
      </c>
      <c r="O76" s="118">
        <f t="shared" si="33"/>
        <v>2.3518</v>
      </c>
      <c r="P76" s="118">
        <f t="shared" si="34"/>
        <v>2.3518</v>
      </c>
      <c r="Q76" s="199">
        <f t="shared" si="3"/>
        <v>3855.379332</v>
      </c>
      <c r="R76" s="162">
        <f t="shared" si="4"/>
        <v>3855.379332</v>
      </c>
    </row>
    <row r="77" ht="37.5" customHeight="1">
      <c r="A77" s="117" t="s">
        <v>2239</v>
      </c>
      <c r="B77" s="117" t="s">
        <v>2164</v>
      </c>
      <c r="C77" s="49"/>
      <c r="D77" s="194">
        <v>16653.0</v>
      </c>
      <c r="E77" s="195">
        <v>1.0</v>
      </c>
      <c r="F77" s="197"/>
      <c r="G77" s="197"/>
      <c r="H77" s="197"/>
      <c r="I77" s="196">
        <v>1.3</v>
      </c>
      <c r="J77" s="197">
        <v>1.45</v>
      </c>
      <c r="K77" s="162">
        <f t="shared" si="1"/>
        <v>31390.905</v>
      </c>
      <c r="L77" s="198" t="s">
        <v>303</v>
      </c>
      <c r="M77" s="158" t="s">
        <v>303</v>
      </c>
      <c r="N77" s="158" t="s">
        <v>303</v>
      </c>
      <c r="O77" s="158">
        <v>8.333</v>
      </c>
      <c r="P77" s="158">
        <f t="shared" si="34"/>
        <v>8.333</v>
      </c>
      <c r="Q77" s="199">
        <f t="shared" si="3"/>
        <v>3767.059282</v>
      </c>
      <c r="R77" s="162">
        <f t="shared" si="4"/>
        <v>3767.059282</v>
      </c>
    </row>
    <row r="78" ht="37.5" customHeight="1">
      <c r="A78" s="50" t="s">
        <v>2240</v>
      </c>
      <c r="B78" s="49" t="s">
        <v>2169</v>
      </c>
      <c r="C78" s="44"/>
      <c r="D78" s="194">
        <v>497.126</v>
      </c>
      <c r="E78" s="128">
        <v>8.0</v>
      </c>
      <c r="F78" s="197">
        <v>1.47</v>
      </c>
      <c r="G78" s="197">
        <v>1.22</v>
      </c>
      <c r="H78" s="197">
        <f t="shared" ref="H78:H80" si="35">1.25</f>
        <v>1.25</v>
      </c>
      <c r="I78" s="197">
        <v>1.3</v>
      </c>
      <c r="J78" s="197">
        <v>1.15</v>
      </c>
      <c r="K78" s="162">
        <f t="shared" si="1"/>
        <v>13328.60924</v>
      </c>
      <c r="L78" s="201">
        <v>0.216</v>
      </c>
      <c r="M78" s="118">
        <v>3.033</v>
      </c>
      <c r="N78" s="118">
        <v>0.316</v>
      </c>
      <c r="O78" s="118">
        <f t="shared" ref="O78:O80" si="36">SUM(L78:N78)</f>
        <v>3.565</v>
      </c>
      <c r="P78" s="118">
        <f t="shared" si="34"/>
        <v>3.565</v>
      </c>
      <c r="Q78" s="199">
        <f t="shared" si="3"/>
        <v>3738.740319</v>
      </c>
      <c r="R78" s="162">
        <f t="shared" si="4"/>
        <v>3738.740319</v>
      </c>
    </row>
    <row r="79" ht="37.5" customHeight="1">
      <c r="A79" s="50" t="s">
        <v>2241</v>
      </c>
      <c r="B79" s="49" t="s">
        <v>2180</v>
      </c>
      <c r="C79" s="44"/>
      <c r="D79" s="200">
        <f>9724/1.05</f>
        <v>9260.952381</v>
      </c>
      <c r="E79" s="128">
        <v>1.0</v>
      </c>
      <c r="F79" s="197"/>
      <c r="G79" s="197">
        <v>1.22</v>
      </c>
      <c r="H79" s="197">
        <f t="shared" si="35"/>
        <v>1.25</v>
      </c>
      <c r="I79" s="197">
        <v>1.3</v>
      </c>
      <c r="J79" s="197">
        <v>1.15</v>
      </c>
      <c r="K79" s="162">
        <f t="shared" si="1"/>
        <v>21113.81381</v>
      </c>
      <c r="L79" s="201">
        <v>0.083</v>
      </c>
      <c r="M79" s="118">
        <v>5.333</v>
      </c>
      <c r="N79" s="118">
        <v>0.333</v>
      </c>
      <c r="O79" s="118">
        <f t="shared" si="36"/>
        <v>5.749</v>
      </c>
      <c r="P79" s="118">
        <f t="shared" si="34"/>
        <v>5.749</v>
      </c>
      <c r="Q79" s="199">
        <f t="shared" si="3"/>
        <v>3672.606333</v>
      </c>
      <c r="R79" s="162">
        <f t="shared" si="4"/>
        <v>3672.606333</v>
      </c>
    </row>
    <row r="80" ht="37.5" customHeight="1">
      <c r="A80" s="117" t="s">
        <v>2242</v>
      </c>
      <c r="B80" s="111" t="s">
        <v>2169</v>
      </c>
      <c r="C80" s="44"/>
      <c r="D80" s="194">
        <v>541.777</v>
      </c>
      <c r="E80" s="128">
        <v>5.0</v>
      </c>
      <c r="F80" s="197"/>
      <c r="G80" s="197">
        <v>1.22</v>
      </c>
      <c r="H80" s="197">
        <f t="shared" si="35"/>
        <v>1.25</v>
      </c>
      <c r="I80" s="197">
        <v>1.3</v>
      </c>
      <c r="J80" s="197">
        <v>1.15</v>
      </c>
      <c r="K80" s="162">
        <f t="shared" si="1"/>
        <v>6175.919189</v>
      </c>
      <c r="L80" s="198">
        <v>0.283</v>
      </c>
      <c r="M80" s="158">
        <v>1.067</v>
      </c>
      <c r="N80" s="158">
        <v>0.333</v>
      </c>
      <c r="O80" s="118">
        <f t="shared" si="36"/>
        <v>1.683</v>
      </c>
      <c r="P80" s="118">
        <f t="shared" si="34"/>
        <v>1.683</v>
      </c>
      <c r="Q80" s="199">
        <f t="shared" si="3"/>
        <v>3669.589536</v>
      </c>
      <c r="R80" s="162">
        <f t="shared" si="4"/>
        <v>3669.589536</v>
      </c>
    </row>
    <row r="81" ht="37.5" customHeight="1">
      <c r="A81" s="50" t="s">
        <v>2243</v>
      </c>
      <c r="B81" s="49" t="s">
        <v>2164</v>
      </c>
      <c r="C81" s="49"/>
      <c r="D81" s="194">
        <v>29569.5</v>
      </c>
      <c r="E81" s="195">
        <v>1.0</v>
      </c>
      <c r="F81" s="197"/>
      <c r="G81" s="197"/>
      <c r="H81" s="197"/>
      <c r="I81" s="197">
        <v>1.3</v>
      </c>
      <c r="J81" s="197">
        <f>96150/68229</f>
        <v>1.409224816</v>
      </c>
      <c r="K81" s="162">
        <f t="shared" si="1"/>
        <v>54171.09517</v>
      </c>
      <c r="L81" s="198" t="s">
        <v>303</v>
      </c>
      <c r="M81" s="158" t="s">
        <v>303</v>
      </c>
      <c r="N81" s="158" t="s">
        <v>303</v>
      </c>
      <c r="O81" s="158">
        <v>14.97</v>
      </c>
      <c r="P81" s="118">
        <f t="shared" si="34"/>
        <v>14.97</v>
      </c>
      <c r="Q81" s="199">
        <f t="shared" si="3"/>
        <v>3618.643632</v>
      </c>
      <c r="R81" s="162">
        <f t="shared" si="4"/>
        <v>3618.643632</v>
      </c>
    </row>
    <row r="82" ht="37.5" customHeight="1">
      <c r="A82" s="50" t="s">
        <v>2244</v>
      </c>
      <c r="B82" s="50" t="s">
        <v>1756</v>
      </c>
      <c r="C82" s="49"/>
      <c r="D82" s="194">
        <f>389.038*2</f>
        <v>778.076</v>
      </c>
      <c r="E82" s="128">
        <v>1.0</v>
      </c>
      <c r="F82" s="197"/>
      <c r="G82" s="197"/>
      <c r="H82" s="197">
        <f>1+1.5</f>
        <v>2.5</v>
      </c>
      <c r="I82" s="197">
        <v>1.3</v>
      </c>
      <c r="J82" s="118">
        <f>1.3*1.65</f>
        <v>2.145</v>
      </c>
      <c r="K82" s="162">
        <f t="shared" si="1"/>
        <v>5424.162315</v>
      </c>
      <c r="L82" s="201">
        <v>0.0</v>
      </c>
      <c r="M82" s="118">
        <v>1.5</v>
      </c>
      <c r="N82" s="118">
        <v>0.0</v>
      </c>
      <c r="O82" s="118">
        <f t="shared" ref="O82:O84" si="37">SUM(L82:N82)</f>
        <v>1.5</v>
      </c>
      <c r="P82" s="118">
        <f t="shared" si="34"/>
        <v>1.5</v>
      </c>
      <c r="Q82" s="199">
        <f t="shared" si="3"/>
        <v>3616.10821</v>
      </c>
      <c r="R82" s="162">
        <f t="shared" si="4"/>
        <v>3616.10821</v>
      </c>
    </row>
    <row r="83" ht="37.5" customHeight="1">
      <c r="A83" s="50" t="s">
        <v>2245</v>
      </c>
      <c r="B83" s="49" t="s">
        <v>1779</v>
      </c>
      <c r="C83" s="44"/>
      <c r="D83" s="194">
        <v>1717.717</v>
      </c>
      <c r="E83" s="128">
        <v>1.0</v>
      </c>
      <c r="F83" s="197">
        <v>1.3</v>
      </c>
      <c r="G83" s="197">
        <v>1.22</v>
      </c>
      <c r="H83" s="197">
        <f t="shared" ref="H83:H84" si="38">1.25</f>
        <v>1.25</v>
      </c>
      <c r="I83" s="197">
        <v>1.3</v>
      </c>
      <c r="J83" s="197">
        <v>1.1</v>
      </c>
      <c r="K83" s="162">
        <f t="shared" si="1"/>
        <v>4869.684752</v>
      </c>
      <c r="L83" s="201">
        <v>0.35</v>
      </c>
      <c r="M83" s="118">
        <v>0.233</v>
      </c>
      <c r="N83" s="118">
        <v>0.783</v>
      </c>
      <c r="O83" s="118">
        <f t="shared" si="37"/>
        <v>1.366</v>
      </c>
      <c r="P83" s="118">
        <f t="shared" si="34"/>
        <v>1.366</v>
      </c>
      <c r="Q83" s="199">
        <f t="shared" si="3"/>
        <v>3564.922952</v>
      </c>
      <c r="R83" s="162">
        <f t="shared" si="4"/>
        <v>3564.922952</v>
      </c>
    </row>
    <row r="84" ht="37.5" customHeight="1">
      <c r="A84" s="50" t="s">
        <v>2246</v>
      </c>
      <c r="B84" s="49" t="s">
        <v>2180</v>
      </c>
      <c r="C84" s="44"/>
      <c r="D84" s="200">
        <v>9738.56</v>
      </c>
      <c r="E84" s="128">
        <v>1.0</v>
      </c>
      <c r="F84" s="197"/>
      <c r="G84" s="197">
        <v>1.22</v>
      </c>
      <c r="H84" s="197">
        <f t="shared" si="38"/>
        <v>1.25</v>
      </c>
      <c r="I84" s="197">
        <v>1.3</v>
      </c>
      <c r="J84" s="197">
        <v>1.15</v>
      </c>
      <c r="K84" s="162">
        <f t="shared" si="1"/>
        <v>22202.69948</v>
      </c>
      <c r="L84" s="201">
        <v>0.083</v>
      </c>
      <c r="M84" s="118">
        <f>0.349*16</f>
        <v>5.584</v>
      </c>
      <c r="N84" s="118">
        <v>0.45</v>
      </c>
      <c r="O84" s="118">
        <f t="shared" si="37"/>
        <v>6.117</v>
      </c>
      <c r="P84" s="118">
        <f>L84+M84+0.566</f>
        <v>6.233</v>
      </c>
      <c r="Q84" s="199">
        <f t="shared" si="3"/>
        <v>3629.671323</v>
      </c>
      <c r="R84" s="162">
        <f t="shared" si="4"/>
        <v>3562.120886</v>
      </c>
    </row>
    <row r="85" ht="37.5" customHeight="1">
      <c r="A85" s="50" t="s">
        <v>2247</v>
      </c>
      <c r="B85" s="49" t="s">
        <v>2164</v>
      </c>
      <c r="C85" s="49"/>
      <c r="D85" s="194">
        <v>19856.0</v>
      </c>
      <c r="E85" s="128">
        <v>1.0</v>
      </c>
      <c r="F85" s="197"/>
      <c r="G85" s="197"/>
      <c r="H85" s="197"/>
      <c r="I85" s="197">
        <v>1.3</v>
      </c>
      <c r="J85" s="197">
        <v>1.45</v>
      </c>
      <c r="K85" s="162">
        <f t="shared" si="1"/>
        <v>37428.56</v>
      </c>
      <c r="L85" s="198" t="s">
        <v>303</v>
      </c>
      <c r="M85" s="158" t="s">
        <v>303</v>
      </c>
      <c r="N85" s="158" t="s">
        <v>303</v>
      </c>
      <c r="O85" s="118">
        <v>10.617</v>
      </c>
      <c r="P85" s="118">
        <f t="shared" ref="P85:P87" si="39">O85</f>
        <v>10.617</v>
      </c>
      <c r="Q85" s="199">
        <f t="shared" si="3"/>
        <v>3525.342375</v>
      </c>
      <c r="R85" s="162">
        <f t="shared" si="4"/>
        <v>3525.342375</v>
      </c>
    </row>
    <row r="86" ht="37.5" customHeight="1">
      <c r="A86" s="50" t="s">
        <v>2248</v>
      </c>
      <c r="B86" s="49" t="s">
        <v>2164</v>
      </c>
      <c r="C86" s="49"/>
      <c r="D86" s="200">
        <v>32386.957</v>
      </c>
      <c r="E86" s="128">
        <v>1.0</v>
      </c>
      <c r="F86" s="197"/>
      <c r="G86" s="197"/>
      <c r="H86" s="197"/>
      <c r="I86" s="197">
        <v>1.3</v>
      </c>
      <c r="J86" s="197">
        <f>96150/68229</f>
        <v>1.409224816</v>
      </c>
      <c r="K86" s="162">
        <f t="shared" si="1"/>
        <v>59332.65459</v>
      </c>
      <c r="L86" s="198" t="s">
        <v>303</v>
      </c>
      <c r="M86" s="158" t="s">
        <v>303</v>
      </c>
      <c r="N86" s="158" t="s">
        <v>303</v>
      </c>
      <c r="O86" s="158">
        <v>16.933</v>
      </c>
      <c r="P86" s="118">
        <f t="shared" si="39"/>
        <v>16.933</v>
      </c>
      <c r="Q86" s="199">
        <f t="shared" si="3"/>
        <v>3503.9659</v>
      </c>
      <c r="R86" s="162">
        <f t="shared" si="4"/>
        <v>3503.9659</v>
      </c>
    </row>
    <row r="87" ht="37.5" customHeight="1">
      <c r="A87" s="50" t="s">
        <v>2249</v>
      </c>
      <c r="B87" s="49" t="s">
        <v>2164</v>
      </c>
      <c r="C87" s="49"/>
      <c r="D87" s="194">
        <v>9789.0</v>
      </c>
      <c r="E87" s="195">
        <v>1.0</v>
      </c>
      <c r="F87" s="197"/>
      <c r="G87" s="197"/>
      <c r="H87" s="197"/>
      <c r="I87" s="197"/>
      <c r="J87" s="197">
        <v>1.45</v>
      </c>
      <c r="K87" s="162">
        <f t="shared" si="1"/>
        <v>14194.05</v>
      </c>
      <c r="L87" s="198" t="s">
        <v>303</v>
      </c>
      <c r="M87" s="158" t="s">
        <v>303</v>
      </c>
      <c r="N87" s="158" t="s">
        <v>303</v>
      </c>
      <c r="O87" s="158">
        <v>4.07</v>
      </c>
      <c r="P87" s="158">
        <f t="shared" si="39"/>
        <v>4.07</v>
      </c>
      <c r="Q87" s="199">
        <f t="shared" si="3"/>
        <v>3487.481572</v>
      </c>
      <c r="R87" s="162">
        <f t="shared" si="4"/>
        <v>3487.481572</v>
      </c>
    </row>
    <row r="88" ht="37.5" customHeight="1">
      <c r="A88" s="50" t="s">
        <v>2250</v>
      </c>
      <c r="B88" s="50" t="s">
        <v>1769</v>
      </c>
      <c r="C88" s="49"/>
      <c r="D88" s="200">
        <v>3501.343</v>
      </c>
      <c r="E88" s="128">
        <v>1.0</v>
      </c>
      <c r="F88" s="203"/>
      <c r="G88" s="197"/>
      <c r="H88" s="197"/>
      <c r="I88" s="197">
        <v>1.3</v>
      </c>
      <c r="J88" s="197">
        <v>1.65</v>
      </c>
      <c r="K88" s="162">
        <f t="shared" si="1"/>
        <v>7510.380735</v>
      </c>
      <c r="L88" s="198" t="s">
        <v>303</v>
      </c>
      <c r="M88" s="158" t="s">
        <v>303</v>
      </c>
      <c r="N88" s="158" t="s">
        <v>303</v>
      </c>
      <c r="O88" s="118">
        <v>2.167</v>
      </c>
      <c r="P88" s="118">
        <v>2.167</v>
      </c>
      <c r="Q88" s="199">
        <f t="shared" si="3"/>
        <v>3465.796371</v>
      </c>
      <c r="R88" s="162">
        <f t="shared" si="4"/>
        <v>3465.796371</v>
      </c>
    </row>
    <row r="89" ht="37.5" customHeight="1">
      <c r="A89" s="50" t="s">
        <v>2251</v>
      </c>
      <c r="B89" s="50" t="s">
        <v>1756</v>
      </c>
      <c r="C89" s="49"/>
      <c r="D89" s="194">
        <v>1113.661</v>
      </c>
      <c r="E89" s="128">
        <v>1.0</v>
      </c>
      <c r="F89" s="197"/>
      <c r="G89" s="197"/>
      <c r="H89" s="197">
        <f>1+1.65+0.5</f>
        <v>3.15</v>
      </c>
      <c r="I89" s="197">
        <v>1.3</v>
      </c>
      <c r="J89" s="197">
        <v>1.3</v>
      </c>
      <c r="K89" s="162">
        <f t="shared" si="1"/>
        <v>5928.574334</v>
      </c>
      <c r="L89" s="201">
        <v>0.0</v>
      </c>
      <c r="M89" s="118">
        <v>1.717</v>
      </c>
      <c r="N89" s="118">
        <v>0.0</v>
      </c>
      <c r="O89" s="118">
        <f t="shared" ref="O89:O91" si="40">SUM(L89:N89)</f>
        <v>1.717</v>
      </c>
      <c r="P89" s="118">
        <f t="shared" ref="P89:P92" si="41">O89</f>
        <v>1.717</v>
      </c>
      <c r="Q89" s="199">
        <f t="shared" si="3"/>
        <v>3452.867987</v>
      </c>
      <c r="R89" s="162">
        <f t="shared" si="4"/>
        <v>3452.867987</v>
      </c>
    </row>
    <row r="90" ht="37.5" customHeight="1">
      <c r="A90" s="117" t="s">
        <v>2252</v>
      </c>
      <c r="B90" s="49" t="s">
        <v>2180</v>
      </c>
      <c r="C90" s="44"/>
      <c r="D90" s="200">
        <v>7835.409</v>
      </c>
      <c r="E90" s="128">
        <v>1.0</v>
      </c>
      <c r="F90" s="197"/>
      <c r="G90" s="196">
        <v>1.22</v>
      </c>
      <c r="H90" s="197">
        <f t="shared" ref="H90:H91" si="42">1.25</f>
        <v>1.25</v>
      </c>
      <c r="I90" s="197">
        <v>1.3</v>
      </c>
      <c r="J90" s="197">
        <v>1.15</v>
      </c>
      <c r="K90" s="162">
        <f t="shared" si="1"/>
        <v>17863.75309</v>
      </c>
      <c r="L90" s="198">
        <v>0.1</v>
      </c>
      <c r="M90" s="118">
        <v>4.833</v>
      </c>
      <c r="N90" s="118">
        <v>0.267</v>
      </c>
      <c r="O90" s="118">
        <f t="shared" si="40"/>
        <v>5.2</v>
      </c>
      <c r="P90" s="118">
        <f t="shared" si="41"/>
        <v>5.2</v>
      </c>
      <c r="Q90" s="199">
        <f t="shared" si="3"/>
        <v>3435.337133</v>
      </c>
      <c r="R90" s="162">
        <f t="shared" si="4"/>
        <v>3435.337133</v>
      </c>
    </row>
    <row r="91" ht="37.5" customHeight="1">
      <c r="A91" s="50" t="s">
        <v>2253</v>
      </c>
      <c r="B91" s="49" t="s">
        <v>2180</v>
      </c>
      <c r="C91" s="44"/>
      <c r="D91" s="200">
        <v>8958.206</v>
      </c>
      <c r="E91" s="128">
        <v>1.0</v>
      </c>
      <c r="F91" s="197"/>
      <c r="G91" s="197">
        <v>1.22</v>
      </c>
      <c r="H91" s="197">
        <f t="shared" si="42"/>
        <v>1.25</v>
      </c>
      <c r="I91" s="197">
        <v>1.3</v>
      </c>
      <c r="J91" s="197">
        <v>1.15</v>
      </c>
      <c r="K91" s="162">
        <f t="shared" si="1"/>
        <v>20423.5899</v>
      </c>
      <c r="L91" s="201">
        <v>0.1</v>
      </c>
      <c r="M91" s="118">
        <f>0.464*12</f>
        <v>5.568</v>
      </c>
      <c r="N91" s="118">
        <v>0.283</v>
      </c>
      <c r="O91" s="118">
        <f t="shared" si="40"/>
        <v>5.951</v>
      </c>
      <c r="P91" s="118">
        <f t="shared" si="41"/>
        <v>5.951</v>
      </c>
      <c r="Q91" s="199">
        <f t="shared" si="3"/>
        <v>3431.959318</v>
      </c>
      <c r="R91" s="162">
        <f t="shared" si="4"/>
        <v>3431.959318</v>
      </c>
    </row>
    <row r="92" ht="37.5" customHeight="1">
      <c r="A92" s="50" t="s">
        <v>2254</v>
      </c>
      <c r="B92" s="49" t="s">
        <v>2164</v>
      </c>
      <c r="C92" s="49"/>
      <c r="D92" s="194">
        <v>20890.56</v>
      </c>
      <c r="E92" s="195">
        <v>1.0</v>
      </c>
      <c r="F92" s="197"/>
      <c r="G92" s="197"/>
      <c r="H92" s="197"/>
      <c r="I92" s="197">
        <v>1.3</v>
      </c>
      <c r="J92" s="197">
        <v>1.45</v>
      </c>
      <c r="K92" s="162">
        <f t="shared" si="1"/>
        <v>39378.7056</v>
      </c>
      <c r="L92" s="198" t="s">
        <v>303</v>
      </c>
      <c r="M92" s="158" t="s">
        <v>303</v>
      </c>
      <c r="N92" s="158" t="s">
        <v>303</v>
      </c>
      <c r="O92" s="158">
        <v>11.48</v>
      </c>
      <c r="P92" s="118">
        <f t="shared" si="41"/>
        <v>11.48</v>
      </c>
      <c r="Q92" s="199">
        <f t="shared" si="3"/>
        <v>3430.200836</v>
      </c>
      <c r="R92" s="162">
        <f t="shared" si="4"/>
        <v>3430.200836</v>
      </c>
    </row>
    <row r="93" ht="37.5" customHeight="1">
      <c r="A93" s="50" t="s">
        <v>2255</v>
      </c>
      <c r="B93" s="49" t="s">
        <v>2164</v>
      </c>
      <c r="C93" s="49"/>
      <c r="D93" s="194">
        <v>10315.279</v>
      </c>
      <c r="E93" s="195">
        <v>1.0</v>
      </c>
      <c r="F93" s="197"/>
      <c r="G93" s="197"/>
      <c r="H93" s="197">
        <v>1.1</v>
      </c>
      <c r="I93" s="197">
        <v>1.3</v>
      </c>
      <c r="J93" s="197">
        <v>1.45</v>
      </c>
      <c r="K93" s="162">
        <f t="shared" si="1"/>
        <v>21388.73101</v>
      </c>
      <c r="L93" s="198" t="s">
        <v>303</v>
      </c>
      <c r="M93" s="158" t="s">
        <v>303</v>
      </c>
      <c r="N93" s="158" t="s">
        <v>303</v>
      </c>
      <c r="O93" s="158">
        <v>1.98</v>
      </c>
      <c r="P93" s="158">
        <v>6.25</v>
      </c>
      <c r="Q93" s="199">
        <f t="shared" si="3"/>
        <v>10802.3894</v>
      </c>
      <c r="R93" s="162">
        <f t="shared" si="4"/>
        <v>3422.196961</v>
      </c>
    </row>
    <row r="94" ht="37.5" customHeight="1">
      <c r="A94" s="50" t="s">
        <v>2256</v>
      </c>
      <c r="B94" s="49" t="s">
        <v>2169</v>
      </c>
      <c r="C94" s="49"/>
      <c r="D94" s="194">
        <v>800.505</v>
      </c>
      <c r="E94" s="128">
        <v>1.0</v>
      </c>
      <c r="F94" s="197">
        <v>1.15</v>
      </c>
      <c r="G94" s="197">
        <v>1.22</v>
      </c>
      <c r="H94" s="197">
        <f t="shared" ref="H94:H96" si="43">1.25</f>
        <v>1.25</v>
      </c>
      <c r="I94" s="197">
        <v>1.3</v>
      </c>
      <c r="J94" s="197">
        <v>1.15</v>
      </c>
      <c r="K94" s="162">
        <f t="shared" si="1"/>
        <v>2098.809037</v>
      </c>
      <c r="L94" s="201">
        <v>0.266</v>
      </c>
      <c r="M94" s="118">
        <v>0.0</v>
      </c>
      <c r="N94" s="118">
        <v>0.35</v>
      </c>
      <c r="O94" s="118">
        <f t="shared" ref="O94:O96" si="44">SUM(L94:N94)</f>
        <v>0.616</v>
      </c>
      <c r="P94" s="118">
        <f t="shared" ref="P94:P101" si="45">O94</f>
        <v>0.616</v>
      </c>
      <c r="Q94" s="199">
        <f t="shared" si="3"/>
        <v>3407.157528</v>
      </c>
      <c r="R94" s="162">
        <f t="shared" si="4"/>
        <v>3407.157528</v>
      </c>
    </row>
    <row r="95" ht="37.5" customHeight="1">
      <c r="A95" s="50" t="s">
        <v>2257</v>
      </c>
      <c r="B95" s="49" t="s">
        <v>2169</v>
      </c>
      <c r="C95" s="49"/>
      <c r="D95" s="194">
        <v>692.0</v>
      </c>
      <c r="E95" s="128">
        <v>1.0</v>
      </c>
      <c r="F95" s="197">
        <v>1.2</v>
      </c>
      <c r="G95" s="197">
        <v>1.22</v>
      </c>
      <c r="H95" s="197">
        <f t="shared" si="43"/>
        <v>1.25</v>
      </c>
      <c r="I95" s="197">
        <v>1.3</v>
      </c>
      <c r="J95" s="197">
        <v>1.15</v>
      </c>
      <c r="K95" s="162">
        <f t="shared" si="1"/>
        <v>1893.2082</v>
      </c>
      <c r="L95" s="201">
        <v>0.183</v>
      </c>
      <c r="M95" s="118">
        <v>0.0</v>
      </c>
      <c r="N95" s="118">
        <v>0.383</v>
      </c>
      <c r="O95" s="118">
        <f t="shared" si="44"/>
        <v>0.566</v>
      </c>
      <c r="P95" s="118">
        <f t="shared" si="45"/>
        <v>0.566</v>
      </c>
      <c r="Q95" s="199">
        <f t="shared" si="3"/>
        <v>3344.890813</v>
      </c>
      <c r="R95" s="162">
        <f t="shared" si="4"/>
        <v>3344.890813</v>
      </c>
    </row>
    <row r="96" ht="37.5" customHeight="1">
      <c r="A96" s="117" t="s">
        <v>2258</v>
      </c>
      <c r="B96" s="49" t="s">
        <v>2180</v>
      </c>
      <c r="C96" s="44"/>
      <c r="D96" s="200">
        <v>5489.095</v>
      </c>
      <c r="E96" s="128">
        <v>1.0</v>
      </c>
      <c r="F96" s="197"/>
      <c r="G96" s="196">
        <v>1.22</v>
      </c>
      <c r="H96" s="197">
        <f t="shared" si="43"/>
        <v>1.25</v>
      </c>
      <c r="I96" s="197">
        <v>1.3</v>
      </c>
      <c r="J96" s="197">
        <v>1.15</v>
      </c>
      <c r="K96" s="162">
        <f t="shared" si="1"/>
        <v>12514.45046</v>
      </c>
      <c r="L96" s="198">
        <v>0.083</v>
      </c>
      <c r="M96" s="118">
        <v>3.467</v>
      </c>
      <c r="N96" s="118">
        <v>0.267</v>
      </c>
      <c r="O96" s="118">
        <f t="shared" si="44"/>
        <v>3.817</v>
      </c>
      <c r="P96" s="118">
        <f t="shared" si="45"/>
        <v>3.817</v>
      </c>
      <c r="Q96" s="199">
        <f t="shared" si="3"/>
        <v>3278.608976</v>
      </c>
      <c r="R96" s="162">
        <f t="shared" si="4"/>
        <v>3278.608976</v>
      </c>
    </row>
    <row r="97" ht="37.5" customHeight="1">
      <c r="A97" s="50" t="s">
        <v>2259</v>
      </c>
      <c r="B97" s="49" t="s">
        <v>2164</v>
      </c>
      <c r="C97" s="49"/>
      <c r="D97" s="194">
        <v>27534.0</v>
      </c>
      <c r="E97" s="195">
        <v>1.0</v>
      </c>
      <c r="F97" s="197"/>
      <c r="G97" s="197"/>
      <c r="H97" s="197"/>
      <c r="I97" s="197">
        <v>1.3</v>
      </c>
      <c r="J97" s="197">
        <v>1.45</v>
      </c>
      <c r="K97" s="162">
        <f t="shared" si="1"/>
        <v>51901.59</v>
      </c>
      <c r="L97" s="198" t="s">
        <v>303</v>
      </c>
      <c r="M97" s="158" t="s">
        <v>303</v>
      </c>
      <c r="N97" s="158" t="s">
        <v>303</v>
      </c>
      <c r="O97" s="158">
        <v>15.92</v>
      </c>
      <c r="P97" s="118">
        <f t="shared" si="45"/>
        <v>15.92</v>
      </c>
      <c r="Q97" s="199">
        <f t="shared" si="3"/>
        <v>3260.150126</v>
      </c>
      <c r="R97" s="162">
        <f t="shared" si="4"/>
        <v>3260.150126</v>
      </c>
    </row>
    <row r="98" ht="37.5" customHeight="1">
      <c r="A98" s="50" t="s">
        <v>2260</v>
      </c>
      <c r="B98" s="49" t="s">
        <v>2169</v>
      </c>
      <c r="C98" s="44"/>
      <c r="D98" s="194">
        <v>616.502</v>
      </c>
      <c r="E98" s="128">
        <v>1.0</v>
      </c>
      <c r="F98" s="197">
        <v>1.15</v>
      </c>
      <c r="G98" s="197">
        <v>1.22</v>
      </c>
      <c r="H98" s="197">
        <f>1.25</f>
        <v>1.25</v>
      </c>
      <c r="I98" s="197">
        <v>1.3</v>
      </c>
      <c r="J98" s="197">
        <v>1.15</v>
      </c>
      <c r="K98" s="162">
        <f t="shared" si="1"/>
        <v>1616.379622</v>
      </c>
      <c r="L98" s="201">
        <v>0.166</v>
      </c>
      <c r="M98" s="118">
        <v>0.0</v>
      </c>
      <c r="N98" s="118">
        <v>0.333</v>
      </c>
      <c r="O98" s="118">
        <f>SUM(L98:N98)</f>
        <v>0.499</v>
      </c>
      <c r="P98" s="118">
        <f t="shared" si="45"/>
        <v>0.499</v>
      </c>
      <c r="Q98" s="199">
        <f t="shared" si="3"/>
        <v>3239.237719</v>
      </c>
      <c r="R98" s="162">
        <f t="shared" si="4"/>
        <v>3239.237719</v>
      </c>
    </row>
    <row r="99" ht="37.5" customHeight="1">
      <c r="A99" s="50" t="s">
        <v>2261</v>
      </c>
      <c r="B99" s="49" t="s">
        <v>2164</v>
      </c>
      <c r="C99" s="49"/>
      <c r="D99" s="194">
        <v>20722.5</v>
      </c>
      <c r="E99" s="195">
        <v>1.0</v>
      </c>
      <c r="F99" s="197"/>
      <c r="G99" s="197"/>
      <c r="H99" s="197">
        <v>1.1</v>
      </c>
      <c r="I99" s="197">
        <v>1.3</v>
      </c>
      <c r="J99" s="197">
        <v>1.45</v>
      </c>
      <c r="K99" s="162">
        <f t="shared" si="1"/>
        <v>42968.10375</v>
      </c>
      <c r="L99" s="198" t="s">
        <v>303</v>
      </c>
      <c r="M99" s="158" t="s">
        <v>303</v>
      </c>
      <c r="N99" s="158" t="s">
        <v>303</v>
      </c>
      <c r="O99" s="158">
        <v>13.55</v>
      </c>
      <c r="P99" s="118">
        <f t="shared" si="45"/>
        <v>13.55</v>
      </c>
      <c r="Q99" s="199">
        <f t="shared" si="3"/>
        <v>3171.077768</v>
      </c>
      <c r="R99" s="162">
        <f t="shared" si="4"/>
        <v>3171.077768</v>
      </c>
    </row>
    <row r="100" ht="37.5" customHeight="1">
      <c r="A100" s="50" t="s">
        <v>2262</v>
      </c>
      <c r="B100" s="49" t="s">
        <v>2169</v>
      </c>
      <c r="C100" s="44"/>
      <c r="D100" s="194">
        <v>4992.135</v>
      </c>
      <c r="E100" s="128">
        <v>1.0</v>
      </c>
      <c r="F100" s="197"/>
      <c r="G100" s="197">
        <v>1.22</v>
      </c>
      <c r="H100" s="197">
        <f>1.25</f>
        <v>1.25</v>
      </c>
      <c r="I100" s="197">
        <v>1.3</v>
      </c>
      <c r="J100" s="197">
        <v>1.15</v>
      </c>
      <c r="K100" s="162">
        <f t="shared" si="1"/>
        <v>11381.44378</v>
      </c>
      <c r="L100" s="201">
        <v>1.9</v>
      </c>
      <c r="M100" s="118">
        <v>1.317</v>
      </c>
      <c r="N100" s="118">
        <v>0.4</v>
      </c>
      <c r="O100" s="118">
        <f>SUM(L100:N100)</f>
        <v>3.617</v>
      </c>
      <c r="P100" s="118">
        <f t="shared" si="45"/>
        <v>3.617</v>
      </c>
      <c r="Q100" s="199">
        <f t="shared" si="3"/>
        <v>3146.652967</v>
      </c>
      <c r="R100" s="162">
        <f t="shared" si="4"/>
        <v>3146.652967</v>
      </c>
    </row>
    <row r="101" ht="37.5" customHeight="1">
      <c r="A101" s="50" t="s">
        <v>2263</v>
      </c>
      <c r="B101" s="49" t="s">
        <v>2164</v>
      </c>
      <c r="C101" s="49"/>
      <c r="D101" s="194">
        <v>21431.0</v>
      </c>
      <c r="E101" s="195">
        <v>1.0</v>
      </c>
      <c r="F101" s="197"/>
      <c r="G101" s="197"/>
      <c r="H101" s="197"/>
      <c r="I101" s="197">
        <v>1.3</v>
      </c>
      <c r="J101" s="197">
        <v>1.45</v>
      </c>
      <c r="K101" s="162">
        <f t="shared" si="1"/>
        <v>40397.435</v>
      </c>
      <c r="L101" s="198" t="s">
        <v>303</v>
      </c>
      <c r="M101" s="158" t="s">
        <v>303</v>
      </c>
      <c r="N101" s="158" t="s">
        <v>303</v>
      </c>
      <c r="O101" s="158">
        <v>12.92</v>
      </c>
      <c r="P101" s="118">
        <f t="shared" si="45"/>
        <v>12.92</v>
      </c>
      <c r="Q101" s="199">
        <f t="shared" si="3"/>
        <v>3126.736455</v>
      </c>
      <c r="R101" s="162">
        <f t="shared" si="4"/>
        <v>3126.736455</v>
      </c>
    </row>
    <row r="102" ht="37.5" customHeight="1">
      <c r="A102" s="50" t="s">
        <v>2264</v>
      </c>
      <c r="B102" s="49" t="s">
        <v>2164</v>
      </c>
      <c r="C102" s="49"/>
      <c r="D102" s="194">
        <v>29804.0</v>
      </c>
      <c r="E102" s="128">
        <v>1.0</v>
      </c>
      <c r="F102" s="197"/>
      <c r="G102" s="197"/>
      <c r="H102" s="197"/>
      <c r="I102" s="197">
        <v>1.3</v>
      </c>
      <c r="J102" s="197">
        <v>1.45</v>
      </c>
      <c r="K102" s="162">
        <f t="shared" si="1"/>
        <v>56180.54</v>
      </c>
      <c r="L102" s="198" t="s">
        <v>303</v>
      </c>
      <c r="M102" s="158" t="s">
        <v>303</v>
      </c>
      <c r="N102" s="158" t="s">
        <v>303</v>
      </c>
      <c r="O102" s="158">
        <v>13.57</v>
      </c>
      <c r="P102" s="158">
        <v>18.35</v>
      </c>
      <c r="Q102" s="199">
        <f t="shared" si="3"/>
        <v>4140.054532</v>
      </c>
      <c r="R102" s="162">
        <f t="shared" si="4"/>
        <v>3061.609809</v>
      </c>
    </row>
    <row r="103" ht="37.5" customHeight="1">
      <c r="A103" s="50" t="s">
        <v>2265</v>
      </c>
      <c r="B103" s="49" t="s">
        <v>2169</v>
      </c>
      <c r="C103" s="44"/>
      <c r="D103" s="194">
        <v>2312.279</v>
      </c>
      <c r="E103" s="128">
        <v>1.0</v>
      </c>
      <c r="F103" s="197">
        <v>1.3</v>
      </c>
      <c r="G103" s="197">
        <v>1.22</v>
      </c>
      <c r="H103" s="197">
        <f t="shared" ref="H103:H104" si="46">1.25</f>
        <v>1.25</v>
      </c>
      <c r="I103" s="197">
        <v>1.3</v>
      </c>
      <c r="J103" s="197">
        <v>1.1</v>
      </c>
      <c r="K103" s="162">
        <f t="shared" si="1"/>
        <v>6555.253158</v>
      </c>
      <c r="L103" s="201">
        <v>0.183</v>
      </c>
      <c r="M103" s="118">
        <v>0.0</v>
      </c>
      <c r="N103" s="118">
        <v>0.416</v>
      </c>
      <c r="O103" s="118">
        <f t="shared" ref="O103:O104" si="47">SUM(L103:N103)</f>
        <v>0.599</v>
      </c>
      <c r="P103" s="118">
        <f>L103+2</f>
        <v>2.183</v>
      </c>
      <c r="Q103" s="199">
        <f t="shared" si="3"/>
        <v>10943.66137</v>
      </c>
      <c r="R103" s="162">
        <f t="shared" si="4"/>
        <v>3002.864479</v>
      </c>
    </row>
    <row r="104" ht="37.5" customHeight="1">
      <c r="A104" s="50" t="s">
        <v>814</v>
      </c>
      <c r="B104" s="49" t="s">
        <v>2169</v>
      </c>
      <c r="C104" s="44"/>
      <c r="D104" s="194">
        <v>676.674</v>
      </c>
      <c r="E104" s="128">
        <v>1.0</v>
      </c>
      <c r="F104" s="197"/>
      <c r="G104" s="197">
        <v>1.22</v>
      </c>
      <c r="H104" s="197">
        <f t="shared" si="46"/>
        <v>1.25</v>
      </c>
      <c r="I104" s="197">
        <v>1.3</v>
      </c>
      <c r="J104" s="197">
        <v>1.15</v>
      </c>
      <c r="K104" s="162">
        <f t="shared" si="1"/>
        <v>1542.732136</v>
      </c>
      <c r="L104" s="201">
        <v>0.216</v>
      </c>
      <c r="M104" s="118">
        <v>0.0</v>
      </c>
      <c r="N104" s="118">
        <v>0.25</v>
      </c>
      <c r="O104" s="118">
        <f t="shared" si="47"/>
        <v>0.466</v>
      </c>
      <c r="P104" s="118">
        <v>0.516</v>
      </c>
      <c r="Q104" s="199">
        <f t="shared" si="3"/>
        <v>3310.583982</v>
      </c>
      <c r="R104" s="162">
        <f t="shared" si="4"/>
        <v>2989.790961</v>
      </c>
    </row>
    <row r="105" ht="37.5" customHeight="1">
      <c r="A105" s="50" t="s">
        <v>2266</v>
      </c>
      <c r="B105" s="50" t="s">
        <v>1769</v>
      </c>
      <c r="C105" s="49"/>
      <c r="D105" s="200">
        <v>6882.75</v>
      </c>
      <c r="E105" s="128">
        <v>1.0</v>
      </c>
      <c r="F105" s="203"/>
      <c r="G105" s="197"/>
      <c r="H105" s="197"/>
      <c r="I105" s="197">
        <v>1.3</v>
      </c>
      <c r="J105" s="197">
        <v>1.65</v>
      </c>
      <c r="K105" s="162">
        <f t="shared" si="1"/>
        <v>14763.49875</v>
      </c>
      <c r="L105" s="198" t="s">
        <v>303</v>
      </c>
      <c r="M105" s="158" t="s">
        <v>303</v>
      </c>
      <c r="N105" s="158" t="s">
        <v>303</v>
      </c>
      <c r="O105" s="118">
        <v>1.283</v>
      </c>
      <c r="P105" s="118">
        <v>5.1</v>
      </c>
      <c r="Q105" s="199">
        <f t="shared" si="3"/>
        <v>11507.01383</v>
      </c>
      <c r="R105" s="162">
        <f t="shared" si="4"/>
        <v>2894.803676</v>
      </c>
    </row>
    <row r="106" ht="37.5" customHeight="1">
      <c r="A106" s="50" t="s">
        <v>2267</v>
      </c>
      <c r="B106" s="49" t="s">
        <v>2164</v>
      </c>
      <c r="C106" s="49"/>
      <c r="D106" s="194">
        <v>25496.0</v>
      </c>
      <c r="E106" s="128">
        <v>1.0</v>
      </c>
      <c r="F106" s="197"/>
      <c r="G106" s="197"/>
      <c r="H106" s="197"/>
      <c r="I106" s="197">
        <v>1.3</v>
      </c>
      <c r="J106" s="197">
        <v>1.45</v>
      </c>
      <c r="K106" s="162">
        <f t="shared" si="1"/>
        <v>48059.96</v>
      </c>
      <c r="L106" s="198" t="s">
        <v>303</v>
      </c>
      <c r="M106" s="158" t="s">
        <v>303</v>
      </c>
      <c r="N106" s="158" t="s">
        <v>303</v>
      </c>
      <c r="O106" s="158">
        <v>16.8</v>
      </c>
      <c r="P106" s="118">
        <f>O106</f>
        <v>16.8</v>
      </c>
      <c r="Q106" s="199">
        <f t="shared" si="3"/>
        <v>2860.711905</v>
      </c>
      <c r="R106" s="162">
        <f t="shared" si="4"/>
        <v>2860.711905</v>
      </c>
    </row>
    <row r="107" ht="37.5" customHeight="1">
      <c r="A107" s="50" t="s">
        <v>2268</v>
      </c>
      <c r="B107" s="49" t="s">
        <v>2180</v>
      </c>
      <c r="C107" s="44"/>
      <c r="D107" s="200">
        <v>7755.952</v>
      </c>
      <c r="E107" s="128">
        <v>1.0</v>
      </c>
      <c r="F107" s="197"/>
      <c r="G107" s="197">
        <v>1.22</v>
      </c>
      <c r="H107" s="197">
        <f>1.25</f>
        <v>1.25</v>
      </c>
      <c r="I107" s="197">
        <v>1.3</v>
      </c>
      <c r="J107" s="197">
        <v>1.15</v>
      </c>
      <c r="K107" s="162">
        <f t="shared" si="1"/>
        <v>17682.60107</v>
      </c>
      <c r="L107" s="201">
        <v>0.083</v>
      </c>
      <c r="M107" s="118">
        <f>0.349*16</f>
        <v>5.584</v>
      </c>
      <c r="N107" s="118">
        <v>0.45</v>
      </c>
      <c r="O107" s="118">
        <f t="shared" ref="O107:O108" si="48">SUM(L107:N107)</f>
        <v>6.117</v>
      </c>
      <c r="P107" s="118">
        <f>L107+M107+0.566</f>
        <v>6.233</v>
      </c>
      <c r="Q107" s="199">
        <f t="shared" si="3"/>
        <v>2890.730925</v>
      </c>
      <c r="R107" s="162">
        <f t="shared" si="4"/>
        <v>2836.932627</v>
      </c>
    </row>
    <row r="108" ht="37.5" customHeight="1">
      <c r="A108" s="50" t="s">
        <v>2269</v>
      </c>
      <c r="B108" s="49" t="s">
        <v>2169</v>
      </c>
      <c r="C108" s="167"/>
      <c r="D108" s="209">
        <v>644.59</v>
      </c>
      <c r="E108" s="128">
        <v>8.0</v>
      </c>
      <c r="F108" s="197">
        <f>(1+1.05+1.1+1.15+1.2+1.25+1.3+1.3)/8</f>
        <v>1.16875</v>
      </c>
      <c r="G108" s="197">
        <v>1.22</v>
      </c>
      <c r="H108" s="197">
        <v>1.25</v>
      </c>
      <c r="I108" s="197">
        <v>1.3</v>
      </c>
      <c r="J108" s="197">
        <v>1.15</v>
      </c>
      <c r="K108" s="162">
        <f t="shared" si="1"/>
        <v>13740.61626</v>
      </c>
      <c r="L108" s="201">
        <v>0.233</v>
      </c>
      <c r="M108" s="118">
        <f>0.633*7</f>
        <v>4.431</v>
      </c>
      <c r="N108" s="118">
        <v>0.25</v>
      </c>
      <c r="O108" s="118">
        <f t="shared" si="48"/>
        <v>4.914</v>
      </c>
      <c r="P108" s="118">
        <f t="shared" ref="P108:P112" si="49">O108</f>
        <v>4.914</v>
      </c>
      <c r="Q108" s="199">
        <f t="shared" si="3"/>
        <v>2796.218204</v>
      </c>
      <c r="R108" s="162">
        <f t="shared" si="4"/>
        <v>2796.218204</v>
      </c>
    </row>
    <row r="109" ht="37.5" customHeight="1">
      <c r="A109" s="50" t="s">
        <v>2270</v>
      </c>
      <c r="B109" s="49" t="s">
        <v>2164</v>
      </c>
      <c r="C109" s="156"/>
      <c r="D109" s="194">
        <v>27228.0</v>
      </c>
      <c r="E109" s="195">
        <v>1.0</v>
      </c>
      <c r="F109" s="197"/>
      <c r="G109" s="197"/>
      <c r="H109" s="197"/>
      <c r="I109" s="197">
        <v>1.3</v>
      </c>
      <c r="J109" s="197">
        <v>1.45</v>
      </c>
      <c r="K109" s="162">
        <f t="shared" si="1"/>
        <v>51324.78</v>
      </c>
      <c r="L109" s="198" t="s">
        <v>303</v>
      </c>
      <c r="M109" s="158" t="s">
        <v>303</v>
      </c>
      <c r="N109" s="158" t="s">
        <v>303</v>
      </c>
      <c r="O109" s="118">
        <v>18.917</v>
      </c>
      <c r="P109" s="118">
        <f t="shared" si="49"/>
        <v>18.917</v>
      </c>
      <c r="Q109" s="199">
        <f t="shared" si="3"/>
        <v>2713.15642</v>
      </c>
      <c r="R109" s="162">
        <f t="shared" si="4"/>
        <v>2713.15642</v>
      </c>
    </row>
    <row r="110" ht="37.5" customHeight="1">
      <c r="A110" s="50" t="s">
        <v>2271</v>
      </c>
      <c r="B110" s="49" t="s">
        <v>2164</v>
      </c>
      <c r="C110" s="156"/>
      <c r="D110" s="200">
        <v>26546.087</v>
      </c>
      <c r="E110" s="128">
        <v>1.0</v>
      </c>
      <c r="F110" s="197"/>
      <c r="G110" s="197"/>
      <c r="H110" s="197"/>
      <c r="I110" s="197">
        <v>1.3</v>
      </c>
      <c r="J110" s="197">
        <f>71132/53549</f>
        <v>1.328353471</v>
      </c>
      <c r="K110" s="162">
        <f t="shared" si="1"/>
        <v>45841.36284</v>
      </c>
      <c r="L110" s="198" t="s">
        <v>303</v>
      </c>
      <c r="M110" s="158" t="s">
        <v>303</v>
      </c>
      <c r="N110" s="158" t="s">
        <v>303</v>
      </c>
      <c r="O110" s="158">
        <v>16.933</v>
      </c>
      <c r="P110" s="118">
        <f t="shared" si="49"/>
        <v>16.933</v>
      </c>
      <c r="Q110" s="199">
        <f t="shared" si="3"/>
        <v>2707.220388</v>
      </c>
      <c r="R110" s="162">
        <f t="shared" si="4"/>
        <v>2707.220388</v>
      </c>
    </row>
    <row r="111" ht="37.5" customHeight="1">
      <c r="A111" s="50" t="s">
        <v>2272</v>
      </c>
      <c r="B111" s="49" t="s">
        <v>1779</v>
      </c>
      <c r="C111" s="167"/>
      <c r="D111" s="194">
        <v>1626.523</v>
      </c>
      <c r="E111" s="128">
        <v>1.0</v>
      </c>
      <c r="F111" s="197">
        <v>1.3</v>
      </c>
      <c r="G111" s="197">
        <v>1.22</v>
      </c>
      <c r="H111" s="197">
        <f>1.25</f>
        <v>1.25</v>
      </c>
      <c r="I111" s="197">
        <v>1.3</v>
      </c>
      <c r="J111" s="197">
        <v>1.1</v>
      </c>
      <c r="K111" s="162">
        <f t="shared" si="1"/>
        <v>4611.152042</v>
      </c>
      <c r="L111" s="201">
        <v>0.55</v>
      </c>
      <c r="M111" s="118">
        <v>0.0</v>
      </c>
      <c r="N111" s="118">
        <v>1.167</v>
      </c>
      <c r="O111" s="118">
        <f>SUM(L111:N111)</f>
        <v>1.717</v>
      </c>
      <c r="P111" s="118">
        <f t="shared" si="49"/>
        <v>1.717</v>
      </c>
      <c r="Q111" s="199">
        <f t="shared" si="3"/>
        <v>2685.586512</v>
      </c>
      <c r="R111" s="162">
        <f t="shared" si="4"/>
        <v>2685.586512</v>
      </c>
    </row>
    <row r="112" ht="37.5" customHeight="1">
      <c r="A112" s="50" t="s">
        <v>2273</v>
      </c>
      <c r="B112" s="49" t="s">
        <v>2164</v>
      </c>
      <c r="C112" s="49"/>
      <c r="D112" s="194">
        <v>23244.0</v>
      </c>
      <c r="E112" s="195">
        <v>1.0</v>
      </c>
      <c r="F112" s="197"/>
      <c r="G112" s="197"/>
      <c r="H112" s="197"/>
      <c r="I112" s="197">
        <v>1.3</v>
      </c>
      <c r="J112" s="197">
        <f>71132/53549</f>
        <v>1.328353471</v>
      </c>
      <c r="K112" s="162">
        <f t="shared" si="1"/>
        <v>40139.12249</v>
      </c>
      <c r="L112" s="198" t="s">
        <v>303</v>
      </c>
      <c r="M112" s="158" t="s">
        <v>303</v>
      </c>
      <c r="N112" s="158" t="s">
        <v>303</v>
      </c>
      <c r="O112" s="158">
        <v>14.97</v>
      </c>
      <c r="P112" s="118">
        <f t="shared" si="49"/>
        <v>14.97</v>
      </c>
      <c r="Q112" s="199">
        <f t="shared" si="3"/>
        <v>2681.304108</v>
      </c>
      <c r="R112" s="162">
        <f t="shared" si="4"/>
        <v>2681.304108</v>
      </c>
    </row>
    <row r="113" ht="37.5" customHeight="1">
      <c r="A113" s="50" t="s">
        <v>2274</v>
      </c>
      <c r="B113" s="49" t="s">
        <v>2164</v>
      </c>
      <c r="C113" s="105"/>
      <c r="D113" s="194">
        <v>14974.0</v>
      </c>
      <c r="E113" s="128">
        <v>1.0</v>
      </c>
      <c r="F113" s="197"/>
      <c r="G113" s="197"/>
      <c r="H113" s="197"/>
      <c r="I113" s="197">
        <v>1.3</v>
      </c>
      <c r="J113" s="197">
        <v>1.45</v>
      </c>
      <c r="K113" s="162">
        <f t="shared" si="1"/>
        <v>28225.99</v>
      </c>
      <c r="L113" s="198" t="s">
        <v>303</v>
      </c>
      <c r="M113" s="158" t="s">
        <v>303</v>
      </c>
      <c r="N113" s="158" t="s">
        <v>303</v>
      </c>
      <c r="O113" s="158">
        <v>10.6</v>
      </c>
      <c r="P113" s="158">
        <v>10.6</v>
      </c>
      <c r="Q113" s="199">
        <f t="shared" si="3"/>
        <v>2662.829245</v>
      </c>
      <c r="R113" s="162">
        <f t="shared" si="4"/>
        <v>2662.829245</v>
      </c>
    </row>
    <row r="114" ht="37.5" customHeight="1">
      <c r="A114" s="50" t="s">
        <v>2275</v>
      </c>
      <c r="B114" s="49" t="s">
        <v>2180</v>
      </c>
      <c r="C114" s="44"/>
      <c r="D114" s="200">
        <v>7078.546</v>
      </c>
      <c r="E114" s="128">
        <v>1.0</v>
      </c>
      <c r="F114" s="197"/>
      <c r="G114" s="197">
        <v>1.22</v>
      </c>
      <c r="H114" s="197">
        <f>1.25</f>
        <v>1.25</v>
      </c>
      <c r="I114" s="197">
        <v>1.3</v>
      </c>
      <c r="J114" s="197">
        <v>1.15</v>
      </c>
      <c r="K114" s="162">
        <f t="shared" si="1"/>
        <v>16138.20006</v>
      </c>
      <c r="L114" s="201">
        <v>0.083</v>
      </c>
      <c r="M114" s="118">
        <f>0.349*16</f>
        <v>5.584</v>
      </c>
      <c r="N114" s="118">
        <v>0.45</v>
      </c>
      <c r="O114" s="118">
        <f t="shared" ref="O114:O116" si="50">SUM(L114:N114)</f>
        <v>6.117</v>
      </c>
      <c r="P114" s="118">
        <f>L114+M114+0.566</f>
        <v>6.233</v>
      </c>
      <c r="Q114" s="199">
        <f t="shared" si="3"/>
        <v>2638.254056</v>
      </c>
      <c r="R114" s="162">
        <f t="shared" si="4"/>
        <v>2589.15451</v>
      </c>
    </row>
    <row r="115" ht="37.5" customHeight="1">
      <c r="A115" s="50" t="s">
        <v>2276</v>
      </c>
      <c r="B115" s="49" t="s">
        <v>2169</v>
      </c>
      <c r="C115" s="49"/>
      <c r="D115" s="194">
        <v>3242.079</v>
      </c>
      <c r="E115" s="128">
        <v>1.0</v>
      </c>
      <c r="F115" s="197"/>
      <c r="G115" s="197"/>
      <c r="H115" s="197"/>
      <c r="I115" s="197">
        <v>1.3</v>
      </c>
      <c r="J115" s="197"/>
      <c r="K115" s="162">
        <f t="shared" si="1"/>
        <v>4214.7027</v>
      </c>
      <c r="L115" s="201">
        <v>0.0</v>
      </c>
      <c r="M115" s="118">
        <v>0.717</v>
      </c>
      <c r="N115" s="118">
        <v>0.0</v>
      </c>
      <c r="O115" s="118">
        <f t="shared" si="50"/>
        <v>0.717</v>
      </c>
      <c r="P115" s="118">
        <v>1.633</v>
      </c>
      <c r="Q115" s="199">
        <f t="shared" si="3"/>
        <v>5878.246444</v>
      </c>
      <c r="R115" s="162">
        <f t="shared" si="4"/>
        <v>2580.95695</v>
      </c>
    </row>
    <row r="116" ht="37.5" customHeight="1">
      <c r="A116" s="50" t="s">
        <v>2277</v>
      </c>
      <c r="B116" s="49" t="s">
        <v>2180</v>
      </c>
      <c r="C116" s="44"/>
      <c r="D116" s="200">
        <v>4106.344</v>
      </c>
      <c r="E116" s="128">
        <v>1.0</v>
      </c>
      <c r="F116" s="197"/>
      <c r="G116" s="196">
        <v>1.22</v>
      </c>
      <c r="H116" s="197">
        <f>1.25</f>
        <v>1.25</v>
      </c>
      <c r="I116" s="197">
        <v>1.3</v>
      </c>
      <c r="J116" s="197">
        <v>1.15</v>
      </c>
      <c r="K116" s="162">
        <f t="shared" si="1"/>
        <v>9361.951027</v>
      </c>
      <c r="L116" s="198">
        <v>0.1</v>
      </c>
      <c r="M116" s="158">
        <v>3.2</v>
      </c>
      <c r="N116" s="118">
        <v>0.25</v>
      </c>
      <c r="O116" s="118">
        <f t="shared" si="50"/>
        <v>3.55</v>
      </c>
      <c r="P116" s="118">
        <f>L116+M116+0.333</f>
        <v>3.633</v>
      </c>
      <c r="Q116" s="199">
        <f t="shared" si="3"/>
        <v>2637.169303</v>
      </c>
      <c r="R116" s="162">
        <f t="shared" si="4"/>
        <v>2576.920184</v>
      </c>
    </row>
    <row r="117" ht="37.5" customHeight="1">
      <c r="A117" s="117" t="s">
        <v>2278</v>
      </c>
      <c r="B117" s="117" t="s">
        <v>2164</v>
      </c>
      <c r="C117" s="49"/>
      <c r="D117" s="194">
        <v>15596.0</v>
      </c>
      <c r="E117" s="195">
        <v>1.0</v>
      </c>
      <c r="F117" s="197"/>
      <c r="G117" s="197"/>
      <c r="H117" s="197"/>
      <c r="I117" s="196">
        <v>1.3</v>
      </c>
      <c r="J117" s="197">
        <v>1.45</v>
      </c>
      <c r="K117" s="162">
        <f t="shared" si="1"/>
        <v>29398.46</v>
      </c>
      <c r="L117" s="198" t="s">
        <v>303</v>
      </c>
      <c r="M117" s="158" t="s">
        <v>303</v>
      </c>
      <c r="N117" s="158" t="s">
        <v>303</v>
      </c>
      <c r="O117" s="158">
        <v>11.67</v>
      </c>
      <c r="P117" s="158">
        <v>11.67</v>
      </c>
      <c r="Q117" s="199">
        <f t="shared" si="3"/>
        <v>2519.148243</v>
      </c>
      <c r="R117" s="162">
        <f t="shared" si="4"/>
        <v>2519.148243</v>
      </c>
    </row>
    <row r="118" ht="37.5" customHeight="1">
      <c r="A118" s="50" t="s">
        <v>2279</v>
      </c>
      <c r="B118" s="49" t="s">
        <v>852</v>
      </c>
      <c r="C118" s="44"/>
      <c r="D118" s="194">
        <f>3127.583/1.05</f>
        <v>2978.650476</v>
      </c>
      <c r="E118" s="128">
        <v>1.0</v>
      </c>
      <c r="F118" s="197"/>
      <c r="G118" s="197">
        <v>1.22</v>
      </c>
      <c r="H118" s="197">
        <f t="shared" ref="H118:H119" si="51">1.25</f>
        <v>1.25</v>
      </c>
      <c r="I118" s="197">
        <v>1.3</v>
      </c>
      <c r="J118" s="197">
        <v>1.15</v>
      </c>
      <c r="K118" s="162">
        <f t="shared" si="1"/>
        <v>6790.950754</v>
      </c>
      <c r="L118" s="201">
        <v>0.833</v>
      </c>
      <c r="M118" s="118">
        <v>0.0</v>
      </c>
      <c r="N118" s="118">
        <v>1.917</v>
      </c>
      <c r="O118" s="118">
        <f t="shared" ref="O118:O119" si="52">SUM(L118:N118)</f>
        <v>2.75</v>
      </c>
      <c r="P118" s="118">
        <f t="shared" ref="P118:P119" si="53">O118</f>
        <v>2.75</v>
      </c>
      <c r="Q118" s="199">
        <f t="shared" si="3"/>
        <v>2469.436638</v>
      </c>
      <c r="R118" s="162">
        <f t="shared" si="4"/>
        <v>2469.436638</v>
      </c>
    </row>
    <row r="119" ht="37.5" customHeight="1">
      <c r="A119" s="117" t="s">
        <v>2280</v>
      </c>
      <c r="B119" s="111" t="s">
        <v>2169</v>
      </c>
      <c r="C119" s="44"/>
      <c r="D119" s="194">
        <v>541.777</v>
      </c>
      <c r="E119" s="128">
        <v>5.0</v>
      </c>
      <c r="F119" s="197"/>
      <c r="G119" s="197">
        <v>1.22</v>
      </c>
      <c r="H119" s="197">
        <f t="shared" si="51"/>
        <v>1.25</v>
      </c>
      <c r="I119" s="197">
        <v>1.3</v>
      </c>
      <c r="J119" s="197">
        <v>1.15</v>
      </c>
      <c r="K119" s="162">
        <f t="shared" si="1"/>
        <v>6175.919189</v>
      </c>
      <c r="L119" s="198">
        <v>0.283</v>
      </c>
      <c r="M119" s="158">
        <v>1.917</v>
      </c>
      <c r="N119" s="158">
        <v>0.333</v>
      </c>
      <c r="O119" s="118">
        <f t="shared" si="52"/>
        <v>2.533</v>
      </c>
      <c r="P119" s="118">
        <f t="shared" si="53"/>
        <v>2.533</v>
      </c>
      <c r="Q119" s="199">
        <f t="shared" si="3"/>
        <v>2438.183652</v>
      </c>
      <c r="R119" s="162">
        <f t="shared" si="4"/>
        <v>2438.183652</v>
      </c>
    </row>
    <row r="120" ht="37.5" customHeight="1">
      <c r="A120" s="50" t="s">
        <v>2281</v>
      </c>
      <c r="B120" s="50" t="s">
        <v>1769</v>
      </c>
      <c r="C120" s="49"/>
      <c r="D120" s="194">
        <v>2348.083</v>
      </c>
      <c r="E120" s="128">
        <v>1.0</v>
      </c>
      <c r="F120" s="203"/>
      <c r="G120" s="197"/>
      <c r="H120" s="197"/>
      <c r="I120" s="197">
        <v>1.3</v>
      </c>
      <c r="J120" s="197">
        <v>1.65</v>
      </c>
      <c r="K120" s="162">
        <f t="shared" si="1"/>
        <v>5036.638035</v>
      </c>
      <c r="L120" s="198" t="s">
        <v>303</v>
      </c>
      <c r="M120" s="158" t="s">
        <v>303</v>
      </c>
      <c r="N120" s="158" t="s">
        <v>303</v>
      </c>
      <c r="O120" s="118">
        <v>2.167</v>
      </c>
      <c r="P120" s="118">
        <v>2.167</v>
      </c>
      <c r="Q120" s="199">
        <f t="shared" si="3"/>
        <v>2324.244594</v>
      </c>
      <c r="R120" s="162">
        <f t="shared" si="4"/>
        <v>2324.244594</v>
      </c>
    </row>
    <row r="121" ht="37.5" customHeight="1">
      <c r="A121" s="50" t="s">
        <v>2282</v>
      </c>
      <c r="B121" s="50" t="s">
        <v>1769</v>
      </c>
      <c r="C121" s="49"/>
      <c r="D121" s="194">
        <f>2778.75*4</f>
        <v>11115</v>
      </c>
      <c r="E121" s="128">
        <v>1.0</v>
      </c>
      <c r="F121" s="203"/>
      <c r="G121" s="197"/>
      <c r="H121" s="197"/>
      <c r="I121" s="197">
        <v>1.3</v>
      </c>
      <c r="J121" s="197">
        <v>1.65</v>
      </c>
      <c r="K121" s="162">
        <f t="shared" si="1"/>
        <v>23841.675</v>
      </c>
      <c r="L121" s="198" t="s">
        <v>303</v>
      </c>
      <c r="M121" s="158" t="s">
        <v>303</v>
      </c>
      <c r="N121" s="158" t="s">
        <v>303</v>
      </c>
      <c r="O121" s="118">
        <v>5.4</v>
      </c>
      <c r="P121" s="118">
        <v>10.267</v>
      </c>
      <c r="Q121" s="199">
        <f t="shared" si="3"/>
        <v>4415.125</v>
      </c>
      <c r="R121" s="162">
        <f t="shared" si="4"/>
        <v>2322.165676</v>
      </c>
    </row>
    <row r="122" ht="37.5" customHeight="1">
      <c r="A122" s="50" t="s">
        <v>2283</v>
      </c>
      <c r="B122" s="49" t="s">
        <v>2164</v>
      </c>
      <c r="C122" s="156"/>
      <c r="D122" s="194">
        <v>13307.0</v>
      </c>
      <c r="E122" s="195">
        <v>1.0</v>
      </c>
      <c r="F122" s="197"/>
      <c r="G122" s="197"/>
      <c r="H122" s="197"/>
      <c r="I122" s="197">
        <v>1.3</v>
      </c>
      <c r="J122" s="197">
        <v>1.45</v>
      </c>
      <c r="K122" s="162">
        <f t="shared" si="1"/>
        <v>25083.695</v>
      </c>
      <c r="L122" s="198" t="s">
        <v>303</v>
      </c>
      <c r="M122" s="158" t="s">
        <v>303</v>
      </c>
      <c r="N122" s="158" t="s">
        <v>303</v>
      </c>
      <c r="O122" s="158">
        <v>1.72</v>
      </c>
      <c r="P122" s="158">
        <v>10.9</v>
      </c>
      <c r="Q122" s="199">
        <f t="shared" si="3"/>
        <v>14583.5436</v>
      </c>
      <c r="R122" s="162">
        <f t="shared" si="4"/>
        <v>2301.256422</v>
      </c>
    </row>
    <row r="123" ht="37.5" customHeight="1">
      <c r="A123" s="50" t="s">
        <v>2284</v>
      </c>
      <c r="B123" s="49" t="s">
        <v>2169</v>
      </c>
      <c r="C123" s="156"/>
      <c r="D123" s="194">
        <v>219.531</v>
      </c>
      <c r="E123" s="128">
        <v>15.0</v>
      </c>
      <c r="F123" s="197"/>
      <c r="G123" s="197">
        <v>1.22</v>
      </c>
      <c r="H123" s="197">
        <f>1.25</f>
        <v>1.25</v>
      </c>
      <c r="I123" s="197">
        <v>1.3</v>
      </c>
      <c r="J123" s="197">
        <v>1.15</v>
      </c>
      <c r="K123" s="162">
        <f t="shared" si="1"/>
        <v>7507.548579</v>
      </c>
      <c r="L123" s="201">
        <v>1.0</v>
      </c>
      <c r="M123" s="118">
        <v>1.867</v>
      </c>
      <c r="N123" s="118">
        <v>0.467</v>
      </c>
      <c r="O123" s="118">
        <f>SUM(L123:N123)</f>
        <v>3.334</v>
      </c>
      <c r="P123" s="118">
        <f>O123</f>
        <v>3.334</v>
      </c>
      <c r="Q123" s="199">
        <f t="shared" si="3"/>
        <v>2251.814211</v>
      </c>
      <c r="R123" s="162">
        <f t="shared" si="4"/>
        <v>2251.814211</v>
      </c>
    </row>
    <row r="124" ht="37.5" customHeight="1">
      <c r="A124" s="50" t="s">
        <v>2285</v>
      </c>
      <c r="B124" s="49" t="s">
        <v>2164</v>
      </c>
      <c r="C124" s="156"/>
      <c r="D124" s="194">
        <v>11691.0</v>
      </c>
      <c r="E124" s="128">
        <v>1.0</v>
      </c>
      <c r="F124" s="197"/>
      <c r="G124" s="197"/>
      <c r="H124" s="197"/>
      <c r="I124" s="197">
        <v>1.3</v>
      </c>
      <c r="J124" s="197">
        <v>1.45</v>
      </c>
      <c r="K124" s="162">
        <f t="shared" si="1"/>
        <v>22037.535</v>
      </c>
      <c r="L124" s="198" t="s">
        <v>303</v>
      </c>
      <c r="M124" s="158" t="s">
        <v>303</v>
      </c>
      <c r="N124" s="158" t="s">
        <v>303</v>
      </c>
      <c r="O124" s="158">
        <v>2.95</v>
      </c>
      <c r="P124" s="158">
        <v>10.18</v>
      </c>
      <c r="Q124" s="199">
        <f t="shared" si="3"/>
        <v>7470.350847</v>
      </c>
      <c r="R124" s="162">
        <f t="shared" si="4"/>
        <v>2164.787328</v>
      </c>
    </row>
    <row r="125" ht="37.5" customHeight="1">
      <c r="A125" s="50" t="s">
        <v>2286</v>
      </c>
      <c r="B125" s="111" t="s">
        <v>2169</v>
      </c>
      <c r="C125" s="167"/>
      <c r="D125" s="194">
        <v>1715.846</v>
      </c>
      <c r="E125" s="128">
        <v>2.0</v>
      </c>
      <c r="F125" s="203"/>
      <c r="G125" s="197">
        <v>1.22</v>
      </c>
      <c r="H125" s="197">
        <f>1.25</f>
        <v>1.25</v>
      </c>
      <c r="I125" s="197">
        <v>1.3</v>
      </c>
      <c r="J125" s="197">
        <v>1.1</v>
      </c>
      <c r="K125" s="162">
        <f t="shared" si="1"/>
        <v>7483.662329</v>
      </c>
      <c r="L125" s="201">
        <v>0.216</v>
      </c>
      <c r="M125" s="118">
        <v>1.3</v>
      </c>
      <c r="N125" s="118">
        <v>0.3</v>
      </c>
      <c r="O125" s="118">
        <f>SUM(L125:N125)</f>
        <v>1.816</v>
      </c>
      <c r="P125" s="118">
        <f>L125+M125+2</f>
        <v>3.516</v>
      </c>
      <c r="Q125" s="199">
        <f t="shared" si="3"/>
        <v>4120.959432</v>
      </c>
      <c r="R125" s="162">
        <f t="shared" si="4"/>
        <v>2128.459138</v>
      </c>
    </row>
    <row r="126" ht="37.5" customHeight="1">
      <c r="A126" s="50" t="s">
        <v>2287</v>
      </c>
      <c r="B126" s="50" t="s">
        <v>1769</v>
      </c>
      <c r="C126" s="156"/>
      <c r="D126" s="194">
        <v>1335.097</v>
      </c>
      <c r="E126" s="128">
        <v>1.0</v>
      </c>
      <c r="F126" s="203"/>
      <c r="G126" s="197"/>
      <c r="H126" s="197"/>
      <c r="I126" s="197">
        <v>1.3</v>
      </c>
      <c r="J126" s="197">
        <v>1.65</v>
      </c>
      <c r="K126" s="162">
        <f t="shared" si="1"/>
        <v>2863.783065</v>
      </c>
      <c r="L126" s="198" t="s">
        <v>303</v>
      </c>
      <c r="M126" s="158" t="s">
        <v>303</v>
      </c>
      <c r="N126" s="158" t="s">
        <v>303</v>
      </c>
      <c r="O126" s="118">
        <v>1.283</v>
      </c>
      <c r="P126" s="118">
        <v>1.367</v>
      </c>
      <c r="Q126" s="199">
        <f t="shared" si="3"/>
        <v>2232.099037</v>
      </c>
      <c r="R126" s="162">
        <f t="shared" si="4"/>
        <v>2094.940062</v>
      </c>
    </row>
    <row r="127" ht="37.5" customHeight="1">
      <c r="A127" s="50" t="s">
        <v>2288</v>
      </c>
      <c r="B127" s="49" t="s">
        <v>2169</v>
      </c>
      <c r="C127" s="156"/>
      <c r="D127" s="194">
        <v>5750.584</v>
      </c>
      <c r="E127" s="128">
        <v>1.0</v>
      </c>
      <c r="F127" s="197"/>
      <c r="G127" s="197">
        <f>AVERAGE(1.17,1.1)</f>
        <v>1.135</v>
      </c>
      <c r="H127" s="197">
        <v>1.25</v>
      </c>
      <c r="I127" s="197">
        <v>1.3</v>
      </c>
      <c r="J127" s="197">
        <v>1.1</v>
      </c>
      <c r="K127" s="162">
        <f t="shared" si="1"/>
        <v>11666.8567</v>
      </c>
      <c r="L127" s="201">
        <v>5.7</v>
      </c>
      <c r="M127" s="118">
        <v>0.0</v>
      </c>
      <c r="N127" s="118">
        <v>0.233</v>
      </c>
      <c r="O127" s="118">
        <f t="shared" ref="O127:O128" si="54">SUM(L127:N127)</f>
        <v>5.933</v>
      </c>
      <c r="P127" s="118">
        <f>O127</f>
        <v>5.933</v>
      </c>
      <c r="Q127" s="199">
        <f t="shared" si="3"/>
        <v>1966.434637</v>
      </c>
      <c r="R127" s="162">
        <f t="shared" si="4"/>
        <v>1966.434637</v>
      </c>
    </row>
    <row r="128" ht="37.5" customHeight="1">
      <c r="A128" s="50" t="s">
        <v>2289</v>
      </c>
      <c r="B128" s="49" t="s">
        <v>2169</v>
      </c>
      <c r="C128" s="44"/>
      <c r="D128" s="194">
        <v>427.926</v>
      </c>
      <c r="E128" s="128">
        <v>2.0</v>
      </c>
      <c r="F128" s="197">
        <f>1.578*1.4</f>
        <v>2.2092</v>
      </c>
      <c r="G128" s="197">
        <v>1.22</v>
      </c>
      <c r="H128" s="197">
        <f>1.25</f>
        <v>1.25</v>
      </c>
      <c r="I128" s="197">
        <v>1.3</v>
      </c>
      <c r="J128" s="197">
        <v>1.15</v>
      </c>
      <c r="K128" s="162">
        <f t="shared" si="1"/>
        <v>4310.66964</v>
      </c>
      <c r="L128" s="201">
        <v>0.166</v>
      </c>
      <c r="M128" s="118">
        <f>0.416</f>
        <v>0.416</v>
      </c>
      <c r="N128" s="118">
        <v>0.316</v>
      </c>
      <c r="O128" s="118">
        <f t="shared" si="54"/>
        <v>0.898</v>
      </c>
      <c r="P128" s="118">
        <f>L128+M128+1.716</f>
        <v>2.298</v>
      </c>
      <c r="Q128" s="199">
        <f t="shared" si="3"/>
        <v>4800.300267</v>
      </c>
      <c r="R128" s="162">
        <f t="shared" si="4"/>
        <v>1875.835352</v>
      </c>
    </row>
    <row r="129" ht="37.5" customHeight="1">
      <c r="A129" s="50" t="s">
        <v>2290</v>
      </c>
      <c r="B129" s="49" t="s">
        <v>2164</v>
      </c>
      <c r="C129" s="156"/>
      <c r="D129" s="194">
        <v>26599.5</v>
      </c>
      <c r="E129" s="195">
        <v>1.0</v>
      </c>
      <c r="F129" s="197"/>
      <c r="G129" s="197"/>
      <c r="H129" s="197"/>
      <c r="I129" s="197">
        <v>1.3</v>
      </c>
      <c r="J129" s="197">
        <v>1.45</v>
      </c>
      <c r="K129" s="162">
        <f t="shared" si="1"/>
        <v>50140.0575</v>
      </c>
      <c r="L129" s="198" t="s">
        <v>303</v>
      </c>
      <c r="M129" s="158" t="s">
        <v>303</v>
      </c>
      <c r="N129" s="158" t="s">
        <v>303</v>
      </c>
      <c r="O129" s="158">
        <v>12.08</v>
      </c>
      <c r="P129" s="118">
        <v>27.28</v>
      </c>
      <c r="Q129" s="199">
        <f t="shared" si="3"/>
        <v>4150.667012</v>
      </c>
      <c r="R129" s="162">
        <f t="shared" si="4"/>
        <v>1837.978647</v>
      </c>
    </row>
    <row r="130" ht="37.5" customHeight="1">
      <c r="A130" s="50" t="s">
        <v>2291</v>
      </c>
      <c r="B130" s="49" t="s">
        <v>2164</v>
      </c>
      <c r="C130" s="156"/>
      <c r="D130" s="194">
        <f>2393.303/1.15</f>
        <v>2081.133043</v>
      </c>
      <c r="E130" s="195">
        <v>1.0</v>
      </c>
      <c r="F130" s="197"/>
      <c r="G130" s="197"/>
      <c r="H130" s="197"/>
      <c r="I130" s="197">
        <v>1.3</v>
      </c>
      <c r="J130" s="197"/>
      <c r="K130" s="162">
        <f t="shared" si="1"/>
        <v>2705.472957</v>
      </c>
      <c r="L130" s="198" t="s">
        <v>303</v>
      </c>
      <c r="M130" s="158" t="s">
        <v>303</v>
      </c>
      <c r="N130" s="158" t="s">
        <v>303</v>
      </c>
      <c r="O130" s="158">
        <v>1.483</v>
      </c>
      <c r="P130" s="118">
        <f t="shared" ref="P130:P131" si="55">O130</f>
        <v>1.483</v>
      </c>
      <c r="Q130" s="199">
        <f t="shared" si="3"/>
        <v>1824.324313</v>
      </c>
      <c r="R130" s="162">
        <f t="shared" si="4"/>
        <v>1824.324313</v>
      </c>
    </row>
    <row r="131" ht="37.5" customHeight="1">
      <c r="A131" s="50" t="s">
        <v>328</v>
      </c>
      <c r="B131" s="49" t="s">
        <v>2169</v>
      </c>
      <c r="C131" s="167"/>
      <c r="D131" s="160">
        <f>548.544/1.3</f>
        <v>421.9569231</v>
      </c>
      <c r="E131" s="128">
        <v>1.0</v>
      </c>
      <c r="F131" s="197"/>
      <c r="G131" s="197">
        <v>1.22</v>
      </c>
      <c r="H131" s="197">
        <f>1.25</f>
        <v>1.25</v>
      </c>
      <c r="I131" s="197">
        <v>1.3</v>
      </c>
      <c r="J131" s="197">
        <v>1.1</v>
      </c>
      <c r="K131" s="162">
        <f t="shared" si="1"/>
        <v>920.18256</v>
      </c>
      <c r="L131" s="201">
        <v>0.233</v>
      </c>
      <c r="M131" s="118">
        <v>0.0</v>
      </c>
      <c r="N131" s="118">
        <v>0.283</v>
      </c>
      <c r="O131" s="118">
        <f>SUM(L131:N131)</f>
        <v>0.516</v>
      </c>
      <c r="P131" s="118">
        <f t="shared" si="55"/>
        <v>0.516</v>
      </c>
      <c r="Q131" s="199">
        <f t="shared" si="3"/>
        <v>1783.299535</v>
      </c>
      <c r="R131" s="162">
        <f t="shared" si="4"/>
        <v>1783.299535</v>
      </c>
    </row>
    <row r="132" ht="37.5" customHeight="1">
      <c r="A132" s="50" t="s">
        <v>2292</v>
      </c>
      <c r="B132" s="50" t="s">
        <v>1769</v>
      </c>
      <c r="C132" s="156"/>
      <c r="D132" s="160">
        <v>1827.135</v>
      </c>
      <c r="E132" s="128">
        <v>1.0</v>
      </c>
      <c r="F132" s="203"/>
      <c r="G132" s="197"/>
      <c r="H132" s="197"/>
      <c r="I132" s="197">
        <v>1.3</v>
      </c>
      <c r="J132" s="197">
        <v>1.65</v>
      </c>
      <c r="K132" s="162">
        <f t="shared" si="1"/>
        <v>3919.204575</v>
      </c>
      <c r="L132" s="198" t="s">
        <v>303</v>
      </c>
      <c r="M132" s="158" t="s">
        <v>303</v>
      </c>
      <c r="N132" s="158" t="s">
        <v>303</v>
      </c>
      <c r="O132" s="118">
        <v>1.283</v>
      </c>
      <c r="P132" s="118">
        <v>2.2</v>
      </c>
      <c r="Q132" s="199">
        <f t="shared" si="3"/>
        <v>3054.719076</v>
      </c>
      <c r="R132" s="162">
        <f t="shared" si="4"/>
        <v>1781.456625</v>
      </c>
    </row>
    <row r="133" ht="37.5" customHeight="1">
      <c r="A133" s="50" t="s">
        <v>2293</v>
      </c>
      <c r="B133" s="49" t="s">
        <v>2169</v>
      </c>
      <c r="C133" s="49"/>
      <c r="D133" s="194">
        <v>708.702</v>
      </c>
      <c r="E133" s="128">
        <v>1.0</v>
      </c>
      <c r="F133" s="197">
        <v>1.15</v>
      </c>
      <c r="G133" s="197">
        <v>1.22</v>
      </c>
      <c r="H133" s="197">
        <f>1.25</f>
        <v>1.25</v>
      </c>
      <c r="I133" s="197">
        <v>1.3</v>
      </c>
      <c r="J133" s="197">
        <v>1.15</v>
      </c>
      <c r="K133" s="162">
        <f t="shared" si="1"/>
        <v>1858.114768</v>
      </c>
      <c r="L133" s="201">
        <v>0.566</v>
      </c>
      <c r="M133" s="118">
        <v>0.2</v>
      </c>
      <c r="N133" s="118">
        <v>0.283</v>
      </c>
      <c r="O133" s="118">
        <f>SUM(L133:N133)</f>
        <v>1.049</v>
      </c>
      <c r="P133" s="118">
        <f>O133</f>
        <v>1.049</v>
      </c>
      <c r="Q133" s="199">
        <f t="shared" si="3"/>
        <v>1771.320084</v>
      </c>
      <c r="R133" s="162">
        <f t="shared" si="4"/>
        <v>1771.320084</v>
      </c>
    </row>
    <row r="134" ht="37.5" customHeight="1">
      <c r="A134" s="50" t="s">
        <v>2294</v>
      </c>
      <c r="B134" s="50" t="s">
        <v>1769</v>
      </c>
      <c r="C134" s="49"/>
      <c r="D134" s="194">
        <v>1165.917</v>
      </c>
      <c r="E134" s="128">
        <v>1.0</v>
      </c>
      <c r="F134" s="203"/>
      <c r="G134" s="197"/>
      <c r="H134" s="197"/>
      <c r="I134" s="197">
        <v>1.3</v>
      </c>
      <c r="J134" s="197">
        <v>1.65</v>
      </c>
      <c r="K134" s="162">
        <f t="shared" si="1"/>
        <v>2500.891965</v>
      </c>
      <c r="L134" s="198" t="s">
        <v>303</v>
      </c>
      <c r="M134" s="158" t="s">
        <v>303</v>
      </c>
      <c r="N134" s="158" t="s">
        <v>303</v>
      </c>
      <c r="O134" s="118">
        <v>1.283</v>
      </c>
      <c r="P134" s="118">
        <v>1.45</v>
      </c>
      <c r="Q134" s="199">
        <f t="shared" si="3"/>
        <v>1949.253285</v>
      </c>
      <c r="R134" s="162">
        <f t="shared" si="4"/>
        <v>1724.753079</v>
      </c>
    </row>
    <row r="135" ht="37.5" customHeight="1">
      <c r="A135" s="50" t="s">
        <v>2295</v>
      </c>
      <c r="B135" s="111" t="s">
        <v>2169</v>
      </c>
      <c r="C135" s="44"/>
      <c r="D135" s="194">
        <v>1715.846</v>
      </c>
      <c r="E135" s="128">
        <v>1.0</v>
      </c>
      <c r="F135" s="203"/>
      <c r="G135" s="197">
        <v>1.22</v>
      </c>
      <c r="H135" s="197">
        <f>1.25</f>
        <v>1.25</v>
      </c>
      <c r="I135" s="197">
        <v>1.3</v>
      </c>
      <c r="J135" s="197">
        <v>1.1</v>
      </c>
      <c r="K135" s="162">
        <f t="shared" si="1"/>
        <v>3741.831165</v>
      </c>
      <c r="L135" s="201">
        <v>0.216</v>
      </c>
      <c r="M135" s="118">
        <v>0.0</v>
      </c>
      <c r="N135" s="118">
        <v>0.3</v>
      </c>
      <c r="O135" s="118">
        <f t="shared" ref="O135:O136" si="56">SUM(L135:N135)</f>
        <v>0.516</v>
      </c>
      <c r="P135" s="118">
        <f>L135+M135+2</f>
        <v>2.216</v>
      </c>
      <c r="Q135" s="199">
        <f t="shared" si="3"/>
        <v>7251.610784</v>
      </c>
      <c r="R135" s="162">
        <f t="shared" si="4"/>
        <v>1688.55197</v>
      </c>
    </row>
    <row r="136" ht="37.5" customHeight="1">
      <c r="A136" s="50" t="s">
        <v>2296</v>
      </c>
      <c r="B136" s="50" t="s">
        <v>1756</v>
      </c>
      <c r="C136" s="49"/>
      <c r="D136" s="194">
        <v>1142.722</v>
      </c>
      <c r="E136" s="128">
        <v>1.0</v>
      </c>
      <c r="F136" s="197"/>
      <c r="G136" s="197"/>
      <c r="H136" s="197"/>
      <c r="I136" s="197">
        <v>1.3</v>
      </c>
      <c r="J136" s="197">
        <v>1.3</v>
      </c>
      <c r="K136" s="162">
        <f t="shared" si="1"/>
        <v>1931.20018</v>
      </c>
      <c r="L136" s="201">
        <v>0.0</v>
      </c>
      <c r="M136" s="118">
        <v>1.183</v>
      </c>
      <c r="N136" s="118">
        <v>0.0</v>
      </c>
      <c r="O136" s="118">
        <f t="shared" si="56"/>
        <v>1.183</v>
      </c>
      <c r="P136" s="118">
        <f>O136</f>
        <v>1.183</v>
      </c>
      <c r="Q136" s="199">
        <f t="shared" si="3"/>
        <v>1632.46</v>
      </c>
      <c r="R136" s="162">
        <f t="shared" si="4"/>
        <v>1632.46</v>
      </c>
    </row>
    <row r="137" ht="37.5" customHeight="1">
      <c r="A137" s="50" t="s">
        <v>1557</v>
      </c>
      <c r="B137" s="49" t="s">
        <v>2164</v>
      </c>
      <c r="C137" s="49"/>
      <c r="D137" s="194">
        <v>9208.608</v>
      </c>
      <c r="E137" s="195">
        <v>1.0</v>
      </c>
      <c r="F137" s="197"/>
      <c r="G137" s="197"/>
      <c r="H137" s="197"/>
      <c r="I137" s="197">
        <v>1.3</v>
      </c>
      <c r="J137" s="197">
        <v>1.45</v>
      </c>
      <c r="K137" s="162">
        <f t="shared" si="1"/>
        <v>17358.22608</v>
      </c>
      <c r="L137" s="198" t="s">
        <v>303</v>
      </c>
      <c r="M137" s="158" t="s">
        <v>303</v>
      </c>
      <c r="N137" s="158" t="s">
        <v>303</v>
      </c>
      <c r="O137" s="158">
        <v>1.52</v>
      </c>
      <c r="P137" s="158">
        <v>10.98</v>
      </c>
      <c r="Q137" s="199">
        <f t="shared" si="3"/>
        <v>11419.88558</v>
      </c>
      <c r="R137" s="162">
        <f t="shared" si="4"/>
        <v>1580.894907</v>
      </c>
    </row>
    <row r="138" ht="37.5" customHeight="1">
      <c r="A138" s="50" t="s">
        <v>2297</v>
      </c>
      <c r="B138" s="50" t="s">
        <v>1769</v>
      </c>
      <c r="C138" s="105"/>
      <c r="D138" s="194">
        <v>1596.552</v>
      </c>
      <c r="E138" s="128">
        <v>1.0</v>
      </c>
      <c r="F138" s="203"/>
      <c r="G138" s="197"/>
      <c r="H138" s="197"/>
      <c r="I138" s="197">
        <v>1.3</v>
      </c>
      <c r="J138" s="196">
        <v>1.65</v>
      </c>
      <c r="K138" s="162">
        <f t="shared" si="1"/>
        <v>3424.60404</v>
      </c>
      <c r="L138" s="198" t="s">
        <v>303</v>
      </c>
      <c r="M138" s="158" t="s">
        <v>303</v>
      </c>
      <c r="N138" s="158" t="s">
        <v>303</v>
      </c>
      <c r="O138" s="118">
        <v>2.167</v>
      </c>
      <c r="P138" s="118">
        <v>2.167</v>
      </c>
      <c r="Q138" s="199">
        <f t="shared" si="3"/>
        <v>1580.34335</v>
      </c>
      <c r="R138" s="162">
        <f t="shared" si="4"/>
        <v>1580.34335</v>
      </c>
    </row>
    <row r="139" ht="37.5" customHeight="1">
      <c r="A139" s="50" t="s">
        <v>2298</v>
      </c>
      <c r="B139" s="50" t="s">
        <v>1769</v>
      </c>
      <c r="C139" s="49"/>
      <c r="D139" s="194">
        <v>1247.0</v>
      </c>
      <c r="E139" s="128">
        <v>1.0</v>
      </c>
      <c r="F139" s="203"/>
      <c r="G139" s="197"/>
      <c r="H139" s="197"/>
      <c r="I139" s="197">
        <v>1.3</v>
      </c>
      <c r="J139" s="196">
        <v>1.65</v>
      </c>
      <c r="K139" s="162">
        <f t="shared" si="1"/>
        <v>2674.815</v>
      </c>
      <c r="L139" s="198" t="s">
        <v>303</v>
      </c>
      <c r="M139" s="158" t="s">
        <v>303</v>
      </c>
      <c r="N139" s="158" t="s">
        <v>303</v>
      </c>
      <c r="O139" s="118">
        <v>1.283</v>
      </c>
      <c r="P139" s="118">
        <v>1.7</v>
      </c>
      <c r="Q139" s="199">
        <f t="shared" si="3"/>
        <v>2084.812938</v>
      </c>
      <c r="R139" s="162">
        <f t="shared" si="4"/>
        <v>1573.420588</v>
      </c>
    </row>
    <row r="140" ht="37.5" customHeight="1">
      <c r="A140" s="50" t="s">
        <v>2299</v>
      </c>
      <c r="B140" s="49" t="s">
        <v>2164</v>
      </c>
      <c r="C140" s="49"/>
      <c r="D140" s="194">
        <v>16677.0</v>
      </c>
      <c r="E140" s="195">
        <v>1.0</v>
      </c>
      <c r="F140" s="197"/>
      <c r="G140" s="197"/>
      <c r="H140" s="197"/>
      <c r="I140" s="197">
        <v>1.3</v>
      </c>
      <c r="J140" s="197">
        <v>1.45</v>
      </c>
      <c r="K140" s="162">
        <f t="shared" si="1"/>
        <v>31436.145</v>
      </c>
      <c r="L140" s="198" t="s">
        <v>303</v>
      </c>
      <c r="M140" s="158" t="s">
        <v>303</v>
      </c>
      <c r="N140" s="158" t="s">
        <v>303</v>
      </c>
      <c r="O140" s="158">
        <v>20.3</v>
      </c>
      <c r="P140" s="118">
        <f>O140</f>
        <v>20.3</v>
      </c>
      <c r="Q140" s="199">
        <f t="shared" si="3"/>
        <v>1548.578571</v>
      </c>
      <c r="R140" s="162">
        <f t="shared" si="4"/>
        <v>1548.578571</v>
      </c>
    </row>
    <row r="141" ht="37.5" customHeight="1">
      <c r="A141" s="50" t="s">
        <v>2300</v>
      </c>
      <c r="B141" s="50" t="s">
        <v>1769</v>
      </c>
      <c r="C141" s="49"/>
      <c r="D141" s="194">
        <v>1889.593</v>
      </c>
      <c r="E141" s="128">
        <v>1.0</v>
      </c>
      <c r="F141" s="203"/>
      <c r="G141" s="197"/>
      <c r="H141" s="197"/>
      <c r="I141" s="197">
        <v>1.3</v>
      </c>
      <c r="J141" s="197">
        <v>1.65</v>
      </c>
      <c r="K141" s="162">
        <f t="shared" si="1"/>
        <v>4053.176985</v>
      </c>
      <c r="L141" s="198" t="s">
        <v>303</v>
      </c>
      <c r="M141" s="158" t="s">
        <v>303</v>
      </c>
      <c r="N141" s="158" t="s">
        <v>303</v>
      </c>
      <c r="O141" s="118">
        <v>1.283</v>
      </c>
      <c r="P141" s="118">
        <v>2.717</v>
      </c>
      <c r="Q141" s="199">
        <f t="shared" si="3"/>
        <v>3159.140284</v>
      </c>
      <c r="R141" s="162">
        <f t="shared" si="4"/>
        <v>1491.783947</v>
      </c>
    </row>
    <row r="142" ht="37.5" customHeight="1">
      <c r="A142" s="50" t="s">
        <v>2301</v>
      </c>
      <c r="B142" s="50" t="s">
        <v>1769</v>
      </c>
      <c r="C142" s="49"/>
      <c r="D142" s="194">
        <v>1176.547</v>
      </c>
      <c r="E142" s="128">
        <v>1.0</v>
      </c>
      <c r="F142" s="203"/>
      <c r="G142" s="197"/>
      <c r="H142" s="197"/>
      <c r="I142" s="197">
        <v>1.3</v>
      </c>
      <c r="J142" s="197">
        <v>1.65</v>
      </c>
      <c r="K142" s="162">
        <f t="shared" si="1"/>
        <v>2523.693315</v>
      </c>
      <c r="L142" s="198" t="s">
        <v>303</v>
      </c>
      <c r="M142" s="158" t="s">
        <v>303</v>
      </c>
      <c r="N142" s="158" t="s">
        <v>303</v>
      </c>
      <c r="O142" s="118">
        <v>1.283</v>
      </c>
      <c r="P142" s="118">
        <v>1.7</v>
      </c>
      <c r="Q142" s="199">
        <f t="shared" si="3"/>
        <v>1967.025187</v>
      </c>
      <c r="R142" s="162">
        <f t="shared" si="4"/>
        <v>1484.525479</v>
      </c>
    </row>
    <row r="143" ht="37.5" customHeight="1">
      <c r="A143" s="50" t="s">
        <v>2302</v>
      </c>
      <c r="B143" s="50" t="s">
        <v>1756</v>
      </c>
      <c r="C143" s="49"/>
      <c r="D143" s="194">
        <v>369.886</v>
      </c>
      <c r="E143" s="128">
        <v>1.0</v>
      </c>
      <c r="F143" s="197"/>
      <c r="G143" s="197"/>
      <c r="H143" s="197">
        <f>1+2+1.65</f>
        <v>4.65</v>
      </c>
      <c r="I143" s="197">
        <v>1.3</v>
      </c>
      <c r="J143" s="197">
        <v>1.3</v>
      </c>
      <c r="K143" s="162">
        <f t="shared" si="1"/>
        <v>2906.749131</v>
      </c>
      <c r="L143" s="201">
        <v>0.0</v>
      </c>
      <c r="M143" s="118">
        <v>2.066</v>
      </c>
      <c r="N143" s="118">
        <v>0.0</v>
      </c>
      <c r="O143" s="118">
        <f>SUM(L143:N143)</f>
        <v>2.066</v>
      </c>
      <c r="P143" s="118">
        <f>O143</f>
        <v>2.066</v>
      </c>
      <c r="Q143" s="199">
        <f t="shared" si="3"/>
        <v>1406.945368</v>
      </c>
      <c r="R143" s="162">
        <f t="shared" si="4"/>
        <v>1406.945368</v>
      </c>
    </row>
    <row r="144" ht="37.5" customHeight="1">
      <c r="A144" s="50" t="s">
        <v>1498</v>
      </c>
      <c r="B144" s="49" t="s">
        <v>2164</v>
      </c>
      <c r="C144" s="49"/>
      <c r="D144" s="194">
        <v>8124.0</v>
      </c>
      <c r="E144" s="195">
        <v>1.0</v>
      </c>
      <c r="F144" s="197"/>
      <c r="G144" s="197"/>
      <c r="H144" s="197"/>
      <c r="I144" s="197">
        <v>1.3</v>
      </c>
      <c r="J144" s="197">
        <v>1.45</v>
      </c>
      <c r="K144" s="162">
        <f t="shared" si="1"/>
        <v>15313.74</v>
      </c>
      <c r="L144" s="198" t="s">
        <v>303</v>
      </c>
      <c r="M144" s="158" t="s">
        <v>303</v>
      </c>
      <c r="N144" s="158" t="s">
        <v>303</v>
      </c>
      <c r="O144" s="158">
        <v>1.72</v>
      </c>
      <c r="P144" s="158">
        <v>10.9</v>
      </c>
      <c r="Q144" s="199">
        <f t="shared" si="3"/>
        <v>8903.337209</v>
      </c>
      <c r="R144" s="162">
        <f t="shared" si="4"/>
        <v>1404.930275</v>
      </c>
    </row>
    <row r="145" ht="37.5" customHeight="1">
      <c r="A145" s="50" t="s">
        <v>2303</v>
      </c>
      <c r="B145" s="49" t="s">
        <v>2169</v>
      </c>
      <c r="C145" s="44"/>
      <c r="D145" s="194">
        <v>632.741</v>
      </c>
      <c r="E145" s="128">
        <v>3.0</v>
      </c>
      <c r="F145" s="197"/>
      <c r="G145" s="197">
        <v>1.22</v>
      </c>
      <c r="H145" s="197">
        <f>1.25</f>
        <v>1.25</v>
      </c>
      <c r="I145" s="197">
        <v>1.3</v>
      </c>
      <c r="J145" s="197">
        <v>1.15</v>
      </c>
      <c r="K145" s="162">
        <f t="shared" si="1"/>
        <v>4327.711162</v>
      </c>
      <c r="L145" s="201">
        <v>0.183</v>
      </c>
      <c r="M145" s="118">
        <v>0.866</v>
      </c>
      <c r="N145" s="118">
        <v>0.3</v>
      </c>
      <c r="O145" s="118">
        <f>SUM(L145:N145)</f>
        <v>1.349</v>
      </c>
      <c r="P145" s="118">
        <f>L145+M145+2.2</f>
        <v>3.249</v>
      </c>
      <c r="Q145" s="199">
        <f t="shared" si="3"/>
        <v>3208.088334</v>
      </c>
      <c r="R145" s="162">
        <f t="shared" si="4"/>
        <v>1332.013285</v>
      </c>
    </row>
    <row r="146" ht="37.5" customHeight="1">
      <c r="A146" s="50" t="s">
        <v>2304</v>
      </c>
      <c r="B146" s="49" t="s">
        <v>2164</v>
      </c>
      <c r="C146" s="49"/>
      <c r="D146" s="194">
        <v>12663.0</v>
      </c>
      <c r="E146" s="195">
        <v>1.0</v>
      </c>
      <c r="F146" s="197"/>
      <c r="G146" s="197"/>
      <c r="H146" s="197"/>
      <c r="I146" s="197">
        <v>1.3</v>
      </c>
      <c r="J146" s="197">
        <v>1.268</v>
      </c>
      <c r="K146" s="162">
        <f t="shared" si="1"/>
        <v>20873.6892</v>
      </c>
      <c r="L146" s="198" t="s">
        <v>303</v>
      </c>
      <c r="M146" s="158" t="s">
        <v>303</v>
      </c>
      <c r="N146" s="158" t="s">
        <v>303</v>
      </c>
      <c r="O146" s="158">
        <v>2.18</v>
      </c>
      <c r="P146" s="158">
        <v>16.47</v>
      </c>
      <c r="Q146" s="199">
        <f t="shared" si="3"/>
        <v>9575.086789</v>
      </c>
      <c r="R146" s="162">
        <f t="shared" si="4"/>
        <v>1267.376393</v>
      </c>
    </row>
    <row r="147" ht="37.5" customHeight="1">
      <c r="A147" s="50" t="s">
        <v>2305</v>
      </c>
      <c r="B147" s="50" t="s">
        <v>1769</v>
      </c>
      <c r="C147" s="49"/>
      <c r="D147" s="194">
        <v>1275.593</v>
      </c>
      <c r="E147" s="128">
        <v>1.0</v>
      </c>
      <c r="F147" s="203"/>
      <c r="G147" s="197"/>
      <c r="H147" s="197"/>
      <c r="I147" s="197">
        <v>1.3</v>
      </c>
      <c r="J147" s="197">
        <v>1.65</v>
      </c>
      <c r="K147" s="162">
        <f t="shared" si="1"/>
        <v>2736.146985</v>
      </c>
      <c r="L147" s="198" t="s">
        <v>303</v>
      </c>
      <c r="M147" s="158" t="s">
        <v>303</v>
      </c>
      <c r="N147" s="158" t="s">
        <v>303</v>
      </c>
      <c r="O147" s="118">
        <v>1.283</v>
      </c>
      <c r="P147" s="118">
        <v>2.4</v>
      </c>
      <c r="Q147" s="199">
        <f t="shared" si="3"/>
        <v>2132.616512</v>
      </c>
      <c r="R147" s="162">
        <f t="shared" si="4"/>
        <v>1140.061244</v>
      </c>
    </row>
    <row r="148" ht="37.5" customHeight="1">
      <c r="A148" s="50" t="s">
        <v>2306</v>
      </c>
      <c r="B148" s="49" t="s">
        <v>2164</v>
      </c>
      <c r="C148" s="49"/>
      <c r="D148" s="194">
        <v>14565.0</v>
      </c>
      <c r="E148" s="195">
        <v>1.0</v>
      </c>
      <c r="F148" s="197"/>
      <c r="G148" s="197"/>
      <c r="H148" s="197"/>
      <c r="I148" s="197">
        <v>1.3</v>
      </c>
      <c r="J148" s="197">
        <v>1.233</v>
      </c>
      <c r="K148" s="162">
        <f t="shared" si="1"/>
        <v>23346.2385</v>
      </c>
      <c r="L148" s="198" t="s">
        <v>303</v>
      </c>
      <c r="M148" s="158" t="s">
        <v>303</v>
      </c>
      <c r="N148" s="158" t="s">
        <v>303</v>
      </c>
      <c r="O148" s="158">
        <v>2.17</v>
      </c>
      <c r="P148" s="158">
        <v>20.62</v>
      </c>
      <c r="Q148" s="199">
        <f t="shared" si="3"/>
        <v>10758.63525</v>
      </c>
      <c r="R148" s="162">
        <f t="shared" si="4"/>
        <v>1132.213312</v>
      </c>
    </row>
    <row r="149" ht="37.5" customHeight="1">
      <c r="A149" s="50" t="s">
        <v>2307</v>
      </c>
      <c r="B149" s="50" t="s">
        <v>1769</v>
      </c>
      <c r="C149" s="49"/>
      <c r="D149" s="194">
        <v>884.697</v>
      </c>
      <c r="E149" s="128">
        <v>1.0</v>
      </c>
      <c r="F149" s="203"/>
      <c r="G149" s="197"/>
      <c r="H149" s="197"/>
      <c r="I149" s="197">
        <v>1.3</v>
      </c>
      <c r="J149" s="197">
        <v>1.65</v>
      </c>
      <c r="K149" s="162">
        <f t="shared" si="1"/>
        <v>1897.675065</v>
      </c>
      <c r="L149" s="198" t="s">
        <v>303</v>
      </c>
      <c r="M149" s="158" t="s">
        <v>303</v>
      </c>
      <c r="N149" s="158" t="s">
        <v>303</v>
      </c>
      <c r="O149" s="118">
        <v>1.283</v>
      </c>
      <c r="P149" s="118">
        <v>1.7</v>
      </c>
      <c r="Q149" s="199">
        <f t="shared" si="3"/>
        <v>1479.092023</v>
      </c>
      <c r="R149" s="162">
        <f t="shared" si="4"/>
        <v>1116.27945</v>
      </c>
    </row>
    <row r="150" ht="37.5" customHeight="1">
      <c r="A150" s="50" t="s">
        <v>2308</v>
      </c>
      <c r="B150" s="49" t="s">
        <v>2164</v>
      </c>
      <c r="C150" s="49"/>
      <c r="D150" s="194">
        <f>641.536/1.15*10</f>
        <v>5578.573913</v>
      </c>
      <c r="E150" s="195">
        <v>1.0</v>
      </c>
      <c r="F150" s="197"/>
      <c r="G150" s="197"/>
      <c r="H150" s="197"/>
      <c r="I150" s="197">
        <v>1.3</v>
      </c>
      <c r="J150" s="197"/>
      <c r="K150" s="162">
        <f t="shared" si="1"/>
        <v>7252.146087</v>
      </c>
      <c r="L150" s="198" t="s">
        <v>303</v>
      </c>
      <c r="M150" s="158" t="s">
        <v>303</v>
      </c>
      <c r="N150" s="158" t="s">
        <v>303</v>
      </c>
      <c r="O150" s="158">
        <v>6.617</v>
      </c>
      <c r="P150" s="118">
        <f>O150</f>
        <v>6.617</v>
      </c>
      <c r="Q150" s="199">
        <f t="shared" si="3"/>
        <v>1095.987016</v>
      </c>
      <c r="R150" s="162">
        <f t="shared" si="4"/>
        <v>1095.987016</v>
      </c>
    </row>
    <row r="151" ht="37.5" customHeight="1">
      <c r="A151" s="50" t="s">
        <v>2309</v>
      </c>
      <c r="B151" s="50" t="s">
        <v>1769</v>
      </c>
      <c r="C151" s="49"/>
      <c r="D151" s="194">
        <v>2217.984</v>
      </c>
      <c r="E151" s="128">
        <v>1.0</v>
      </c>
      <c r="F151" s="203"/>
      <c r="G151" s="197"/>
      <c r="H151" s="196">
        <v>1.35</v>
      </c>
      <c r="I151" s="197">
        <v>1.3</v>
      </c>
      <c r="J151" s="197">
        <v>1.65</v>
      </c>
      <c r="K151" s="162">
        <f t="shared" si="1"/>
        <v>6422.727168</v>
      </c>
      <c r="L151" s="198" t="s">
        <v>303</v>
      </c>
      <c r="M151" s="158" t="s">
        <v>303</v>
      </c>
      <c r="N151" s="158" t="s">
        <v>303</v>
      </c>
      <c r="O151" s="118">
        <v>1.283</v>
      </c>
      <c r="P151" s="118">
        <v>6.083</v>
      </c>
      <c r="Q151" s="199">
        <f t="shared" si="3"/>
        <v>5006.022734</v>
      </c>
      <c r="R151" s="162">
        <f t="shared" si="4"/>
        <v>1055.848622</v>
      </c>
    </row>
    <row r="152" ht="37.5" customHeight="1">
      <c r="A152" s="50" t="s">
        <v>2310</v>
      </c>
      <c r="B152" s="49" t="s">
        <v>2169</v>
      </c>
      <c r="C152" s="44"/>
      <c r="D152" s="200">
        <v>3217.566</v>
      </c>
      <c r="E152" s="128">
        <v>1.0</v>
      </c>
      <c r="F152" s="197"/>
      <c r="G152" s="197">
        <v>1.22</v>
      </c>
      <c r="H152" s="197">
        <f>1.25</f>
        <v>1.25</v>
      </c>
      <c r="I152" s="197">
        <v>1.3</v>
      </c>
      <c r="J152" s="197">
        <v>1.1</v>
      </c>
      <c r="K152" s="162">
        <f t="shared" si="1"/>
        <v>7016.707055</v>
      </c>
      <c r="L152" s="201">
        <v>0.233</v>
      </c>
      <c r="M152" s="118">
        <v>0.0</v>
      </c>
      <c r="N152" s="118">
        <v>0.3</v>
      </c>
      <c r="O152" s="118">
        <f>SUM(L152:N152)</f>
        <v>0.533</v>
      </c>
      <c r="P152" s="118">
        <v>7.017</v>
      </c>
      <c r="Q152" s="199">
        <f t="shared" si="3"/>
        <v>13164.55357</v>
      </c>
      <c r="R152" s="162">
        <f t="shared" si="4"/>
        <v>999.958252</v>
      </c>
    </row>
    <row r="153" ht="37.5" customHeight="1">
      <c r="A153" s="50" t="s">
        <v>2311</v>
      </c>
      <c r="B153" s="50" t="s">
        <v>1769</v>
      </c>
      <c r="C153" s="49"/>
      <c r="D153" s="194">
        <v>3337.0</v>
      </c>
      <c r="E153" s="128">
        <v>1.0</v>
      </c>
      <c r="F153" s="203"/>
      <c r="G153" s="197"/>
      <c r="H153" s="197"/>
      <c r="I153" s="197">
        <v>1.3</v>
      </c>
      <c r="J153" s="197">
        <v>1.65</v>
      </c>
      <c r="K153" s="162">
        <f t="shared" si="1"/>
        <v>7157.865</v>
      </c>
      <c r="L153" s="198" t="s">
        <v>303</v>
      </c>
      <c r="M153" s="158" t="s">
        <v>303</v>
      </c>
      <c r="N153" s="158" t="s">
        <v>303</v>
      </c>
      <c r="O153" s="118">
        <v>1.283</v>
      </c>
      <c r="P153" s="118">
        <v>7.2</v>
      </c>
      <c r="Q153" s="199">
        <f t="shared" si="3"/>
        <v>5579.006235</v>
      </c>
      <c r="R153" s="162">
        <f t="shared" si="4"/>
        <v>994.1479167</v>
      </c>
    </row>
    <row r="154" ht="37.5" customHeight="1">
      <c r="A154" s="117" t="s">
        <v>2312</v>
      </c>
      <c r="B154" s="49" t="s">
        <v>2169</v>
      </c>
      <c r="C154" s="44"/>
      <c r="D154" s="200">
        <f>588.893</f>
        <v>588.893</v>
      </c>
      <c r="E154" s="128">
        <v>14.0</v>
      </c>
      <c r="F154" s="158">
        <v>1.3</v>
      </c>
      <c r="G154" s="118">
        <v>1.22</v>
      </c>
      <c r="H154" s="158">
        <v>1.25</v>
      </c>
      <c r="I154" s="118">
        <v>1.3</v>
      </c>
      <c r="J154" s="158">
        <v>1.1</v>
      </c>
      <c r="K154" s="162">
        <f t="shared" si="1"/>
        <v>23372.95706</v>
      </c>
      <c r="L154" s="198">
        <v>0.0</v>
      </c>
      <c r="M154" s="158">
        <v>2.183</v>
      </c>
      <c r="N154" s="158">
        <v>0.0</v>
      </c>
      <c r="O154" s="118">
        <f>SUM(L154:N154)</f>
        <v>2.183</v>
      </c>
      <c r="P154" s="118">
        <v>25.733</v>
      </c>
      <c r="Q154" s="199">
        <f t="shared" si="3"/>
        <v>10706.8058</v>
      </c>
      <c r="R154" s="162">
        <f t="shared" si="4"/>
        <v>908.2872987</v>
      </c>
    </row>
    <row r="155" ht="37.5" customHeight="1">
      <c r="A155" s="50" t="s">
        <v>2313</v>
      </c>
      <c r="B155" s="49" t="s">
        <v>2164</v>
      </c>
      <c r="C155" s="49"/>
      <c r="D155" s="194">
        <v>8988.0</v>
      </c>
      <c r="E155" s="195">
        <v>1.0</v>
      </c>
      <c r="F155" s="197"/>
      <c r="G155" s="197"/>
      <c r="H155" s="197"/>
      <c r="I155" s="197">
        <v>1.3</v>
      </c>
      <c r="J155" s="197">
        <v>1.268</v>
      </c>
      <c r="K155" s="162">
        <f t="shared" si="1"/>
        <v>14815.8192</v>
      </c>
      <c r="L155" s="198" t="s">
        <v>303</v>
      </c>
      <c r="M155" s="158" t="s">
        <v>303</v>
      </c>
      <c r="N155" s="158" t="s">
        <v>303</v>
      </c>
      <c r="O155" s="158">
        <v>2.18</v>
      </c>
      <c r="P155" s="158">
        <v>16.47</v>
      </c>
      <c r="Q155" s="199">
        <f t="shared" si="3"/>
        <v>6796.247339</v>
      </c>
      <c r="R155" s="162">
        <f t="shared" si="4"/>
        <v>899.5640073</v>
      </c>
    </row>
    <row r="156" ht="37.5" customHeight="1">
      <c r="A156" s="50" t="s">
        <v>2314</v>
      </c>
      <c r="B156" s="49" t="s">
        <v>2169</v>
      </c>
      <c r="C156" s="44"/>
      <c r="D156" s="194">
        <v>2091.813</v>
      </c>
      <c r="E156" s="128">
        <v>2.0</v>
      </c>
      <c r="F156" s="197"/>
      <c r="G156" s="197">
        <v>1.22</v>
      </c>
      <c r="H156" s="197">
        <f>1.25</f>
        <v>1.25</v>
      </c>
      <c r="I156" s="197">
        <v>1.3</v>
      </c>
      <c r="J156" s="197">
        <v>1.1</v>
      </c>
      <c r="K156" s="162">
        <f t="shared" si="1"/>
        <v>9123.4424</v>
      </c>
      <c r="L156" s="201">
        <v>0.25</v>
      </c>
      <c r="M156" s="118">
        <v>0.383</v>
      </c>
      <c r="N156" s="118">
        <v>0.366</v>
      </c>
      <c r="O156" s="118">
        <f>SUM(L156:N156)</f>
        <v>0.999</v>
      </c>
      <c r="P156" s="118">
        <f>L156+10.199</f>
        <v>10.449</v>
      </c>
      <c r="Q156" s="199">
        <f t="shared" si="3"/>
        <v>9132.574974</v>
      </c>
      <c r="R156" s="162">
        <f t="shared" si="4"/>
        <v>873.140243</v>
      </c>
    </row>
    <row r="157" ht="37.5" customHeight="1">
      <c r="A157" s="50" t="s">
        <v>2315</v>
      </c>
      <c r="B157" s="49" t="s">
        <v>2164</v>
      </c>
      <c r="C157" s="49"/>
      <c r="D157" s="194">
        <v>10885.5</v>
      </c>
      <c r="E157" s="195">
        <v>1.0</v>
      </c>
      <c r="F157" s="197"/>
      <c r="G157" s="197"/>
      <c r="H157" s="197"/>
      <c r="I157" s="197">
        <v>1.3</v>
      </c>
      <c r="J157" s="197">
        <v>1.233</v>
      </c>
      <c r="K157" s="162">
        <f t="shared" si="1"/>
        <v>17448.36795</v>
      </c>
      <c r="L157" s="198" t="s">
        <v>303</v>
      </c>
      <c r="M157" s="158" t="s">
        <v>303</v>
      </c>
      <c r="N157" s="158" t="s">
        <v>303</v>
      </c>
      <c r="O157" s="158">
        <v>2.17</v>
      </c>
      <c r="P157" s="158">
        <v>20.62</v>
      </c>
      <c r="Q157" s="199">
        <f t="shared" si="3"/>
        <v>8040.722558</v>
      </c>
      <c r="R157" s="162">
        <f t="shared" si="4"/>
        <v>846.1866125</v>
      </c>
    </row>
    <row r="158" ht="37.5" customHeight="1">
      <c r="A158" s="50" t="s">
        <v>2316</v>
      </c>
      <c r="B158" s="50" t="s">
        <v>1769</v>
      </c>
      <c r="C158" s="49"/>
      <c r="D158" s="194">
        <v>1470.779</v>
      </c>
      <c r="E158" s="128">
        <v>1.0</v>
      </c>
      <c r="F158" s="203"/>
      <c r="G158" s="197"/>
      <c r="H158" s="197">
        <v>1.1</v>
      </c>
      <c r="I158" s="197">
        <v>1.3</v>
      </c>
      <c r="J158" s="197">
        <v>1.65</v>
      </c>
      <c r="K158" s="162">
        <f t="shared" si="1"/>
        <v>3470.303051</v>
      </c>
      <c r="L158" s="198" t="s">
        <v>303</v>
      </c>
      <c r="M158" s="158" t="s">
        <v>303</v>
      </c>
      <c r="N158" s="158" t="s">
        <v>303</v>
      </c>
      <c r="O158" s="118">
        <v>1.283</v>
      </c>
      <c r="P158" s="118">
        <v>4.417</v>
      </c>
      <c r="Q158" s="199">
        <f t="shared" si="3"/>
        <v>2704.834802</v>
      </c>
      <c r="R158" s="162">
        <f t="shared" si="4"/>
        <v>785.6696967</v>
      </c>
    </row>
    <row r="159" ht="37.5" customHeight="1">
      <c r="A159" s="50" t="s">
        <v>2317</v>
      </c>
      <c r="B159" s="117" t="s">
        <v>2169</v>
      </c>
      <c r="C159" s="49"/>
      <c r="D159" s="194">
        <v>2597.584</v>
      </c>
      <c r="E159" s="128">
        <v>1.0</v>
      </c>
      <c r="F159" s="158">
        <v>1.33</v>
      </c>
      <c r="G159" s="118">
        <v>1.22</v>
      </c>
      <c r="H159" s="158">
        <v>1.25</v>
      </c>
      <c r="I159" s="118">
        <v>1.3</v>
      </c>
      <c r="J159" s="158">
        <v>1.1</v>
      </c>
      <c r="K159" s="162">
        <f t="shared" si="1"/>
        <v>7534.02614</v>
      </c>
      <c r="L159" s="201">
        <v>0.183</v>
      </c>
      <c r="M159" s="118">
        <v>0.0</v>
      </c>
      <c r="N159" s="118">
        <v>0.416</v>
      </c>
      <c r="O159" s="118">
        <f t="shared" ref="O159:O160" si="57">SUM(L159:N159)</f>
        <v>0.599</v>
      </c>
      <c r="P159" s="118">
        <f>9.717+L159</f>
        <v>9.9</v>
      </c>
      <c r="Q159" s="199">
        <f t="shared" si="3"/>
        <v>12577.67302</v>
      </c>
      <c r="R159" s="162">
        <f t="shared" si="4"/>
        <v>761.0127414</v>
      </c>
    </row>
    <row r="160" ht="37.5" customHeight="1">
      <c r="A160" s="50" t="s">
        <v>1339</v>
      </c>
      <c r="B160" s="50" t="s">
        <v>1756</v>
      </c>
      <c r="C160" s="49"/>
      <c r="D160" s="194">
        <v>453.735</v>
      </c>
      <c r="E160" s="128">
        <v>1.0</v>
      </c>
      <c r="F160" s="197"/>
      <c r="G160" s="197"/>
      <c r="H160" s="197"/>
      <c r="I160" s="197">
        <v>1.3</v>
      </c>
      <c r="J160" s="197">
        <v>1.3</v>
      </c>
      <c r="K160" s="162">
        <f t="shared" si="1"/>
        <v>766.81215</v>
      </c>
      <c r="L160" s="201">
        <v>0.0</v>
      </c>
      <c r="M160" s="118">
        <v>1.067</v>
      </c>
      <c r="N160" s="118">
        <v>0.0</v>
      </c>
      <c r="O160" s="118">
        <f t="shared" si="57"/>
        <v>1.067</v>
      </c>
      <c r="P160" s="118">
        <f>O160</f>
        <v>1.067</v>
      </c>
      <c r="Q160" s="199">
        <f t="shared" si="3"/>
        <v>718.6618088</v>
      </c>
      <c r="R160" s="162">
        <f t="shared" si="4"/>
        <v>718.6618088</v>
      </c>
    </row>
    <row r="161" ht="37.5" customHeight="1">
      <c r="A161" s="50" t="s">
        <v>2318</v>
      </c>
      <c r="B161" s="50" t="s">
        <v>1769</v>
      </c>
      <c r="C161" s="49"/>
      <c r="D161" s="194">
        <v>1744.621</v>
      </c>
      <c r="E161" s="128">
        <v>1.0</v>
      </c>
      <c r="F161" s="203"/>
      <c r="G161" s="197"/>
      <c r="H161" s="196">
        <v>1.35</v>
      </c>
      <c r="I161" s="197">
        <v>1.3</v>
      </c>
      <c r="J161" s="197">
        <v>1.65</v>
      </c>
      <c r="K161" s="162">
        <f t="shared" si="1"/>
        <v>5051.986261</v>
      </c>
      <c r="L161" s="198" t="s">
        <v>303</v>
      </c>
      <c r="M161" s="158" t="s">
        <v>303</v>
      </c>
      <c r="N161" s="158" t="s">
        <v>303</v>
      </c>
      <c r="O161" s="118">
        <v>1.283</v>
      </c>
      <c r="P161" s="118">
        <v>7.2</v>
      </c>
      <c r="Q161" s="199">
        <f t="shared" si="3"/>
        <v>3937.635433</v>
      </c>
      <c r="R161" s="162">
        <f t="shared" si="4"/>
        <v>701.6647584</v>
      </c>
    </row>
    <row r="162" ht="37.5" customHeight="1">
      <c r="A162" s="50" t="s">
        <v>2319</v>
      </c>
      <c r="B162" s="50" t="s">
        <v>1769</v>
      </c>
      <c r="C162" s="49"/>
      <c r="D162" s="194">
        <v>1119.568</v>
      </c>
      <c r="E162" s="128">
        <v>1.0</v>
      </c>
      <c r="F162" s="203"/>
      <c r="G162" s="197"/>
      <c r="H162" s="197">
        <v>1.1</v>
      </c>
      <c r="I162" s="197">
        <v>1.3</v>
      </c>
      <c r="J162" s="197">
        <v>1.65</v>
      </c>
      <c r="K162" s="162">
        <f t="shared" si="1"/>
        <v>2641.620696</v>
      </c>
      <c r="L162" s="198" t="s">
        <v>303</v>
      </c>
      <c r="M162" s="158" t="s">
        <v>303</v>
      </c>
      <c r="N162" s="158" t="s">
        <v>303</v>
      </c>
      <c r="O162" s="118">
        <v>1.283</v>
      </c>
      <c r="P162" s="118">
        <v>4.083</v>
      </c>
      <c r="Q162" s="199">
        <f t="shared" si="3"/>
        <v>2058.940527</v>
      </c>
      <c r="R162" s="162">
        <f t="shared" si="4"/>
        <v>646.9803321</v>
      </c>
    </row>
    <row r="163" ht="37.5" customHeight="1">
      <c r="A163" s="50" t="s">
        <v>2320</v>
      </c>
      <c r="B163" s="50" t="s">
        <v>1769</v>
      </c>
      <c r="C163" s="49"/>
      <c r="D163" s="194">
        <v>2778.75</v>
      </c>
      <c r="E163" s="128">
        <v>1.0</v>
      </c>
      <c r="F163" s="203"/>
      <c r="G163" s="197"/>
      <c r="H163" s="197"/>
      <c r="I163" s="197">
        <v>1.3</v>
      </c>
      <c r="J163" s="197">
        <v>1.65</v>
      </c>
      <c r="K163" s="162">
        <f t="shared" si="1"/>
        <v>5960.41875</v>
      </c>
      <c r="L163" s="198" t="s">
        <v>303</v>
      </c>
      <c r="M163" s="158" t="s">
        <v>303</v>
      </c>
      <c r="N163" s="158" t="s">
        <v>303</v>
      </c>
      <c r="O163" s="118">
        <v>1.283</v>
      </c>
      <c r="P163" s="118">
        <v>9.417</v>
      </c>
      <c r="Q163" s="199">
        <f t="shared" si="3"/>
        <v>4645.688815</v>
      </c>
      <c r="R163" s="162">
        <f t="shared" si="4"/>
        <v>632.942418</v>
      </c>
    </row>
    <row r="164" ht="37.5" customHeight="1">
      <c r="A164" s="50" t="s">
        <v>2321</v>
      </c>
      <c r="B164" s="49" t="s">
        <v>1769</v>
      </c>
      <c r="C164" s="105"/>
      <c r="D164" s="200">
        <v>459.0</v>
      </c>
      <c r="E164" s="128">
        <v>15.0</v>
      </c>
      <c r="F164" s="196"/>
      <c r="G164" s="197"/>
      <c r="H164" s="197"/>
      <c r="I164" s="197">
        <v>1.3</v>
      </c>
      <c r="J164" s="118">
        <v>1.3058797096439683</v>
      </c>
      <c r="K164" s="162">
        <f t="shared" si="1"/>
        <v>11688.27634</v>
      </c>
      <c r="L164" s="198" t="s">
        <v>303</v>
      </c>
      <c r="M164" s="118">
        <v>1.15</v>
      </c>
      <c r="N164" s="158" t="s">
        <v>303</v>
      </c>
      <c r="O164" s="158">
        <v>0.816</v>
      </c>
      <c r="P164" s="118">
        <v>20.0</v>
      </c>
      <c r="Q164" s="199">
        <f t="shared" si="3"/>
        <v>14323.86807</v>
      </c>
      <c r="R164" s="162">
        <f t="shared" si="4"/>
        <v>584.4138171</v>
      </c>
    </row>
    <row r="165" ht="37.5" customHeight="1">
      <c r="A165" s="50" t="s">
        <v>2322</v>
      </c>
      <c r="B165" s="50" t="s">
        <v>1769</v>
      </c>
      <c r="C165" s="49"/>
      <c r="D165" s="194">
        <v>1241.911</v>
      </c>
      <c r="E165" s="128">
        <v>1.0</v>
      </c>
      <c r="F165" s="203"/>
      <c r="G165" s="197"/>
      <c r="H165" s="197"/>
      <c r="I165" s="197">
        <v>1.3</v>
      </c>
      <c r="J165" s="197">
        <v>1.65</v>
      </c>
      <c r="K165" s="162">
        <f t="shared" si="1"/>
        <v>2663.899095</v>
      </c>
      <c r="L165" s="198" t="s">
        <v>303</v>
      </c>
      <c r="M165" s="158" t="s">
        <v>303</v>
      </c>
      <c r="N165" s="158" t="s">
        <v>303</v>
      </c>
      <c r="O165" s="118">
        <v>1.283</v>
      </c>
      <c r="P165" s="118">
        <v>4.833</v>
      </c>
      <c r="Q165" s="199">
        <f t="shared" si="3"/>
        <v>2076.304829</v>
      </c>
      <c r="R165" s="162">
        <f t="shared" si="4"/>
        <v>551.18955</v>
      </c>
    </row>
    <row r="166" ht="37.5" customHeight="1">
      <c r="A166" s="50" t="s">
        <v>2323</v>
      </c>
      <c r="B166" s="117" t="s">
        <v>2169</v>
      </c>
      <c r="C166" s="49"/>
      <c r="D166" s="194">
        <v>1834.555</v>
      </c>
      <c r="E166" s="128">
        <v>1.0</v>
      </c>
      <c r="F166" s="158">
        <v>1.33</v>
      </c>
      <c r="G166" s="118">
        <v>1.22</v>
      </c>
      <c r="H166" s="158">
        <v>1.25</v>
      </c>
      <c r="I166" s="118">
        <v>1.3</v>
      </c>
      <c r="J166" s="158">
        <v>1.1</v>
      </c>
      <c r="K166" s="162">
        <f t="shared" si="1"/>
        <v>5320.938736</v>
      </c>
      <c r="L166" s="201">
        <v>0.183</v>
      </c>
      <c r="M166" s="118">
        <v>0.0</v>
      </c>
      <c r="N166" s="118">
        <v>0.416</v>
      </c>
      <c r="O166" s="118">
        <f>SUM(L166:N166)</f>
        <v>0.599</v>
      </c>
      <c r="P166" s="118">
        <f>9.717+L166</f>
        <v>9.9</v>
      </c>
      <c r="Q166" s="199">
        <f t="shared" si="3"/>
        <v>8883.036286</v>
      </c>
      <c r="R166" s="162">
        <f t="shared" si="4"/>
        <v>537.4685592</v>
      </c>
    </row>
    <row r="167" ht="37.5" customHeight="1">
      <c r="A167" s="50" t="s">
        <v>2324</v>
      </c>
      <c r="B167" s="50" t="s">
        <v>1769</v>
      </c>
      <c r="C167" s="49"/>
      <c r="D167" s="194">
        <v>2170.628</v>
      </c>
      <c r="E167" s="128">
        <v>1.0</v>
      </c>
      <c r="F167" s="203"/>
      <c r="G167" s="197"/>
      <c r="H167" s="197"/>
      <c r="I167" s="197">
        <v>1.3</v>
      </c>
      <c r="J167" s="197">
        <v>1.65</v>
      </c>
      <c r="K167" s="162">
        <f t="shared" si="1"/>
        <v>4655.99706</v>
      </c>
      <c r="L167" s="198" t="s">
        <v>303</v>
      </c>
      <c r="M167" s="158" t="s">
        <v>303</v>
      </c>
      <c r="N167" s="158" t="s">
        <v>303</v>
      </c>
      <c r="O167" s="118">
        <v>1.283</v>
      </c>
      <c r="P167" s="118">
        <v>9.5</v>
      </c>
      <c r="Q167" s="199">
        <f t="shared" si="3"/>
        <v>3628.992253</v>
      </c>
      <c r="R167" s="162">
        <f t="shared" si="4"/>
        <v>490.1049537</v>
      </c>
    </row>
    <row r="168" ht="37.5" customHeight="1">
      <c r="A168" s="50" t="s">
        <v>2325</v>
      </c>
      <c r="B168" s="49" t="s">
        <v>2169</v>
      </c>
      <c r="C168" s="167"/>
      <c r="D168" s="194">
        <v>1079.425</v>
      </c>
      <c r="E168" s="128">
        <v>1.0</v>
      </c>
      <c r="F168" s="197">
        <v>1.15</v>
      </c>
      <c r="G168" s="197">
        <v>1.22</v>
      </c>
      <c r="H168" s="197">
        <f t="shared" ref="H168:H169" si="58">1.25</f>
        <v>1.25</v>
      </c>
      <c r="I168" s="197">
        <v>1.3</v>
      </c>
      <c r="J168" s="197">
        <v>1.15</v>
      </c>
      <c r="K168" s="162">
        <f t="shared" si="1"/>
        <v>2830.097183</v>
      </c>
      <c r="L168" s="201">
        <v>0.167</v>
      </c>
      <c r="M168" s="118">
        <v>0.0</v>
      </c>
      <c r="N168" s="118">
        <v>0.283</v>
      </c>
      <c r="O168" s="118">
        <f t="shared" ref="O168:O169" si="59">SUM(L168:N168)</f>
        <v>0.45</v>
      </c>
      <c r="P168" s="118">
        <v>6.0</v>
      </c>
      <c r="Q168" s="199">
        <f t="shared" si="3"/>
        <v>6289.10485</v>
      </c>
      <c r="R168" s="162">
        <f t="shared" si="4"/>
        <v>471.6828638</v>
      </c>
    </row>
    <row r="169" ht="37.5" customHeight="1">
      <c r="A169" s="50" t="s">
        <v>2326</v>
      </c>
      <c r="B169" s="49" t="s">
        <v>2169</v>
      </c>
      <c r="C169" s="167"/>
      <c r="D169" s="194">
        <v>1948.335</v>
      </c>
      <c r="E169" s="128">
        <v>1.0</v>
      </c>
      <c r="F169" s="197"/>
      <c r="G169" s="197">
        <v>1.22</v>
      </c>
      <c r="H169" s="197">
        <f t="shared" si="58"/>
        <v>1.25</v>
      </c>
      <c r="I169" s="197">
        <v>1.3</v>
      </c>
      <c r="J169" s="197">
        <v>1.15</v>
      </c>
      <c r="K169" s="162">
        <f t="shared" si="1"/>
        <v>4441.960258</v>
      </c>
      <c r="L169" s="201">
        <v>0.3</v>
      </c>
      <c r="M169" s="118">
        <v>0.0</v>
      </c>
      <c r="N169" s="118">
        <v>0.266</v>
      </c>
      <c r="O169" s="118">
        <f t="shared" si="59"/>
        <v>0.566</v>
      </c>
      <c r="P169" s="118">
        <v>10.166</v>
      </c>
      <c r="Q169" s="199">
        <f t="shared" si="3"/>
        <v>7847.986322</v>
      </c>
      <c r="R169" s="162">
        <f t="shared" si="4"/>
        <v>436.9427757</v>
      </c>
    </row>
    <row r="170" ht="37.5" customHeight="1">
      <c r="A170" s="50" t="s">
        <v>2327</v>
      </c>
      <c r="B170" s="50" t="s">
        <v>1769</v>
      </c>
      <c r="C170" s="156"/>
      <c r="D170" s="194">
        <v>1263.349</v>
      </c>
      <c r="E170" s="128">
        <v>1.0</v>
      </c>
      <c r="F170" s="203"/>
      <c r="G170" s="197"/>
      <c r="H170" s="197"/>
      <c r="I170" s="197">
        <v>1.3</v>
      </c>
      <c r="J170" s="197">
        <v>1.65</v>
      </c>
      <c r="K170" s="162">
        <f t="shared" si="1"/>
        <v>2709.883605</v>
      </c>
      <c r="L170" s="198" t="s">
        <v>303</v>
      </c>
      <c r="M170" s="158" t="s">
        <v>303</v>
      </c>
      <c r="N170" s="158" t="s">
        <v>303</v>
      </c>
      <c r="O170" s="118">
        <v>1.283</v>
      </c>
      <c r="P170" s="118">
        <v>6.3</v>
      </c>
      <c r="Q170" s="199">
        <f t="shared" si="3"/>
        <v>2112.146224</v>
      </c>
      <c r="R170" s="162">
        <f t="shared" si="4"/>
        <v>430.1402548</v>
      </c>
    </row>
    <row r="171" ht="37.5" customHeight="1">
      <c r="A171" s="50" t="s">
        <v>2328</v>
      </c>
      <c r="B171" s="49" t="s">
        <v>2169</v>
      </c>
      <c r="C171" s="167"/>
      <c r="D171" s="194">
        <v>951.485</v>
      </c>
      <c r="E171" s="128">
        <v>1.0</v>
      </c>
      <c r="F171" s="197"/>
      <c r="G171" s="197">
        <v>1.22</v>
      </c>
      <c r="H171" s="197">
        <f>1.25</f>
        <v>1.25</v>
      </c>
      <c r="I171" s="197">
        <v>1.3</v>
      </c>
      <c r="J171" s="197">
        <v>1.15</v>
      </c>
      <c r="K171" s="162">
        <f t="shared" si="1"/>
        <v>2169.266864</v>
      </c>
      <c r="L171" s="201">
        <v>0.3</v>
      </c>
      <c r="M171" s="118">
        <v>0.0</v>
      </c>
      <c r="N171" s="118">
        <v>0.266</v>
      </c>
      <c r="O171" s="118">
        <f>SUM(L171:N171)</f>
        <v>0.566</v>
      </c>
      <c r="P171" s="118">
        <v>5.066</v>
      </c>
      <c r="Q171" s="199">
        <f t="shared" si="3"/>
        <v>3832.626969</v>
      </c>
      <c r="R171" s="162">
        <f t="shared" si="4"/>
        <v>428.2011181</v>
      </c>
    </row>
    <row r="172" ht="37.5" customHeight="1">
      <c r="A172" s="50" t="s">
        <v>2329</v>
      </c>
      <c r="B172" s="50" t="s">
        <v>1769</v>
      </c>
      <c r="C172" s="49"/>
      <c r="D172" s="194">
        <v>1629.75</v>
      </c>
      <c r="E172" s="128">
        <v>1.0</v>
      </c>
      <c r="F172" s="203"/>
      <c r="G172" s="197"/>
      <c r="H172" s="197"/>
      <c r="I172" s="197">
        <v>1.3</v>
      </c>
      <c r="J172" s="197">
        <v>1.65</v>
      </c>
      <c r="K172" s="162">
        <f t="shared" si="1"/>
        <v>3495.81375</v>
      </c>
      <c r="L172" s="198" t="s">
        <v>303</v>
      </c>
      <c r="M172" s="158" t="s">
        <v>303</v>
      </c>
      <c r="N172" s="158" t="s">
        <v>303</v>
      </c>
      <c r="O172" s="118">
        <v>1.283</v>
      </c>
      <c r="P172" s="118">
        <v>9.417</v>
      </c>
      <c r="Q172" s="199">
        <f t="shared" si="3"/>
        <v>2724.718433</v>
      </c>
      <c r="R172" s="162">
        <f t="shared" si="4"/>
        <v>371.2237177</v>
      </c>
    </row>
    <row r="173" ht="37.5" customHeight="1">
      <c r="A173" s="50" t="s">
        <v>2330</v>
      </c>
      <c r="B173" s="50" t="s">
        <v>1769</v>
      </c>
      <c r="C173" s="49"/>
      <c r="D173" s="194">
        <v>911.376</v>
      </c>
      <c r="E173" s="128">
        <v>1.0</v>
      </c>
      <c r="F173" s="203"/>
      <c r="G173" s="197"/>
      <c r="H173" s="196">
        <v>1.1</v>
      </c>
      <c r="I173" s="197">
        <v>1.3</v>
      </c>
      <c r="J173" s="197">
        <v>1.65</v>
      </c>
      <c r="K173" s="162">
        <f t="shared" si="1"/>
        <v>2150.391672</v>
      </c>
      <c r="L173" s="198" t="s">
        <v>303</v>
      </c>
      <c r="M173" s="158" t="s">
        <v>303</v>
      </c>
      <c r="N173" s="158" t="s">
        <v>303</v>
      </c>
      <c r="O173" s="118">
        <v>1.283</v>
      </c>
      <c r="P173" s="118">
        <v>7.2</v>
      </c>
      <c r="Q173" s="199">
        <f t="shared" si="3"/>
        <v>1676.065216</v>
      </c>
      <c r="R173" s="162">
        <f t="shared" si="4"/>
        <v>298.66551</v>
      </c>
    </row>
    <row r="174" ht="37.5" customHeight="1">
      <c r="A174" s="50" t="s">
        <v>2331</v>
      </c>
      <c r="B174" s="49" t="s">
        <v>2169</v>
      </c>
      <c r="C174" s="49"/>
      <c r="D174" s="200" t="s">
        <v>1047</v>
      </c>
      <c r="E174" s="128">
        <v>1.0</v>
      </c>
      <c r="F174" s="197"/>
      <c r="G174" s="197">
        <v>1.22</v>
      </c>
      <c r="H174" s="197">
        <f>1.25</f>
        <v>1.25</v>
      </c>
      <c r="I174" s="197">
        <v>1.3</v>
      </c>
      <c r="J174" s="197">
        <v>1.15</v>
      </c>
      <c r="K174" s="162">
        <f t="shared" si="1"/>
        <v>2.279875</v>
      </c>
      <c r="L174" s="201">
        <v>0.55</v>
      </c>
      <c r="M174" s="118">
        <v>0.0</v>
      </c>
      <c r="N174" s="118">
        <v>1.183</v>
      </c>
      <c r="O174" s="118">
        <f>SUM(L174:N174)</f>
        <v>1.733</v>
      </c>
      <c r="P174" s="118">
        <f>O174</f>
        <v>1.733</v>
      </c>
      <c r="Q174" s="199">
        <f t="shared" si="3"/>
        <v>1.315565493</v>
      </c>
      <c r="R174" s="162">
        <f t="shared" si="4"/>
        <v>1.315565493</v>
      </c>
    </row>
  </sheetData>
  <autoFilter ref="$A$1:$R$174">
    <sortState ref="A1:R174">
      <sortCondition descending="1" ref="R1:R174"/>
      <sortCondition descending="1" ref="Q1:Q174"/>
      <sortCondition ref="B1:B174"/>
      <sortCondition ref="A1:A174"/>
      <sortCondition descending="1" ref="K1:K174"/>
    </sortState>
  </autoFilter>
  <customSheetViews>
    <customSheetView guid="{42FF7369-DFF1-4459-B38A-6794E95557C7}" filter="1" showAutoFilter="1">
      <autoFilter ref="$A$1:$R$174">
        <sortState ref="A1:R174">
          <sortCondition descending="1" ref="R1:R174"/>
          <sortCondition descending="1" ref="Q1:Q174"/>
          <sortCondition ref="A1:A174"/>
        </sortState>
      </autoFilter>
    </customSheetView>
    <customSheetView guid="{35F7EC9E-5013-4F85-8863-F5A487ACE091}" filter="1" showAutoFilter="1">
      <autoFilter ref="$A$1:$R$174">
        <sortState ref="A1:R174">
          <sortCondition descending="1" ref="Q1:Q174"/>
          <sortCondition descending="1" ref="R1:R174"/>
          <sortCondition ref="A1:A174"/>
        </sortState>
      </autoFilter>
    </customSheetView>
  </customSheetViews>
  <conditionalFormatting sqref="C27">
    <cfRule type="containsText" dxfId="4" priority="1" operator="containsText" text="~?">
      <formula>NOT(ISERROR(SEARCH(("~?"),(C27))))</formula>
    </cfRule>
  </conditionalFormatting>
  <conditionalFormatting sqref="B2:B7 C2:C3 C5:C7 B9:B23 C9:C27 C29:C31 C41:C45 C47 C50:C174 B53 B56:B174 A58:A61 E107:G111 H107:H110 D108:D111">
    <cfRule type="containsText" dxfId="4" priority="2" operator="containsText" text="!">
      <formula>NOT(ISERROR(SEARCH(("!"),(B2))))</formula>
    </cfRule>
  </conditionalFormatting>
  <conditionalFormatting sqref="Q2:Q174">
    <cfRule type="colorScale" priority="3">
      <colorScale>
        <cfvo type="min"/>
        <cfvo type="percentile" val="50"/>
        <cfvo type="max"/>
        <color rgb="FFE67C73"/>
        <color rgb="FFFFD666"/>
        <color rgb="FF57BB8A"/>
      </colorScale>
    </cfRule>
  </conditionalFormatting>
  <conditionalFormatting sqref="R2:R174">
    <cfRule type="colorScale" priority="4">
      <colorScale>
        <cfvo type="min"/>
        <cfvo type="percentile" val="50"/>
        <cfvo type="max"/>
        <color rgb="FFE67C73"/>
        <color rgb="FFFFD666"/>
        <color rgb="FF57BB8A"/>
      </colorScale>
    </cfRule>
  </conditionalFormatting>
  <conditionalFormatting sqref="K2:K174">
    <cfRule type="colorScale" priority="5">
      <colorScale>
        <cfvo type="min"/>
        <cfvo type="percentile" val="50"/>
        <cfvo type="max"/>
        <color rgb="FFE67C73"/>
        <color rgb="FFFFD666"/>
        <color rgb="FF57BB8A"/>
      </colorScale>
    </cfRule>
  </conditionalFormatting>
  <conditionalFormatting sqref="A1:R174">
    <cfRule type="containsText" dxfId="4" priority="6" operator="containsText" text="~?">
      <formula>NOT(ISERROR(SEARCH(("~?"),(A1))))</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60.13"/>
    <col customWidth="1" min="2" max="3" width="9.0"/>
    <col customWidth="1" min="4" max="4" width="6.38"/>
    <col customWidth="1" min="5" max="5" width="4.38"/>
    <col customWidth="1" min="6" max="6" width="14.13"/>
    <col customWidth="1" min="7" max="7" width="13.13"/>
    <col customWidth="1" min="8" max="9" width="7.63"/>
    <col customWidth="1" min="10" max="10" width="8.13"/>
    <col customWidth="1" min="11" max="15" width="7.63"/>
    <col customWidth="1" min="16" max="16" width="8.25"/>
    <col customWidth="1" hidden="1" min="17" max="18" width="9.13"/>
    <col customWidth="1" min="19" max="19" width="9.13"/>
    <col customWidth="1" min="20" max="20" width="8.88"/>
    <col customWidth="1" hidden="1" min="21" max="22" width="8.88"/>
  </cols>
  <sheetData>
    <row r="1" ht="30.0" customHeight="1">
      <c r="A1" s="153" t="s">
        <v>295</v>
      </c>
      <c r="B1" s="153" t="s">
        <v>636</v>
      </c>
      <c r="C1" s="153" t="s">
        <v>1737</v>
      </c>
      <c r="D1" s="154" t="s">
        <v>1638</v>
      </c>
      <c r="E1" s="155" t="s">
        <v>292</v>
      </c>
      <c r="F1" s="153" t="s">
        <v>300</v>
      </c>
      <c r="G1" s="155" t="s">
        <v>1738</v>
      </c>
      <c r="H1" s="155" t="s">
        <v>2332</v>
      </c>
      <c r="I1" s="154" t="s">
        <v>1740</v>
      </c>
      <c r="J1" s="155" t="s">
        <v>1347</v>
      </c>
      <c r="K1" s="155" t="s">
        <v>1741</v>
      </c>
      <c r="L1" s="155" t="s">
        <v>1742</v>
      </c>
      <c r="M1" s="155" t="s">
        <v>311</v>
      </c>
      <c r="N1" s="155" t="s">
        <v>1743</v>
      </c>
      <c r="O1" s="155">
        <v>200.0</v>
      </c>
      <c r="P1" s="154" t="s">
        <v>1744</v>
      </c>
      <c r="Q1" s="155" t="s">
        <v>2333</v>
      </c>
      <c r="R1" s="155" t="s">
        <v>2334</v>
      </c>
      <c r="S1" s="155" t="s">
        <v>1747</v>
      </c>
      <c r="T1" s="155" t="s">
        <v>1675</v>
      </c>
      <c r="U1" s="155" t="s">
        <v>2335</v>
      </c>
      <c r="V1" s="155" t="s">
        <v>2336</v>
      </c>
    </row>
    <row r="2" ht="37.5" customHeight="1">
      <c r="A2" s="169" t="s">
        <v>2337</v>
      </c>
      <c r="B2" s="170" t="s">
        <v>1751</v>
      </c>
      <c r="C2" s="170" t="s">
        <v>1752</v>
      </c>
      <c r="D2" s="210"/>
      <c r="E2" s="130">
        <v>10.0</v>
      </c>
      <c r="F2" s="169"/>
      <c r="G2" s="171" t="s">
        <v>1753</v>
      </c>
      <c r="H2" s="172">
        <v>0.95</v>
      </c>
      <c r="I2" s="173">
        <v>9.35</v>
      </c>
      <c r="J2" s="184">
        <f>1659.403*1.1+6*127.172</f>
        <v>2588.3753</v>
      </c>
      <c r="K2" s="172">
        <f>1.3*1.06</f>
        <v>1.378</v>
      </c>
      <c r="L2" s="175">
        <v>1.22</v>
      </c>
      <c r="M2" s="172">
        <f>1.25*1.75</f>
        <v>2.1875</v>
      </c>
      <c r="N2" s="175">
        <v>1.3</v>
      </c>
      <c r="O2" s="172">
        <v>1.1</v>
      </c>
      <c r="P2" s="176">
        <f t="shared" ref="P2:P17" si="1">PRODUCT(J2:O2)</f>
        <v>13611.95154</v>
      </c>
      <c r="Q2" s="177"/>
      <c r="R2" s="177"/>
      <c r="S2" s="177">
        <f t="shared" ref="S2:S18" si="2">IFERROR(P2*E2,"INF")</f>
        <v>136119.5154</v>
      </c>
      <c r="T2" s="177">
        <f t="shared" ref="T2:T233" si="3">IFERROR(S2/I2,P2/H2)</f>
        <v>14558.23694</v>
      </c>
      <c r="U2" s="163"/>
      <c r="V2" s="163"/>
    </row>
    <row r="3" ht="37.5" customHeight="1">
      <c r="A3" s="169" t="s">
        <v>2338</v>
      </c>
      <c r="B3" s="170" t="s">
        <v>1751</v>
      </c>
      <c r="C3" s="170" t="s">
        <v>1752</v>
      </c>
      <c r="D3" s="182"/>
      <c r="E3" s="130">
        <v>14.0</v>
      </c>
      <c r="F3" s="170"/>
      <c r="G3" s="183" t="s">
        <v>1753</v>
      </c>
      <c r="H3" s="172">
        <v>1.333</v>
      </c>
      <c r="I3" s="173">
        <f>H3*(E3-1)</f>
        <v>17.329</v>
      </c>
      <c r="J3" s="184">
        <v>2069.603</v>
      </c>
      <c r="K3" s="175"/>
      <c r="L3" s="175">
        <v>1.22</v>
      </c>
      <c r="M3" s="172">
        <f>1.25*2.5*1.25</f>
        <v>3.90625</v>
      </c>
      <c r="N3" s="175">
        <v>1.3</v>
      </c>
      <c r="O3" s="172">
        <v>1.1</v>
      </c>
      <c r="P3" s="176">
        <f t="shared" si="1"/>
        <v>14104.02107</v>
      </c>
      <c r="Q3" s="177">
        <v>3874920.363083247</v>
      </c>
      <c r="R3" s="177">
        <v>175335.76303544102</v>
      </c>
      <c r="S3" s="177">
        <f t="shared" si="2"/>
        <v>197456.295</v>
      </c>
      <c r="T3" s="177">
        <f t="shared" si="3"/>
        <v>11394.55796</v>
      </c>
      <c r="U3" s="178">
        <f>IFERROR(IF(ISBLANK(Q3),"N/A",(S3/Q3)*(104237/2032)),"N/A")</f>
        <v>2.614004931</v>
      </c>
      <c r="V3" s="179">
        <f>IF(ISBLANK(R3),"N/A",(T3/R3)*(104237/2032))</f>
        <v>3.333689709</v>
      </c>
    </row>
    <row r="4" ht="37.5" customHeight="1">
      <c r="A4" s="169" t="s">
        <v>2339</v>
      </c>
      <c r="B4" s="170" t="s">
        <v>1751</v>
      </c>
      <c r="C4" s="170" t="s">
        <v>1752</v>
      </c>
      <c r="D4" s="210"/>
      <c r="E4" s="130">
        <v>10.0</v>
      </c>
      <c r="F4" s="169"/>
      <c r="G4" s="171" t="s">
        <v>1753</v>
      </c>
      <c r="H4" s="172">
        <v>0.95</v>
      </c>
      <c r="I4" s="173">
        <v>9.35</v>
      </c>
      <c r="J4" s="184">
        <f>1659.403*1.1</f>
        <v>1825.3433</v>
      </c>
      <c r="K4" s="172">
        <f>1.3*1.06</f>
        <v>1.378</v>
      </c>
      <c r="L4" s="175">
        <v>1.22</v>
      </c>
      <c r="M4" s="172">
        <f>1.25*1.75</f>
        <v>2.1875</v>
      </c>
      <c r="N4" s="175">
        <v>1.3</v>
      </c>
      <c r="O4" s="172">
        <v>1.1</v>
      </c>
      <c r="P4" s="176">
        <f t="shared" si="1"/>
        <v>9599.258864</v>
      </c>
      <c r="Q4" s="177"/>
      <c r="R4" s="177"/>
      <c r="S4" s="177">
        <f t="shared" si="2"/>
        <v>95992.58864</v>
      </c>
      <c r="T4" s="177">
        <f t="shared" si="3"/>
        <v>10266.58702</v>
      </c>
      <c r="U4" s="164"/>
      <c r="V4" s="163"/>
    </row>
    <row r="5" ht="37.5" customHeight="1">
      <c r="A5" s="169" t="s">
        <v>2340</v>
      </c>
      <c r="B5" s="170" t="s">
        <v>1751</v>
      </c>
      <c r="C5" s="170" t="s">
        <v>1761</v>
      </c>
      <c r="D5" s="182"/>
      <c r="E5" s="130">
        <v>9.0</v>
      </c>
      <c r="F5" s="170" t="s">
        <v>1764</v>
      </c>
      <c r="G5" s="171" t="s">
        <v>2341</v>
      </c>
      <c r="H5" s="175">
        <v>1.166</v>
      </c>
      <c r="I5" s="173">
        <f>H5*(E5-1)</f>
        <v>9.328</v>
      </c>
      <c r="J5" s="174">
        <f>(2312.279/1.26*1.23726+2312.279*0.26)*1.05</f>
        <v>3015.32743</v>
      </c>
      <c r="K5" s="172">
        <f>1.35*1.15</f>
        <v>1.5525</v>
      </c>
      <c r="L5" s="175">
        <v>1.22</v>
      </c>
      <c r="M5" s="172">
        <v>1.25</v>
      </c>
      <c r="N5" s="175">
        <v>1.3</v>
      </c>
      <c r="O5" s="172">
        <v>1.1</v>
      </c>
      <c r="P5" s="176">
        <f t="shared" si="1"/>
        <v>10208.73589</v>
      </c>
      <c r="Q5" s="177"/>
      <c r="R5" s="177"/>
      <c r="S5" s="177">
        <f t="shared" si="2"/>
        <v>91878.62303</v>
      </c>
      <c r="T5" s="177">
        <f t="shared" si="3"/>
        <v>9849.76662</v>
      </c>
      <c r="U5" s="178" t="str">
        <f t="shared" ref="U5:U6" si="4">IFERROR(IF(ISBLANK(Q5),"N/A",(S5/Q5)*(104237/2032)),"N/A")</f>
        <v>N/A</v>
      </c>
      <c r="V5" s="179" t="str">
        <f t="shared" ref="V5:V6" si="5">IF(ISBLANK(R5),"N/A",(T5/R5)*(104237/2032))</f>
        <v>N/A</v>
      </c>
    </row>
    <row r="6" ht="37.5" customHeight="1">
      <c r="A6" s="169" t="s">
        <v>2342</v>
      </c>
      <c r="B6" s="170" t="s">
        <v>1756</v>
      </c>
      <c r="C6" s="170" t="s">
        <v>1756</v>
      </c>
      <c r="D6" s="182"/>
      <c r="E6" s="204" t="s">
        <v>1757</v>
      </c>
      <c r="F6" s="169"/>
      <c r="G6" s="183" t="s">
        <v>582</v>
      </c>
      <c r="H6" s="172">
        <v>1.467</v>
      </c>
      <c r="I6" s="173" t="s">
        <v>582</v>
      </c>
      <c r="J6" s="184">
        <v>518.05</v>
      </c>
      <c r="K6" s="211"/>
      <c r="L6" s="175"/>
      <c r="M6" s="175">
        <f>(1+4+2)*1.85</f>
        <v>12.95</v>
      </c>
      <c r="N6" s="175">
        <v>1.3</v>
      </c>
      <c r="O6" s="172">
        <f>1.3*1.1</f>
        <v>1.43</v>
      </c>
      <c r="P6" s="176">
        <f t="shared" si="1"/>
        <v>12471.5616</v>
      </c>
      <c r="Q6" s="177" t="s">
        <v>1757</v>
      </c>
      <c r="R6" s="177">
        <v>189567.19094036697</v>
      </c>
      <c r="S6" s="177" t="str">
        <f t="shared" si="2"/>
        <v>INF</v>
      </c>
      <c r="T6" s="177">
        <f t="shared" si="3"/>
        <v>8501.405319</v>
      </c>
      <c r="U6" s="179" t="str">
        <f t="shared" si="4"/>
        <v>N/A</v>
      </c>
      <c r="V6" s="179">
        <f t="shared" si="5"/>
        <v>2.300518594</v>
      </c>
    </row>
    <row r="7" ht="37.5" customHeight="1">
      <c r="A7" s="169" t="s">
        <v>2343</v>
      </c>
      <c r="B7" s="170" t="s">
        <v>1751</v>
      </c>
      <c r="C7" s="170" t="s">
        <v>1752</v>
      </c>
      <c r="D7" s="210"/>
      <c r="E7" s="130">
        <v>10.0</v>
      </c>
      <c r="F7" s="169"/>
      <c r="G7" s="171" t="s">
        <v>1753</v>
      </c>
      <c r="H7" s="172">
        <v>0.95</v>
      </c>
      <c r="I7" s="173">
        <v>9.35</v>
      </c>
      <c r="J7" s="184">
        <f>1659.403*1.1+6*127.172</f>
        <v>2588.3753</v>
      </c>
      <c r="K7" s="172">
        <f>1.3*1.06</f>
        <v>1.378</v>
      </c>
      <c r="L7" s="175">
        <v>1.22</v>
      </c>
      <c r="M7" s="172">
        <f>1.25</f>
        <v>1.25</v>
      </c>
      <c r="N7" s="175">
        <v>1.3</v>
      </c>
      <c r="O7" s="172">
        <v>1.1</v>
      </c>
      <c r="P7" s="176">
        <f t="shared" si="1"/>
        <v>7778.258022</v>
      </c>
      <c r="Q7" s="177"/>
      <c r="R7" s="177"/>
      <c r="S7" s="177">
        <f t="shared" si="2"/>
        <v>77782.58022</v>
      </c>
      <c r="T7" s="177">
        <f t="shared" si="3"/>
        <v>8318.992537</v>
      </c>
      <c r="U7" s="163"/>
      <c r="V7" s="163"/>
    </row>
    <row r="8" ht="37.5" customHeight="1">
      <c r="A8" s="169" t="s">
        <v>2344</v>
      </c>
      <c r="B8" s="170" t="s">
        <v>1751</v>
      </c>
      <c r="C8" s="170" t="s">
        <v>1761</v>
      </c>
      <c r="D8" s="182"/>
      <c r="E8" s="130">
        <v>9.0</v>
      </c>
      <c r="F8" s="169"/>
      <c r="G8" s="183" t="s">
        <v>1753</v>
      </c>
      <c r="H8" s="175">
        <v>1.083</v>
      </c>
      <c r="I8" s="173">
        <f>H8*(E8-1)</f>
        <v>8.664</v>
      </c>
      <c r="J8" s="174">
        <f>2312.279*1.05</f>
        <v>2427.89295</v>
      </c>
      <c r="K8" s="175">
        <f>(0.24666+(3.5/4.5))/1.24666*1.418+(1/4.5)/1.24666*1.47*1.15</f>
        <v>1.466574235</v>
      </c>
      <c r="L8" s="175">
        <v>1.22</v>
      </c>
      <c r="M8" s="172">
        <v>1.25</v>
      </c>
      <c r="N8" s="175">
        <v>1.3</v>
      </c>
      <c r="O8" s="172">
        <v>1.1</v>
      </c>
      <c r="P8" s="176">
        <f t="shared" si="1"/>
        <v>7764.964349</v>
      </c>
      <c r="Q8" s="177">
        <v>3653747.5851445636</v>
      </c>
      <c r="R8" s="177">
        <v>337372.8148794611</v>
      </c>
      <c r="S8" s="177">
        <f t="shared" si="2"/>
        <v>69884.67914</v>
      </c>
      <c r="T8" s="177">
        <f t="shared" si="3"/>
        <v>8066.0987</v>
      </c>
      <c r="U8" s="179">
        <f t="shared" ref="U8:U12" si="6">IFERROR(IF(ISBLANK(Q8),"N/A",(S8/Q8)*(104237/2032)),"N/A")</f>
        <v>0.9811640659</v>
      </c>
      <c r="V8" s="179">
        <f t="shared" ref="V8:V12" si="7">IF(ISBLANK(R8),"N/A",(T8/R8)*(104237/2032))</f>
        <v>1.226455082</v>
      </c>
    </row>
    <row r="9" ht="37.5" customHeight="1">
      <c r="A9" s="169" t="s">
        <v>2345</v>
      </c>
      <c r="B9" s="170" t="s">
        <v>1751</v>
      </c>
      <c r="C9" s="170" t="s">
        <v>1761</v>
      </c>
      <c r="D9" s="182"/>
      <c r="E9" s="130">
        <v>9.0</v>
      </c>
      <c r="F9" s="170" t="s">
        <v>1764</v>
      </c>
      <c r="G9" s="171" t="s">
        <v>1765</v>
      </c>
      <c r="H9" s="175">
        <v>1.166</v>
      </c>
      <c r="I9" s="173">
        <v>12.7</v>
      </c>
      <c r="J9" s="174">
        <f>(2312.279/1.26*1.23726+2312.279*0.26)*1.05</f>
        <v>3015.32743</v>
      </c>
      <c r="K9" s="172">
        <f t="shared" ref="K9:K10" si="8">1.35*1.15</f>
        <v>1.5525</v>
      </c>
      <c r="L9" s="175">
        <v>1.22</v>
      </c>
      <c r="M9" s="172">
        <v>1.25</v>
      </c>
      <c r="N9" s="175">
        <v>1.3</v>
      </c>
      <c r="O9" s="172">
        <v>1.1</v>
      </c>
      <c r="P9" s="176">
        <f t="shared" si="1"/>
        <v>10208.73589</v>
      </c>
      <c r="Q9" s="177"/>
      <c r="R9" s="177"/>
      <c r="S9" s="177">
        <f t="shared" si="2"/>
        <v>91878.62303</v>
      </c>
      <c r="T9" s="177">
        <f t="shared" si="3"/>
        <v>7234.537246</v>
      </c>
      <c r="U9" s="179" t="str">
        <f t="shared" si="6"/>
        <v>N/A</v>
      </c>
      <c r="V9" s="179" t="str">
        <f t="shared" si="7"/>
        <v>N/A</v>
      </c>
    </row>
    <row r="10" ht="37.5" customHeight="1">
      <c r="A10" s="169" t="s">
        <v>2346</v>
      </c>
      <c r="B10" s="170" t="s">
        <v>1751</v>
      </c>
      <c r="C10" s="170" t="s">
        <v>1761</v>
      </c>
      <c r="D10" s="182"/>
      <c r="E10" s="130">
        <v>9.0</v>
      </c>
      <c r="F10" s="170" t="s">
        <v>1764</v>
      </c>
      <c r="G10" s="171" t="s">
        <v>1765</v>
      </c>
      <c r="H10" s="175">
        <v>1.166</v>
      </c>
      <c r="I10" s="173">
        <f>H10*(E10-5)+1.45*4</f>
        <v>10.464</v>
      </c>
      <c r="J10" s="174">
        <f>2312.279*1.05</f>
        <v>2427.89295</v>
      </c>
      <c r="K10" s="172">
        <f t="shared" si="8"/>
        <v>1.5525</v>
      </c>
      <c r="L10" s="175">
        <v>1.22</v>
      </c>
      <c r="M10" s="172">
        <v>1.25</v>
      </c>
      <c r="N10" s="175">
        <v>1.3</v>
      </c>
      <c r="O10" s="172">
        <v>1.1</v>
      </c>
      <c r="P10" s="176">
        <f t="shared" si="1"/>
        <v>8219.909272</v>
      </c>
      <c r="Q10" s="177"/>
      <c r="R10" s="177"/>
      <c r="S10" s="177">
        <f t="shared" si="2"/>
        <v>73979.18345</v>
      </c>
      <c r="T10" s="177">
        <f t="shared" si="3"/>
        <v>7069.876094</v>
      </c>
      <c r="U10" s="178" t="str">
        <f t="shared" si="6"/>
        <v>N/A</v>
      </c>
      <c r="V10" s="179" t="str">
        <f t="shared" si="7"/>
        <v>N/A</v>
      </c>
    </row>
    <row r="11" ht="37.5" customHeight="1">
      <c r="A11" s="169" t="s">
        <v>2347</v>
      </c>
      <c r="B11" s="170" t="s">
        <v>1751</v>
      </c>
      <c r="C11" s="170" t="s">
        <v>1761</v>
      </c>
      <c r="D11" s="182"/>
      <c r="E11" s="130">
        <v>20.0</v>
      </c>
      <c r="F11" s="170" t="s">
        <v>1983</v>
      </c>
      <c r="G11" s="183" t="s">
        <v>2348</v>
      </c>
      <c r="H11" s="175">
        <v>1.283</v>
      </c>
      <c r="I11" s="173">
        <f>1.283*2+1.283*0.6*17</f>
        <v>15.6526</v>
      </c>
      <c r="J11" s="184">
        <v>1629.71</v>
      </c>
      <c r="K11" s="175">
        <f>(3*1+17*1.3)/20*1.15</f>
        <v>1.44325</v>
      </c>
      <c r="L11" s="175">
        <v>1.22</v>
      </c>
      <c r="M11" s="172">
        <v>1.25</v>
      </c>
      <c r="N11" s="175">
        <v>1.3</v>
      </c>
      <c r="O11" s="172">
        <v>1.1</v>
      </c>
      <c r="P11" s="176">
        <f t="shared" si="1"/>
        <v>5129.296187</v>
      </c>
      <c r="Q11" s="177">
        <v>2505848.6390009834</v>
      </c>
      <c r="R11" s="177">
        <v>139508.33086521452</v>
      </c>
      <c r="S11" s="177">
        <f t="shared" si="2"/>
        <v>102585.9237</v>
      </c>
      <c r="T11" s="177">
        <f t="shared" si="3"/>
        <v>6553.922271</v>
      </c>
      <c r="U11" s="178">
        <f t="shared" si="6"/>
        <v>2.100057271</v>
      </c>
      <c r="V11" s="179">
        <f t="shared" si="7"/>
        <v>2.409901787</v>
      </c>
    </row>
    <row r="12" ht="37.5" customHeight="1">
      <c r="A12" s="170" t="s">
        <v>2349</v>
      </c>
      <c r="B12" s="169" t="s">
        <v>1756</v>
      </c>
      <c r="C12" s="169" t="s">
        <v>1756</v>
      </c>
      <c r="D12" s="210"/>
      <c r="E12" s="204" t="s">
        <v>1757</v>
      </c>
      <c r="F12" s="169"/>
      <c r="G12" s="183" t="s">
        <v>582</v>
      </c>
      <c r="H12" s="175">
        <v>1.5</v>
      </c>
      <c r="I12" s="173" t="s">
        <v>582</v>
      </c>
      <c r="J12" s="184">
        <v>778.076</v>
      </c>
      <c r="K12" s="211"/>
      <c r="L12" s="175"/>
      <c r="M12" s="175">
        <f>(1+1.5+1.65+4+0.3+0.65/2)*1.1</f>
        <v>9.6525</v>
      </c>
      <c r="N12" s="175">
        <v>1.3</v>
      </c>
      <c r="O12" s="175"/>
      <c r="P12" s="176">
        <f t="shared" si="1"/>
        <v>9763.492167</v>
      </c>
      <c r="Q12" s="177"/>
      <c r="R12" s="177"/>
      <c r="S12" s="177" t="str">
        <f t="shared" si="2"/>
        <v>INF</v>
      </c>
      <c r="T12" s="177">
        <f t="shared" si="3"/>
        <v>6508.994778</v>
      </c>
      <c r="U12" s="178" t="str">
        <f t="shared" si="6"/>
        <v>N/A</v>
      </c>
      <c r="V12" s="179" t="str">
        <f t="shared" si="7"/>
        <v>N/A</v>
      </c>
    </row>
    <row r="13" ht="37.5" customHeight="1">
      <c r="A13" s="169" t="s">
        <v>2350</v>
      </c>
      <c r="B13" s="170" t="s">
        <v>1751</v>
      </c>
      <c r="C13" s="170" t="s">
        <v>1752</v>
      </c>
      <c r="D13" s="210"/>
      <c r="E13" s="130">
        <v>10.0</v>
      </c>
      <c r="F13" s="169"/>
      <c r="G13" s="171" t="s">
        <v>1753</v>
      </c>
      <c r="H13" s="172">
        <v>0.95</v>
      </c>
      <c r="I13" s="173">
        <v>9.35</v>
      </c>
      <c r="J13" s="184">
        <f>1659.403*1.1</f>
        <v>1825.3433</v>
      </c>
      <c r="K13" s="172">
        <f>1.3*1.06</f>
        <v>1.378</v>
      </c>
      <c r="L13" s="175">
        <v>1.22</v>
      </c>
      <c r="M13" s="172">
        <f>1.25</f>
        <v>1.25</v>
      </c>
      <c r="N13" s="175">
        <v>1.3</v>
      </c>
      <c r="O13" s="172">
        <v>1.1</v>
      </c>
      <c r="P13" s="176">
        <f t="shared" si="1"/>
        <v>5485.290779</v>
      </c>
      <c r="Q13" s="177"/>
      <c r="R13" s="177"/>
      <c r="S13" s="177">
        <f t="shared" si="2"/>
        <v>54852.90779</v>
      </c>
      <c r="T13" s="177">
        <f t="shared" si="3"/>
        <v>5866.621154</v>
      </c>
      <c r="U13" s="164"/>
      <c r="V13" s="163"/>
    </row>
    <row r="14" ht="37.5" customHeight="1">
      <c r="A14" s="169" t="s">
        <v>2351</v>
      </c>
      <c r="B14" s="170" t="s">
        <v>1751</v>
      </c>
      <c r="C14" s="170" t="s">
        <v>1777</v>
      </c>
      <c r="D14" s="210"/>
      <c r="E14" s="130">
        <v>30.0</v>
      </c>
      <c r="F14" s="169"/>
      <c r="G14" s="171" t="s">
        <v>1753</v>
      </c>
      <c r="H14" s="172">
        <v>1.367</v>
      </c>
      <c r="I14" s="173">
        <f>H14*(E14-1)</f>
        <v>39.643</v>
      </c>
      <c r="J14" s="174">
        <v>1890.733</v>
      </c>
      <c r="K14" s="175">
        <f>1.333*1.135*1.15*1.06</f>
        <v>1.844292145</v>
      </c>
      <c r="L14" s="175">
        <v>1.22</v>
      </c>
      <c r="M14" s="172">
        <v>1.25</v>
      </c>
      <c r="N14" s="175">
        <v>1.3</v>
      </c>
      <c r="O14" s="172">
        <v>1.1</v>
      </c>
      <c r="P14" s="176">
        <f t="shared" si="1"/>
        <v>7604.414862</v>
      </c>
      <c r="Q14" s="177"/>
      <c r="R14" s="177"/>
      <c r="S14" s="177">
        <f t="shared" si="2"/>
        <v>228132.4459</v>
      </c>
      <c r="T14" s="177">
        <f t="shared" si="3"/>
        <v>5754.67159</v>
      </c>
      <c r="U14" s="178"/>
      <c r="V14" s="179"/>
    </row>
    <row r="15" ht="37.5" customHeight="1">
      <c r="A15" s="169" t="s">
        <v>2352</v>
      </c>
      <c r="B15" s="170" t="s">
        <v>1751</v>
      </c>
      <c r="C15" s="170" t="s">
        <v>1761</v>
      </c>
      <c r="D15" s="210"/>
      <c r="E15" s="130">
        <v>9.0</v>
      </c>
      <c r="F15" s="169" t="s">
        <v>1781</v>
      </c>
      <c r="G15" s="171" t="s">
        <v>1782</v>
      </c>
      <c r="H15" s="172">
        <v>1.166</v>
      </c>
      <c r="I15" s="173">
        <f>H15*(E15-5)+2.15*4</f>
        <v>13.264</v>
      </c>
      <c r="J15" s="174">
        <f>2312.279*1.05</f>
        <v>2427.89295</v>
      </c>
      <c r="K15" s="172">
        <f>1.35*1.15</f>
        <v>1.5525</v>
      </c>
      <c r="L15" s="175">
        <v>1.22</v>
      </c>
      <c r="M15" s="172">
        <v>1.25</v>
      </c>
      <c r="N15" s="175">
        <v>1.3</v>
      </c>
      <c r="O15" s="172">
        <v>1.1</v>
      </c>
      <c r="P15" s="176">
        <f t="shared" si="1"/>
        <v>8219.909272</v>
      </c>
      <c r="Q15" s="177"/>
      <c r="R15" s="177"/>
      <c r="S15" s="177">
        <f t="shared" si="2"/>
        <v>73979.18345</v>
      </c>
      <c r="T15" s="177">
        <f t="shared" si="3"/>
        <v>5577.441454</v>
      </c>
      <c r="U15" s="178" t="str">
        <f t="shared" ref="U15:U21" si="9">IFERROR(IF(ISBLANK(Q15),"N/A",(S15/Q15)*(104237/2032)),"N/A")</f>
        <v>N/A</v>
      </c>
      <c r="V15" s="179" t="str">
        <f t="shared" ref="V15:V21" si="10">IF(ISBLANK(R15),"N/A",(T15/R15)*(104237/2032))</f>
        <v>N/A</v>
      </c>
    </row>
    <row r="16" ht="37.5" customHeight="1">
      <c r="A16" s="169" t="s">
        <v>2353</v>
      </c>
      <c r="B16" s="170" t="s">
        <v>1771</v>
      </c>
      <c r="C16" s="170" t="s">
        <v>1772</v>
      </c>
      <c r="D16" s="182"/>
      <c r="E16" s="130">
        <v>18.0</v>
      </c>
      <c r="F16" s="169"/>
      <c r="G16" s="171" t="s">
        <v>1773</v>
      </c>
      <c r="H16" s="175">
        <v>0.833</v>
      </c>
      <c r="I16" s="173">
        <f t="shared" ref="I16:I17" si="11">H16*(E16-1)</f>
        <v>14.161</v>
      </c>
      <c r="J16" s="184">
        <f>712.149*1.05</f>
        <v>747.75645</v>
      </c>
      <c r="K16" s="175">
        <f>(2*1.35*15+1.35*3)/18</f>
        <v>2.475</v>
      </c>
      <c r="L16" s="175">
        <v>1.22</v>
      </c>
      <c r="M16" s="172">
        <v>1.25</v>
      </c>
      <c r="N16" s="175">
        <v>1.3</v>
      </c>
      <c r="O16" s="172">
        <v>1.15</v>
      </c>
      <c r="P16" s="176">
        <f t="shared" si="1"/>
        <v>4219.35831</v>
      </c>
      <c r="Q16" s="177">
        <v>3666581.350361645</v>
      </c>
      <c r="R16" s="177">
        <v>191376.44711945538</v>
      </c>
      <c r="S16" s="177">
        <f t="shared" si="2"/>
        <v>75948.44958</v>
      </c>
      <c r="T16" s="177">
        <f t="shared" si="3"/>
        <v>5363.212314</v>
      </c>
      <c r="U16" s="178">
        <f t="shared" si="9"/>
        <v>1.062565687</v>
      </c>
      <c r="V16" s="179">
        <f t="shared" si="10"/>
        <v>1.437588871</v>
      </c>
    </row>
    <row r="17" ht="37.5" customHeight="1">
      <c r="A17" s="170" t="s">
        <v>2354</v>
      </c>
      <c r="B17" s="170" t="s">
        <v>1751</v>
      </c>
      <c r="C17" s="170" t="s">
        <v>1761</v>
      </c>
      <c r="D17" s="182"/>
      <c r="E17" s="130">
        <v>11.0</v>
      </c>
      <c r="F17" s="170" t="s">
        <v>1764</v>
      </c>
      <c r="G17" s="171" t="s">
        <v>1753</v>
      </c>
      <c r="H17" s="172">
        <v>1.45</v>
      </c>
      <c r="I17" s="173">
        <f t="shared" si="11"/>
        <v>14.5</v>
      </c>
      <c r="J17" s="174">
        <f>2145.968*1.05</f>
        <v>2253.2664</v>
      </c>
      <c r="K17" s="172">
        <f>(1.3*9+1*2)/11*1.15</f>
        <v>1.432272727</v>
      </c>
      <c r="L17" s="175">
        <v>1.22</v>
      </c>
      <c r="M17" s="172">
        <v>1.25</v>
      </c>
      <c r="N17" s="175">
        <v>1.3</v>
      </c>
      <c r="O17" s="172">
        <v>1.1</v>
      </c>
      <c r="P17" s="176">
        <f t="shared" si="1"/>
        <v>7037.917055</v>
      </c>
      <c r="Q17" s="177"/>
      <c r="R17" s="177"/>
      <c r="S17" s="177">
        <f t="shared" si="2"/>
        <v>77417.08761</v>
      </c>
      <c r="T17" s="177">
        <f t="shared" si="3"/>
        <v>5339.10949</v>
      </c>
      <c r="U17" s="178" t="str">
        <f t="shared" si="9"/>
        <v>N/A</v>
      </c>
      <c r="V17" s="179" t="str">
        <f t="shared" si="10"/>
        <v>N/A</v>
      </c>
    </row>
    <row r="18" ht="37.5" customHeight="1">
      <c r="A18" s="50" t="s">
        <v>2355</v>
      </c>
      <c r="B18" s="117" t="s">
        <v>1756</v>
      </c>
      <c r="C18" s="117" t="s">
        <v>1756</v>
      </c>
      <c r="D18" s="156"/>
      <c r="E18" s="49" t="s">
        <v>1757</v>
      </c>
      <c r="F18" s="50"/>
      <c r="G18" s="165" t="s">
        <v>582</v>
      </c>
      <c r="H18" s="118">
        <v>0.917</v>
      </c>
      <c r="I18" s="159" t="s">
        <v>582</v>
      </c>
      <c r="J18" s="160">
        <v>369.886</v>
      </c>
      <c r="K18" s="166"/>
      <c r="L18" s="118"/>
      <c r="M18" s="118">
        <f>1+1.65+2+1.5</f>
        <v>6.15</v>
      </c>
      <c r="N18" s="118">
        <v>1.3</v>
      </c>
      <c r="O18" s="158">
        <v>1.3</v>
      </c>
      <c r="P18" s="161">
        <f>PRODUCT(J18:O18)+511.708*1.22*1.25*1.3</f>
        <v>4858.871251</v>
      </c>
      <c r="Q18" s="162"/>
      <c r="R18" s="162"/>
      <c r="S18" s="162" t="str">
        <f t="shared" si="2"/>
        <v>INF</v>
      </c>
      <c r="T18" s="162">
        <f t="shared" si="3"/>
        <v>5298.660034</v>
      </c>
      <c r="U18" s="164" t="str">
        <f t="shared" si="9"/>
        <v>N/A</v>
      </c>
      <c r="V18" s="163" t="str">
        <f t="shared" si="10"/>
        <v>N/A</v>
      </c>
    </row>
    <row r="19" ht="37.5" customHeight="1">
      <c r="A19" s="169" t="s">
        <v>2356</v>
      </c>
      <c r="B19" s="170" t="s">
        <v>1771</v>
      </c>
      <c r="C19" s="170" t="s">
        <v>1779</v>
      </c>
      <c r="D19" s="210"/>
      <c r="E19" s="130">
        <v>51.0</v>
      </c>
      <c r="F19" s="183" t="s">
        <v>2153</v>
      </c>
      <c r="G19" s="183" t="s">
        <v>1915</v>
      </c>
      <c r="H19" s="175">
        <v>2.283</v>
      </c>
      <c r="I19" s="173">
        <f>H19*10</f>
        <v>22.83</v>
      </c>
      <c r="J19" s="184">
        <f>14114/1.05/1.05/3</f>
        <v>4267.271353</v>
      </c>
      <c r="K19" s="175"/>
      <c r="L19" s="175">
        <v>1.22</v>
      </c>
      <c r="M19" s="172">
        <f>1.25*1.15</f>
        <v>1.4375</v>
      </c>
      <c r="N19" s="175">
        <v>1.3</v>
      </c>
      <c r="O19" s="172">
        <v>1.15</v>
      </c>
      <c r="P19" s="176">
        <f t="shared" ref="P19:P56" si="12">PRODUCT(J19:O19)</f>
        <v>11188.17207</v>
      </c>
      <c r="Q19" s="177">
        <v>4594596.373586521</v>
      </c>
      <c r="R19" s="177">
        <v>182956.8898015578</v>
      </c>
      <c r="S19" s="177">
        <f>IFERROR(P19*10.6,"INF")</f>
        <v>118594.6239</v>
      </c>
      <c r="T19" s="177">
        <f t="shared" si="3"/>
        <v>5194.683483</v>
      </c>
      <c r="U19" s="178">
        <f t="shared" si="9"/>
        <v>1.324084912</v>
      </c>
      <c r="V19" s="179">
        <f t="shared" si="10"/>
        <v>1.456493403</v>
      </c>
    </row>
    <row r="20" ht="37.5" customHeight="1">
      <c r="A20" s="50" t="s">
        <v>2357</v>
      </c>
      <c r="B20" s="117" t="s">
        <v>1769</v>
      </c>
      <c r="C20" s="117" t="s">
        <v>1769</v>
      </c>
      <c r="D20" s="156"/>
      <c r="E20" s="49" t="s">
        <v>1757</v>
      </c>
      <c r="F20" s="50"/>
      <c r="G20" s="165" t="s">
        <v>582</v>
      </c>
      <c r="H20" s="118">
        <v>1.567</v>
      </c>
      <c r="I20" s="159" t="s">
        <v>582</v>
      </c>
      <c r="J20" s="160">
        <v>1889.593</v>
      </c>
      <c r="K20" s="166"/>
      <c r="L20" s="118"/>
      <c r="M20" s="158">
        <v>2.0</v>
      </c>
      <c r="N20" s="118">
        <v>1.3</v>
      </c>
      <c r="O20" s="158">
        <v>1.65</v>
      </c>
      <c r="P20" s="161">
        <f t="shared" si="12"/>
        <v>8106.35397</v>
      </c>
      <c r="Q20" s="162"/>
      <c r="R20" s="162"/>
      <c r="S20" s="162" t="str">
        <f t="shared" ref="S20:S24" si="13">IFERROR(P20*E20,"INF")</f>
        <v>INF</v>
      </c>
      <c r="T20" s="162">
        <f t="shared" si="3"/>
        <v>5173.167817</v>
      </c>
      <c r="U20" s="164" t="str">
        <f t="shared" si="9"/>
        <v>N/A</v>
      </c>
      <c r="V20" s="163" t="str">
        <f t="shared" si="10"/>
        <v>N/A</v>
      </c>
    </row>
    <row r="21" ht="37.5" customHeight="1">
      <c r="A21" s="50" t="s">
        <v>2358</v>
      </c>
      <c r="B21" s="117" t="s">
        <v>1769</v>
      </c>
      <c r="C21" s="117" t="s">
        <v>1769</v>
      </c>
      <c r="D21" s="156"/>
      <c r="E21" s="49" t="s">
        <v>1757</v>
      </c>
      <c r="F21" s="50"/>
      <c r="G21" s="165" t="s">
        <v>582</v>
      </c>
      <c r="H21" s="118">
        <v>1.567</v>
      </c>
      <c r="I21" s="159" t="s">
        <v>582</v>
      </c>
      <c r="J21" s="160">
        <v>1827.135</v>
      </c>
      <c r="K21" s="166"/>
      <c r="L21" s="118"/>
      <c r="M21" s="158">
        <v>2.0</v>
      </c>
      <c r="N21" s="118">
        <v>1.3</v>
      </c>
      <c r="O21" s="158">
        <v>1.65</v>
      </c>
      <c r="P21" s="161">
        <f t="shared" si="12"/>
        <v>7838.40915</v>
      </c>
      <c r="Q21" s="162"/>
      <c r="R21" s="162"/>
      <c r="S21" s="162" t="str">
        <f t="shared" si="13"/>
        <v>INF</v>
      </c>
      <c r="T21" s="162">
        <f t="shared" si="3"/>
        <v>5002.17559</v>
      </c>
      <c r="U21" s="164" t="str">
        <f t="shared" si="9"/>
        <v>N/A</v>
      </c>
      <c r="V21" s="163" t="str">
        <f t="shared" si="10"/>
        <v>N/A</v>
      </c>
    </row>
    <row r="22" ht="37.5" customHeight="1">
      <c r="A22" s="50" t="s">
        <v>2359</v>
      </c>
      <c r="B22" s="117" t="s">
        <v>1756</v>
      </c>
      <c r="C22" s="117" t="s">
        <v>1756</v>
      </c>
      <c r="D22" s="156"/>
      <c r="E22" s="49" t="s">
        <v>1757</v>
      </c>
      <c r="F22" s="50"/>
      <c r="G22" s="165" t="s">
        <v>582</v>
      </c>
      <c r="H22" s="118">
        <v>0.883</v>
      </c>
      <c r="I22" s="159" t="s">
        <v>582</v>
      </c>
      <c r="J22" s="160">
        <f>369.886*1.36</f>
        <v>503.04496</v>
      </c>
      <c r="K22" s="166"/>
      <c r="L22" s="118"/>
      <c r="M22" s="118">
        <f>1.65+2+1.5</f>
        <v>5.15</v>
      </c>
      <c r="N22" s="118">
        <v>1.3</v>
      </c>
      <c r="O22" s="158">
        <v>1.3</v>
      </c>
      <c r="P22" s="161">
        <f t="shared" si="12"/>
        <v>4378.251809</v>
      </c>
      <c r="Q22" s="162"/>
      <c r="R22" s="162"/>
      <c r="S22" s="162" t="str">
        <f t="shared" si="13"/>
        <v>INF</v>
      </c>
      <c r="T22" s="162">
        <f t="shared" si="3"/>
        <v>4958.38257</v>
      </c>
      <c r="U22" s="164"/>
      <c r="V22" s="163"/>
    </row>
    <row r="23" ht="37.5" customHeight="1">
      <c r="A23" s="169" t="s">
        <v>2360</v>
      </c>
      <c r="B23" s="170" t="s">
        <v>1771</v>
      </c>
      <c r="C23" s="170" t="s">
        <v>1777</v>
      </c>
      <c r="D23" s="182"/>
      <c r="E23" s="130">
        <v>20.0</v>
      </c>
      <c r="F23" s="169" t="s">
        <v>1797</v>
      </c>
      <c r="G23" s="183" t="s">
        <v>1798</v>
      </c>
      <c r="H23" s="175">
        <v>0.65</v>
      </c>
      <c r="I23" s="173">
        <f>H23*16+1.817*3+1.767*3</f>
        <v>21.152</v>
      </c>
      <c r="J23" s="184">
        <f>(19*564.934+4*7157.662)/20</f>
        <v>1968.2197</v>
      </c>
      <c r="K23" s="175">
        <v>1.15</v>
      </c>
      <c r="L23" s="175">
        <v>1.22</v>
      </c>
      <c r="M23" s="172">
        <v>1.25</v>
      </c>
      <c r="N23" s="175">
        <v>1.3</v>
      </c>
      <c r="O23" s="172">
        <v>1.15</v>
      </c>
      <c r="P23" s="176">
        <f t="shared" si="12"/>
        <v>5160.389122</v>
      </c>
      <c r="Q23" s="177">
        <v>3783101.1683108946</v>
      </c>
      <c r="R23" s="177">
        <v>143844.15088634577</v>
      </c>
      <c r="S23" s="177">
        <f t="shared" si="13"/>
        <v>103207.7824</v>
      </c>
      <c r="T23" s="177">
        <f t="shared" si="3"/>
        <v>4879.339185</v>
      </c>
      <c r="U23" s="178">
        <f>IFERROR(IF(ISBLANK(Q23),"N/A",(S23/Q23)*(104237/2032)),"N/A")</f>
        <v>1.399467094</v>
      </c>
      <c r="V23" s="179">
        <f>IF(ISBLANK(R23),"N/A",(T23/R23)*(104237/2032))</f>
        <v>1.740071132</v>
      </c>
    </row>
    <row r="24" ht="37.5" customHeight="1">
      <c r="A24" s="170" t="s">
        <v>2361</v>
      </c>
      <c r="B24" s="170" t="s">
        <v>1771</v>
      </c>
      <c r="C24" s="170" t="s">
        <v>1777</v>
      </c>
      <c r="D24" s="180"/>
      <c r="E24" s="130">
        <v>26.0</v>
      </c>
      <c r="F24" s="169"/>
      <c r="G24" s="171" t="s">
        <v>1801</v>
      </c>
      <c r="H24" s="175">
        <v>0.433</v>
      </c>
      <c r="I24" s="185">
        <v>15.35</v>
      </c>
      <c r="J24" s="174">
        <v>642.128</v>
      </c>
      <c r="K24" s="175">
        <f>1.15*(1.3*24+1*2)/26*1.159*1.15</f>
        <v>1.957238962</v>
      </c>
      <c r="L24" s="175">
        <v>1.22</v>
      </c>
      <c r="M24" s="172">
        <v>1.25</v>
      </c>
      <c r="N24" s="175">
        <v>1.3</v>
      </c>
      <c r="O24" s="172">
        <v>1.15</v>
      </c>
      <c r="P24" s="176">
        <f t="shared" si="12"/>
        <v>2865.342203</v>
      </c>
      <c r="Q24" s="177"/>
      <c r="R24" s="177"/>
      <c r="S24" s="177">
        <f t="shared" si="13"/>
        <v>74498.89728</v>
      </c>
      <c r="T24" s="177">
        <f t="shared" si="3"/>
        <v>4853.348357</v>
      </c>
      <c r="U24" s="178"/>
      <c r="V24" s="179"/>
    </row>
    <row r="25" ht="37.5" customHeight="1">
      <c r="A25" s="170" t="s">
        <v>2362</v>
      </c>
      <c r="B25" s="170" t="s">
        <v>1751</v>
      </c>
      <c r="C25" s="170" t="s">
        <v>1779</v>
      </c>
      <c r="D25" s="212"/>
      <c r="E25" s="130">
        <v>64.0</v>
      </c>
      <c r="F25" s="169"/>
      <c r="G25" s="171" t="s">
        <v>1785</v>
      </c>
      <c r="H25" s="172">
        <v>18.967</v>
      </c>
      <c r="I25" s="173">
        <f>H25*2+10</f>
        <v>47.934</v>
      </c>
      <c r="J25" s="184">
        <f>26433.14+507.869*10</f>
        <v>31511.83</v>
      </c>
      <c r="K25" s="211"/>
      <c r="L25" s="172">
        <v>1.22</v>
      </c>
      <c r="M25" s="172">
        <f>1.25*1.15</f>
        <v>1.4375</v>
      </c>
      <c r="N25" s="175">
        <v>1.3</v>
      </c>
      <c r="O25" s="172">
        <v>1.1</v>
      </c>
      <c r="P25" s="176">
        <f t="shared" si="12"/>
        <v>79027.33676</v>
      </c>
      <c r="Q25" s="177"/>
      <c r="R25" s="177"/>
      <c r="S25" s="177">
        <f>P25*(2+26433.14/31512)</f>
        <v>224344.9965</v>
      </c>
      <c r="T25" s="177">
        <f t="shared" si="3"/>
        <v>4680.289491</v>
      </c>
      <c r="U25" s="178"/>
      <c r="V25" s="179"/>
    </row>
    <row r="26" ht="37.5" customHeight="1">
      <c r="A26" s="117" t="s">
        <v>2363</v>
      </c>
      <c r="B26" s="117" t="s">
        <v>1771</v>
      </c>
      <c r="C26" s="117" t="s">
        <v>1779</v>
      </c>
      <c r="D26" s="188"/>
      <c r="E26" s="111">
        <v>63.0</v>
      </c>
      <c r="F26" s="50"/>
      <c r="G26" s="157"/>
      <c r="H26" s="158">
        <v>1.983</v>
      </c>
      <c r="I26" s="159">
        <f>H26*32</f>
        <v>63.456</v>
      </c>
      <c r="J26" s="168">
        <f>4042.776</f>
        <v>4042.776</v>
      </c>
      <c r="K26" s="118"/>
      <c r="L26" s="158">
        <v>1.22</v>
      </c>
      <c r="M26" s="158">
        <v>1.25</v>
      </c>
      <c r="N26" s="118">
        <v>1.3</v>
      </c>
      <c r="O26" s="158">
        <v>1.15</v>
      </c>
      <c r="P26" s="161">
        <f t="shared" si="12"/>
        <v>9217.023933</v>
      </c>
      <c r="Q26" s="162"/>
      <c r="R26" s="162"/>
      <c r="S26" s="162">
        <f>P26*32</f>
        <v>294944.7659</v>
      </c>
      <c r="T26" s="162">
        <f t="shared" si="3"/>
        <v>4648.020138</v>
      </c>
      <c r="U26" s="178"/>
      <c r="V26" s="179"/>
    </row>
    <row r="27" ht="37.5" customHeight="1">
      <c r="A27" s="117" t="s">
        <v>2364</v>
      </c>
      <c r="B27" s="117" t="s">
        <v>1751</v>
      </c>
      <c r="C27" s="117" t="s">
        <v>1779</v>
      </c>
      <c r="D27" s="181"/>
      <c r="E27" s="111">
        <v>64.0</v>
      </c>
      <c r="F27" s="50"/>
      <c r="G27" s="157" t="s">
        <v>1785</v>
      </c>
      <c r="H27" s="158">
        <v>18.967</v>
      </c>
      <c r="I27" s="159">
        <f>H27*2+10</f>
        <v>47.934</v>
      </c>
      <c r="J27" s="160">
        <f>26433.14+507.869*10</f>
        <v>31511.83</v>
      </c>
      <c r="K27" s="158">
        <v>1.25</v>
      </c>
      <c r="L27" s="118">
        <v>1.1</v>
      </c>
      <c r="M27" s="158">
        <v>1.25</v>
      </c>
      <c r="N27" s="118">
        <v>1.3</v>
      </c>
      <c r="O27" s="158">
        <v>1.1</v>
      </c>
      <c r="P27" s="161">
        <f t="shared" si="12"/>
        <v>77450.16967</v>
      </c>
      <c r="Q27" s="162"/>
      <c r="R27" s="162"/>
      <c r="S27" s="162">
        <f>P27*(2+26433.14/31512)</f>
        <v>219867.6908</v>
      </c>
      <c r="T27" s="162">
        <f t="shared" si="3"/>
        <v>4586.883856</v>
      </c>
      <c r="U27" s="164"/>
      <c r="V27" s="163"/>
    </row>
    <row r="28" ht="37.5" customHeight="1">
      <c r="A28" s="50" t="s">
        <v>2365</v>
      </c>
      <c r="B28" s="117" t="s">
        <v>1771</v>
      </c>
      <c r="C28" s="117" t="s">
        <v>1777</v>
      </c>
      <c r="D28" s="167"/>
      <c r="E28" s="111">
        <v>20.0</v>
      </c>
      <c r="F28" s="50"/>
      <c r="G28" s="165" t="s">
        <v>1787</v>
      </c>
      <c r="H28" s="118">
        <v>1.717</v>
      </c>
      <c r="I28" s="159">
        <f>H28*5</f>
        <v>8.585</v>
      </c>
      <c r="J28" s="160">
        <f>(5*3197.353+1259.252)/6</f>
        <v>2874.336167</v>
      </c>
      <c r="K28" s="118"/>
      <c r="L28" s="118">
        <v>1.22</v>
      </c>
      <c r="M28" s="158">
        <v>1.25</v>
      </c>
      <c r="N28" s="118">
        <v>1.3</v>
      </c>
      <c r="O28" s="158">
        <v>1.15</v>
      </c>
      <c r="P28" s="161">
        <f t="shared" si="12"/>
        <v>6553.127168</v>
      </c>
      <c r="Q28" s="162">
        <v>2197053.3322043605</v>
      </c>
      <c r="R28" s="162">
        <v>98082.73804483752</v>
      </c>
      <c r="S28" s="162">
        <f>IFERROR(P28*6,"INF")</f>
        <v>39318.76301</v>
      </c>
      <c r="T28" s="162">
        <f t="shared" si="3"/>
        <v>4579.93745</v>
      </c>
      <c r="U28" s="178"/>
      <c r="V28" s="179"/>
    </row>
    <row r="29" ht="37.5" customHeight="1">
      <c r="A29" s="169" t="s">
        <v>2366</v>
      </c>
      <c r="B29" s="170" t="s">
        <v>1771</v>
      </c>
      <c r="C29" s="170" t="s">
        <v>1779</v>
      </c>
      <c r="D29" s="210"/>
      <c r="E29" s="130">
        <v>51.0</v>
      </c>
      <c r="F29" s="183" t="s">
        <v>1998</v>
      </c>
      <c r="G29" s="183" t="s">
        <v>1999</v>
      </c>
      <c r="H29" s="175">
        <v>2.75</v>
      </c>
      <c r="I29" s="173">
        <f>H29*8</f>
        <v>22</v>
      </c>
      <c r="J29" s="184">
        <f>16305/1.05/1.05/3</f>
        <v>4929.705215</v>
      </c>
      <c r="K29" s="175"/>
      <c r="L29" s="175">
        <v>1.22</v>
      </c>
      <c r="M29" s="172">
        <v>1.25</v>
      </c>
      <c r="N29" s="175">
        <v>1.3</v>
      </c>
      <c r="O29" s="172">
        <v>1.15</v>
      </c>
      <c r="P29" s="176">
        <f t="shared" si="12"/>
        <v>11239.11168</v>
      </c>
      <c r="Q29" s="177">
        <v>3565079.8385305298</v>
      </c>
      <c r="R29" s="177">
        <v>185198.9526509366</v>
      </c>
      <c r="S29" s="177">
        <f>IFERROR(P29*8.65217,"INF")</f>
        <v>97242.70489</v>
      </c>
      <c r="T29" s="177">
        <f t="shared" si="3"/>
        <v>4420.122949</v>
      </c>
      <c r="U29" s="178">
        <f>IFERROR(IF(ISBLANK(Q29),"N/A",(S29/Q29)*(104237/2032)),"N/A")</f>
        <v>1.399219891</v>
      </c>
      <c r="V29" s="179">
        <f>IF(ISBLANK(R29),"N/A",(T29/R29)*(104237/2032))</f>
        <v>1.224317405</v>
      </c>
    </row>
    <row r="30" ht="37.5" customHeight="1">
      <c r="A30" s="170" t="s">
        <v>2367</v>
      </c>
      <c r="B30" s="170" t="s">
        <v>1771</v>
      </c>
      <c r="C30" s="170" t="s">
        <v>1777</v>
      </c>
      <c r="D30" s="180"/>
      <c r="E30" s="130" t="s">
        <v>1757</v>
      </c>
      <c r="F30" s="169"/>
      <c r="G30" s="171" t="s">
        <v>1757</v>
      </c>
      <c r="H30" s="175">
        <v>0.833</v>
      </c>
      <c r="I30" s="185" t="s">
        <v>1757</v>
      </c>
      <c r="J30" s="174">
        <f>691.27*1.15</f>
        <v>794.9605</v>
      </c>
      <c r="K30" s="175">
        <f>1.4*1.06*1.159*1.15</f>
        <v>1.9779494</v>
      </c>
      <c r="L30" s="175">
        <v>1.22</v>
      </c>
      <c r="M30" s="172">
        <v>1.25</v>
      </c>
      <c r="N30" s="175">
        <v>1.3</v>
      </c>
      <c r="O30" s="172">
        <v>1.15</v>
      </c>
      <c r="P30" s="176">
        <f t="shared" si="12"/>
        <v>3584.856399</v>
      </c>
      <c r="Q30" s="177"/>
      <c r="R30" s="177"/>
      <c r="S30" s="177" t="str">
        <f t="shared" ref="S30:S36" si="14">IFERROR(P30*E30,"INF")</f>
        <v>INF</v>
      </c>
      <c r="T30" s="177">
        <f t="shared" si="3"/>
        <v>4303.549099</v>
      </c>
      <c r="U30" s="178"/>
      <c r="V30" s="179"/>
    </row>
    <row r="31" ht="37.5" customHeight="1">
      <c r="A31" s="50" t="s">
        <v>2368</v>
      </c>
      <c r="B31" s="117" t="s">
        <v>1751</v>
      </c>
      <c r="C31" s="117" t="s">
        <v>1772</v>
      </c>
      <c r="D31" s="167"/>
      <c r="E31" s="111">
        <v>16.0</v>
      </c>
      <c r="F31" s="50" t="s">
        <v>1790</v>
      </c>
      <c r="G31" s="165" t="s">
        <v>1791</v>
      </c>
      <c r="H31" s="118">
        <v>1.183</v>
      </c>
      <c r="I31" s="159">
        <v>20.333</v>
      </c>
      <c r="J31" s="160">
        <v>1667.836</v>
      </c>
      <c r="K31" s="118">
        <v>1.5</v>
      </c>
      <c r="L31" s="118">
        <v>1.22</v>
      </c>
      <c r="M31" s="158">
        <v>1.25</v>
      </c>
      <c r="N31" s="118">
        <v>1.3</v>
      </c>
      <c r="O31" s="158">
        <v>1.1</v>
      </c>
      <c r="P31" s="161">
        <f t="shared" si="12"/>
        <v>5455.700036</v>
      </c>
      <c r="Q31" s="162">
        <v>5517030.253603916</v>
      </c>
      <c r="R31" s="162">
        <v>191377.48902469527</v>
      </c>
      <c r="S31" s="162">
        <f t="shared" si="14"/>
        <v>87291.20057</v>
      </c>
      <c r="T31" s="162">
        <f t="shared" si="3"/>
        <v>4293.080242</v>
      </c>
      <c r="U31" s="164">
        <f t="shared" ref="U31:U34" si="15">IFERROR(IF(ISBLANK(Q31),"N/A",(S31/Q31)*(104237/2032)),"N/A")</f>
        <v>0.8116397365</v>
      </c>
      <c r="V31" s="163">
        <f t="shared" ref="V31:V34" si="16">IF(ISBLANK(R31),"N/A",(T31/R31)*(104237/2032))</f>
        <v>1.150737733</v>
      </c>
    </row>
    <row r="32" ht="37.5" customHeight="1">
      <c r="A32" s="169" t="s">
        <v>2369</v>
      </c>
      <c r="B32" s="170" t="s">
        <v>1751</v>
      </c>
      <c r="C32" s="170" t="s">
        <v>1761</v>
      </c>
      <c r="D32" s="182"/>
      <c r="E32" s="130">
        <v>20.0</v>
      </c>
      <c r="F32" s="170" t="s">
        <v>1983</v>
      </c>
      <c r="G32" s="183" t="s">
        <v>2348</v>
      </c>
      <c r="H32" s="175">
        <v>1.283</v>
      </c>
      <c r="I32" s="173">
        <f>1.283*2+2.167*6+1.283*0.6*11</f>
        <v>24.0358</v>
      </c>
      <c r="J32" s="184">
        <v>1629.71</v>
      </c>
      <c r="K32" s="175">
        <f>(3*1+17*1.3)/20*1.15</f>
        <v>1.44325</v>
      </c>
      <c r="L32" s="175">
        <v>1.22</v>
      </c>
      <c r="M32" s="172">
        <v>1.25</v>
      </c>
      <c r="N32" s="175">
        <v>1.3</v>
      </c>
      <c r="O32" s="172">
        <v>1.1</v>
      </c>
      <c r="P32" s="176">
        <f t="shared" si="12"/>
        <v>5129.296187</v>
      </c>
      <c r="Q32" s="177">
        <v>2505848.6390009834</v>
      </c>
      <c r="R32" s="177">
        <v>139508.33086521452</v>
      </c>
      <c r="S32" s="177">
        <f t="shared" si="14"/>
        <v>102585.9237</v>
      </c>
      <c r="T32" s="177">
        <f t="shared" si="3"/>
        <v>4268.046985</v>
      </c>
      <c r="U32" s="178">
        <f t="shared" si="15"/>
        <v>2.100057271</v>
      </c>
      <c r="V32" s="179">
        <f t="shared" si="16"/>
        <v>1.569376876</v>
      </c>
    </row>
    <row r="33" ht="37.5" customHeight="1">
      <c r="A33" s="50" t="s">
        <v>2370</v>
      </c>
      <c r="B33" s="117" t="s">
        <v>1771</v>
      </c>
      <c r="C33" s="117" t="s">
        <v>1793</v>
      </c>
      <c r="D33" s="167"/>
      <c r="E33" s="111">
        <v>17.0</v>
      </c>
      <c r="F33" s="50" t="s">
        <v>1794</v>
      </c>
      <c r="G33" s="165" t="s">
        <v>1795</v>
      </c>
      <c r="H33" s="118">
        <v>0.516</v>
      </c>
      <c r="I33" s="159">
        <f>1+10.7</f>
        <v>11.7</v>
      </c>
      <c r="J33" s="160">
        <f>(7217*7/8*1.5+7102.93*1.5+7102.93*2/8)/17</f>
        <v>1288.378824</v>
      </c>
      <c r="K33" s="118"/>
      <c r="L33" s="118">
        <v>1.22</v>
      </c>
      <c r="M33" s="158">
        <v>1.25</v>
      </c>
      <c r="N33" s="118">
        <v>1.3</v>
      </c>
      <c r="O33" s="158">
        <v>1.15</v>
      </c>
      <c r="P33" s="161">
        <f t="shared" si="12"/>
        <v>2937.34267</v>
      </c>
      <c r="Q33" s="162">
        <v>2735580.38</v>
      </c>
      <c r="R33" s="162">
        <v>167662.4405491542</v>
      </c>
      <c r="S33" s="162">
        <f t="shared" si="14"/>
        <v>49934.8254</v>
      </c>
      <c r="T33" s="162">
        <f t="shared" si="3"/>
        <v>4267.933794</v>
      </c>
      <c r="U33" s="164">
        <f t="shared" si="15"/>
        <v>0.9363802724</v>
      </c>
      <c r="V33" s="163">
        <f t="shared" si="16"/>
        <v>1.305810301</v>
      </c>
    </row>
    <row r="34" ht="37.5" customHeight="1">
      <c r="A34" s="169" t="s">
        <v>2371</v>
      </c>
      <c r="B34" s="170" t="s">
        <v>1751</v>
      </c>
      <c r="C34" s="170" t="s">
        <v>1805</v>
      </c>
      <c r="D34" s="210"/>
      <c r="E34" s="130">
        <v>30.0</v>
      </c>
      <c r="F34" s="170" t="s">
        <v>1806</v>
      </c>
      <c r="G34" s="171" t="s">
        <v>1807</v>
      </c>
      <c r="H34" s="175">
        <v>0.4</v>
      </c>
      <c r="I34" s="173">
        <f>H34*(E34-3)+2.017*2</f>
        <v>14.834</v>
      </c>
      <c r="J34" s="174">
        <f>640.506*1.05</f>
        <v>672.5313</v>
      </c>
      <c r="K34" s="175">
        <f>0.6888*1.418+(1-0.6888)*1.47</f>
        <v>1.4341824</v>
      </c>
      <c r="L34" s="175">
        <v>1.22</v>
      </c>
      <c r="M34" s="172">
        <v>1.25</v>
      </c>
      <c r="N34" s="175">
        <v>1.3</v>
      </c>
      <c r="O34" s="172">
        <v>1.1</v>
      </c>
      <c r="P34" s="176">
        <f t="shared" si="12"/>
        <v>2103.404367</v>
      </c>
      <c r="Q34" s="177">
        <v>3269941.41152952</v>
      </c>
      <c r="R34" s="177">
        <v>227616.6929924488</v>
      </c>
      <c r="S34" s="177">
        <f t="shared" si="14"/>
        <v>63102.13101</v>
      </c>
      <c r="T34" s="177">
        <f t="shared" si="3"/>
        <v>4253.885062</v>
      </c>
      <c r="U34" s="178">
        <f t="shared" si="15"/>
        <v>0.9899249142</v>
      </c>
      <c r="V34" s="179">
        <f t="shared" si="16"/>
        <v>0.9586936307</v>
      </c>
    </row>
    <row r="35" ht="37.5" customHeight="1">
      <c r="A35" s="50" t="s">
        <v>2372</v>
      </c>
      <c r="B35" s="117" t="s">
        <v>1751</v>
      </c>
      <c r="C35" s="117" t="s">
        <v>1777</v>
      </c>
      <c r="D35" s="156"/>
      <c r="E35" s="111">
        <v>20.0</v>
      </c>
      <c r="F35" s="50"/>
      <c r="G35" s="157" t="s">
        <v>1753</v>
      </c>
      <c r="H35" s="158">
        <v>1.367</v>
      </c>
      <c r="I35" s="159">
        <f>H35*(E35-1)</f>
        <v>25.973</v>
      </c>
      <c r="J35" s="168">
        <v>1890.733</v>
      </c>
      <c r="K35" s="118">
        <f>1.333</f>
        <v>1.333</v>
      </c>
      <c r="L35" s="118">
        <v>1.22</v>
      </c>
      <c r="M35" s="158">
        <v>1.25</v>
      </c>
      <c r="N35" s="118">
        <v>1.3</v>
      </c>
      <c r="O35" s="158">
        <v>1.1</v>
      </c>
      <c r="P35" s="161">
        <f t="shared" si="12"/>
        <v>5496.246914</v>
      </c>
      <c r="Q35" s="162"/>
      <c r="R35" s="162"/>
      <c r="S35" s="162">
        <f t="shared" si="14"/>
        <v>109924.9383</v>
      </c>
      <c r="T35" s="162">
        <f t="shared" si="3"/>
        <v>4232.277299</v>
      </c>
      <c r="U35" s="178"/>
      <c r="V35" s="179"/>
    </row>
    <row r="36" ht="37.5" customHeight="1">
      <c r="A36" s="169" t="s">
        <v>2373</v>
      </c>
      <c r="B36" s="170" t="s">
        <v>1771</v>
      </c>
      <c r="C36" s="170" t="s">
        <v>1777</v>
      </c>
      <c r="D36" s="182"/>
      <c r="E36" s="130" t="s">
        <v>1757</v>
      </c>
      <c r="F36" s="170"/>
      <c r="G36" s="171" t="s">
        <v>1757</v>
      </c>
      <c r="H36" s="175">
        <v>0.433</v>
      </c>
      <c r="I36" s="173" t="s">
        <v>1757</v>
      </c>
      <c r="J36" s="184">
        <v>427.926</v>
      </c>
      <c r="K36" s="172">
        <f>1.4*1.159*1.15</f>
        <v>1.86599</v>
      </c>
      <c r="L36" s="175">
        <v>1.22</v>
      </c>
      <c r="M36" s="172">
        <v>1.25</v>
      </c>
      <c r="N36" s="175">
        <v>1.3</v>
      </c>
      <c r="O36" s="172">
        <v>1.15</v>
      </c>
      <c r="P36" s="176">
        <f t="shared" si="12"/>
        <v>1820.493039</v>
      </c>
      <c r="Q36" s="177">
        <v>5508375.13416787</v>
      </c>
      <c r="R36" s="177">
        <v>155423.8067257659</v>
      </c>
      <c r="S36" s="177" t="str">
        <f t="shared" si="14"/>
        <v>INF</v>
      </c>
      <c r="T36" s="177">
        <f t="shared" si="3"/>
        <v>4204.371914</v>
      </c>
      <c r="U36" s="178" t="str">
        <f t="shared" ref="U36:U39" si="17">IFERROR(IF(ISBLANK(Q36),"N/A",(S36/Q36)*(104237/2032)),"N/A")</f>
        <v>N/A</v>
      </c>
      <c r="V36" s="179">
        <f t="shared" ref="V36:V39" si="18">IF(ISBLANK(R36),"N/A",(T36/R36)*(104237/2032))</f>
        <v>1.387655894</v>
      </c>
    </row>
    <row r="37" ht="37.5" customHeight="1">
      <c r="A37" s="169" t="s">
        <v>2374</v>
      </c>
      <c r="B37" s="170" t="s">
        <v>1771</v>
      </c>
      <c r="C37" s="170" t="s">
        <v>1779</v>
      </c>
      <c r="D37" s="210"/>
      <c r="E37" s="130">
        <v>51.0</v>
      </c>
      <c r="F37" s="183" t="s">
        <v>1998</v>
      </c>
      <c r="G37" s="183" t="s">
        <v>1811</v>
      </c>
      <c r="H37" s="175">
        <v>2.433</v>
      </c>
      <c r="I37" s="173">
        <f>H37*8</f>
        <v>19.464</v>
      </c>
      <c r="J37" s="184">
        <f>15240/1.05/1.05*0.9/3</f>
        <v>4146.938776</v>
      </c>
      <c r="K37" s="175"/>
      <c r="L37" s="175">
        <v>1.22</v>
      </c>
      <c r="M37" s="172">
        <v>1.25</v>
      </c>
      <c r="N37" s="175">
        <v>1.3</v>
      </c>
      <c r="O37" s="172">
        <v>1.15</v>
      </c>
      <c r="P37" s="176">
        <f t="shared" si="12"/>
        <v>9454.502041</v>
      </c>
      <c r="Q37" s="177">
        <v>3460979.647775</v>
      </c>
      <c r="R37" s="177">
        <v>158057.2520333836</v>
      </c>
      <c r="S37" s="177">
        <f>IFERROR(P37*8.593,"INF")</f>
        <v>81242.53604</v>
      </c>
      <c r="T37" s="177">
        <f t="shared" si="3"/>
        <v>4173.989727</v>
      </c>
      <c r="U37" s="178">
        <f t="shared" si="17"/>
        <v>1.204155646</v>
      </c>
      <c r="V37" s="179">
        <f t="shared" si="18"/>
        <v>1.354675102</v>
      </c>
    </row>
    <row r="38" ht="37.5" customHeight="1">
      <c r="A38" s="50" t="s">
        <v>2375</v>
      </c>
      <c r="B38" s="117" t="s">
        <v>1771</v>
      </c>
      <c r="C38" s="117" t="s">
        <v>1777</v>
      </c>
      <c r="D38" s="167"/>
      <c r="E38" s="111">
        <v>20.0</v>
      </c>
      <c r="F38" s="117" t="s">
        <v>1828</v>
      </c>
      <c r="G38" s="157" t="s">
        <v>1829</v>
      </c>
      <c r="H38" s="158">
        <v>0.833</v>
      </c>
      <c r="I38" s="159">
        <f>H38*(E38-3)+1.817*2</f>
        <v>17.795</v>
      </c>
      <c r="J38" s="160">
        <f>691.27*1.15</f>
        <v>794.9605</v>
      </c>
      <c r="K38" s="158">
        <f>(2*15+1*5)/20*1.159</f>
        <v>2.02825</v>
      </c>
      <c r="L38" s="118">
        <v>1.22</v>
      </c>
      <c r="M38" s="158">
        <v>1.25</v>
      </c>
      <c r="N38" s="118">
        <v>1.3</v>
      </c>
      <c r="O38" s="158">
        <v>1.15</v>
      </c>
      <c r="P38" s="161">
        <f t="shared" si="12"/>
        <v>3676.021738</v>
      </c>
      <c r="Q38" s="162"/>
      <c r="R38" s="162"/>
      <c r="S38" s="162">
        <f t="shared" ref="S38:S42" si="19">IFERROR(P38*E38,"INF")</f>
        <v>73520.43477</v>
      </c>
      <c r="T38" s="162">
        <f t="shared" si="3"/>
        <v>4131.522044</v>
      </c>
      <c r="U38" s="164" t="str">
        <f t="shared" si="17"/>
        <v>N/A</v>
      </c>
      <c r="V38" s="163" t="str">
        <f t="shared" si="18"/>
        <v>N/A</v>
      </c>
    </row>
    <row r="39" ht="37.5" customHeight="1">
      <c r="A39" s="50" t="s">
        <v>2376</v>
      </c>
      <c r="B39" s="117" t="s">
        <v>1769</v>
      </c>
      <c r="C39" s="117" t="s">
        <v>1769</v>
      </c>
      <c r="D39" s="156"/>
      <c r="E39" s="49" t="s">
        <v>1757</v>
      </c>
      <c r="F39" s="50"/>
      <c r="G39" s="165" t="s">
        <v>582</v>
      </c>
      <c r="H39" s="118">
        <v>1.567</v>
      </c>
      <c r="I39" s="159" t="s">
        <v>582</v>
      </c>
      <c r="J39" s="160">
        <v>2217.984</v>
      </c>
      <c r="K39" s="166"/>
      <c r="L39" s="118"/>
      <c r="M39" s="158">
        <v>1.35</v>
      </c>
      <c r="N39" s="118">
        <v>1.3</v>
      </c>
      <c r="O39" s="158">
        <v>1.65</v>
      </c>
      <c r="P39" s="161">
        <f t="shared" si="12"/>
        <v>6422.727168</v>
      </c>
      <c r="Q39" s="162"/>
      <c r="R39" s="162"/>
      <c r="S39" s="162" t="str">
        <f t="shared" si="19"/>
        <v>INF</v>
      </c>
      <c r="T39" s="162">
        <f t="shared" si="3"/>
        <v>4098.741013</v>
      </c>
      <c r="U39" s="164" t="str">
        <f t="shared" si="17"/>
        <v>N/A</v>
      </c>
      <c r="V39" s="163" t="str">
        <f t="shared" si="18"/>
        <v>N/A</v>
      </c>
    </row>
    <row r="40" ht="37.5" customHeight="1">
      <c r="A40" s="169" t="s">
        <v>2377</v>
      </c>
      <c r="B40" s="169" t="s">
        <v>1859</v>
      </c>
      <c r="C40" s="169" t="s">
        <v>1752</v>
      </c>
      <c r="D40" s="182"/>
      <c r="E40" s="204" t="s">
        <v>1757</v>
      </c>
      <c r="F40" s="169"/>
      <c r="G40" s="183" t="s">
        <v>582</v>
      </c>
      <c r="H40" s="172">
        <v>1.017</v>
      </c>
      <c r="I40" s="173" t="s">
        <v>582</v>
      </c>
      <c r="J40" s="184">
        <f>211.384+9*139.557+675.552/2</f>
        <v>1805.173</v>
      </c>
      <c r="K40" s="175"/>
      <c r="L40" s="175">
        <v>1.22</v>
      </c>
      <c r="M40" s="172">
        <v>1.25</v>
      </c>
      <c r="N40" s="175">
        <v>1.3</v>
      </c>
      <c r="O40" s="172">
        <v>1.15</v>
      </c>
      <c r="P40" s="176">
        <f t="shared" si="12"/>
        <v>4115.568793</v>
      </c>
      <c r="Q40" s="177" t="s">
        <v>1757</v>
      </c>
      <c r="R40" s="177">
        <v>64667.2425515122</v>
      </c>
      <c r="S40" s="177" t="str">
        <f t="shared" si="19"/>
        <v>INF</v>
      </c>
      <c r="T40" s="177">
        <f t="shared" si="3"/>
        <v>4046.773641</v>
      </c>
      <c r="U40" s="178"/>
      <c r="V40" s="179"/>
    </row>
    <row r="41" ht="37.5" customHeight="1">
      <c r="A41" s="50" t="s">
        <v>2378</v>
      </c>
      <c r="B41" s="117" t="s">
        <v>1769</v>
      </c>
      <c r="C41" s="117" t="s">
        <v>1769</v>
      </c>
      <c r="D41" s="156"/>
      <c r="E41" s="49" t="s">
        <v>1757</v>
      </c>
      <c r="F41" s="50"/>
      <c r="G41" s="165" t="s">
        <v>582</v>
      </c>
      <c r="H41" s="118">
        <v>5.95</v>
      </c>
      <c r="I41" s="159" t="s">
        <v>582</v>
      </c>
      <c r="J41" s="160">
        <f>2778.75*4</f>
        <v>11115</v>
      </c>
      <c r="K41" s="166"/>
      <c r="L41" s="118"/>
      <c r="M41" s="118"/>
      <c r="N41" s="118">
        <v>1.3</v>
      </c>
      <c r="O41" s="158">
        <v>1.65</v>
      </c>
      <c r="P41" s="161">
        <f t="shared" si="12"/>
        <v>23841.675</v>
      </c>
      <c r="Q41" s="162"/>
      <c r="R41" s="162"/>
      <c r="S41" s="162" t="str">
        <f t="shared" si="19"/>
        <v>INF</v>
      </c>
      <c r="T41" s="162">
        <f t="shared" si="3"/>
        <v>4007.004202</v>
      </c>
      <c r="U41" s="164" t="str">
        <f t="shared" ref="U41:U55" si="20">IFERROR(IF(ISBLANK(Q41),"N/A",(S41/Q41)*(104237/2032)),"N/A")</f>
        <v>N/A</v>
      </c>
      <c r="V41" s="163" t="str">
        <f t="shared" ref="V41:V55" si="21">IF(ISBLANK(R41),"N/A",(T41/R41)*(104237/2032))</f>
        <v>N/A</v>
      </c>
    </row>
    <row r="42" ht="37.5" customHeight="1">
      <c r="A42" s="169" t="s">
        <v>2379</v>
      </c>
      <c r="B42" s="170" t="s">
        <v>1751</v>
      </c>
      <c r="C42" s="170" t="s">
        <v>1752</v>
      </c>
      <c r="D42" s="210"/>
      <c r="E42" s="130" t="s">
        <v>1757</v>
      </c>
      <c r="F42" s="169"/>
      <c r="G42" s="171" t="s">
        <v>1753</v>
      </c>
      <c r="H42" s="172">
        <v>1.883</v>
      </c>
      <c r="I42" s="173" t="s">
        <v>582</v>
      </c>
      <c r="J42" s="184">
        <f>1659.403*1.1+6*127.172</f>
        <v>2588.3753</v>
      </c>
      <c r="K42" s="172">
        <v>1.33</v>
      </c>
      <c r="L42" s="175">
        <v>1.22</v>
      </c>
      <c r="M42" s="172">
        <v>1.25</v>
      </c>
      <c r="N42" s="175">
        <v>1.3</v>
      </c>
      <c r="O42" s="172">
        <v>1.1</v>
      </c>
      <c r="P42" s="176">
        <f t="shared" si="12"/>
        <v>7507.317249</v>
      </c>
      <c r="Q42" s="177"/>
      <c r="R42" s="177"/>
      <c r="S42" s="177" t="str">
        <f t="shared" si="19"/>
        <v>INF</v>
      </c>
      <c r="T42" s="177">
        <f t="shared" si="3"/>
        <v>3986.891795</v>
      </c>
      <c r="U42" s="178" t="str">
        <f t="shared" si="20"/>
        <v>N/A</v>
      </c>
      <c r="V42" s="179" t="str">
        <f t="shared" si="21"/>
        <v>N/A</v>
      </c>
    </row>
    <row r="43" ht="37.5" customHeight="1">
      <c r="A43" s="169" t="s">
        <v>2380</v>
      </c>
      <c r="B43" s="170" t="s">
        <v>1771</v>
      </c>
      <c r="C43" s="170" t="s">
        <v>1772</v>
      </c>
      <c r="D43" s="182"/>
      <c r="E43" s="130" t="s">
        <v>1757</v>
      </c>
      <c r="F43" s="170"/>
      <c r="G43" s="171" t="s">
        <v>1902</v>
      </c>
      <c r="H43" s="172">
        <v>0.45</v>
      </c>
      <c r="I43" s="173">
        <v>0.45</v>
      </c>
      <c r="J43" s="174">
        <v>644.59</v>
      </c>
      <c r="K43" s="172">
        <f>1.22</f>
        <v>1.22</v>
      </c>
      <c r="L43" s="175">
        <v>1.22</v>
      </c>
      <c r="M43" s="172">
        <v>1.25</v>
      </c>
      <c r="N43" s="175">
        <v>1.3</v>
      </c>
      <c r="O43" s="172">
        <v>1.15</v>
      </c>
      <c r="P43" s="176">
        <f t="shared" si="12"/>
        <v>1792.893244</v>
      </c>
      <c r="Q43" s="177">
        <v>2126708.310794062</v>
      </c>
      <c r="R43" s="177">
        <v>160992.3021040168</v>
      </c>
      <c r="S43" s="177" t="s">
        <v>1757</v>
      </c>
      <c r="T43" s="177">
        <f t="shared" si="3"/>
        <v>3984.207209</v>
      </c>
      <c r="U43" s="178" t="str">
        <f t="shared" si="20"/>
        <v>N/A</v>
      </c>
      <c r="V43" s="179">
        <f t="shared" si="21"/>
        <v>1.269506727</v>
      </c>
    </row>
    <row r="44" ht="37.5" customHeight="1">
      <c r="A44" s="170" t="s">
        <v>2381</v>
      </c>
      <c r="B44" s="169" t="s">
        <v>1756</v>
      </c>
      <c r="C44" s="169" t="s">
        <v>1756</v>
      </c>
      <c r="D44" s="210"/>
      <c r="E44" s="204" t="s">
        <v>1757</v>
      </c>
      <c r="F44" s="169"/>
      <c r="G44" s="183" t="s">
        <v>582</v>
      </c>
      <c r="H44" s="175">
        <v>1.5</v>
      </c>
      <c r="I44" s="173" t="s">
        <v>582</v>
      </c>
      <c r="J44" s="184">
        <v>778.076</v>
      </c>
      <c r="K44" s="211"/>
      <c r="L44" s="175"/>
      <c r="M44" s="175">
        <f>1+1.5+1+1.65+0.3+0.65/2</f>
        <v>5.775</v>
      </c>
      <c r="N44" s="175">
        <v>1.3</v>
      </c>
      <c r="O44" s="175"/>
      <c r="P44" s="176">
        <f t="shared" si="12"/>
        <v>5841.40557</v>
      </c>
      <c r="Q44" s="177"/>
      <c r="R44" s="177"/>
      <c r="S44" s="177" t="str">
        <f t="shared" ref="S44:S45" si="22">IFERROR(P44*E44,"INF")</f>
        <v>INF</v>
      </c>
      <c r="T44" s="177">
        <f t="shared" si="3"/>
        <v>3894.27038</v>
      </c>
      <c r="U44" s="178" t="str">
        <f t="shared" si="20"/>
        <v>N/A</v>
      </c>
      <c r="V44" s="179" t="str">
        <f t="shared" si="21"/>
        <v>N/A</v>
      </c>
    </row>
    <row r="45" ht="37.5" customHeight="1">
      <c r="A45" s="169" t="s">
        <v>2382</v>
      </c>
      <c r="B45" s="170" t="s">
        <v>1771</v>
      </c>
      <c r="C45" s="170" t="s">
        <v>1777</v>
      </c>
      <c r="D45" s="182"/>
      <c r="E45" s="130" t="s">
        <v>1757</v>
      </c>
      <c r="F45" s="170"/>
      <c r="G45" s="171" t="s">
        <v>1757</v>
      </c>
      <c r="H45" s="172">
        <v>1.133</v>
      </c>
      <c r="I45" s="173" t="s">
        <v>1757</v>
      </c>
      <c r="J45" s="174">
        <v>979.247</v>
      </c>
      <c r="K45" s="172">
        <f>1.7*1.15</f>
        <v>1.955</v>
      </c>
      <c r="L45" s="175">
        <v>1.22</v>
      </c>
      <c r="M45" s="172">
        <v>1.25</v>
      </c>
      <c r="N45" s="175">
        <v>1.3</v>
      </c>
      <c r="O45" s="172">
        <v>1.15</v>
      </c>
      <c r="P45" s="176">
        <f t="shared" si="12"/>
        <v>4364.656274</v>
      </c>
      <c r="Q45" s="177">
        <v>8980462.517</v>
      </c>
      <c r="R45" s="177">
        <v>137703.36293240922</v>
      </c>
      <c r="S45" s="177" t="str">
        <f t="shared" si="22"/>
        <v>INF</v>
      </c>
      <c r="T45" s="177">
        <f t="shared" si="3"/>
        <v>3852.30033</v>
      </c>
      <c r="U45" s="178" t="str">
        <f t="shared" si="20"/>
        <v>N/A</v>
      </c>
      <c r="V45" s="179">
        <f t="shared" si="21"/>
        <v>1.435072332</v>
      </c>
    </row>
    <row r="46" ht="37.5" customHeight="1">
      <c r="A46" s="50" t="s">
        <v>2383</v>
      </c>
      <c r="B46" s="117" t="s">
        <v>1751</v>
      </c>
      <c r="C46" s="117" t="s">
        <v>1779</v>
      </c>
      <c r="D46" s="167"/>
      <c r="E46" s="111">
        <v>69.0</v>
      </c>
      <c r="F46" s="50" t="s">
        <v>1810</v>
      </c>
      <c r="G46" s="165" t="s">
        <v>1811</v>
      </c>
      <c r="H46" s="118">
        <v>2.317</v>
      </c>
      <c r="I46" s="159">
        <f>H46*13</f>
        <v>30.121</v>
      </c>
      <c r="J46" s="160">
        <v>2741.639</v>
      </c>
      <c r="K46" s="118">
        <v>1.418</v>
      </c>
      <c r="L46" s="118">
        <v>1.22</v>
      </c>
      <c r="M46" s="158">
        <v>1.25</v>
      </c>
      <c r="N46" s="118">
        <v>1.3</v>
      </c>
      <c r="O46" s="158">
        <v>1.1</v>
      </c>
      <c r="P46" s="161">
        <f t="shared" si="12"/>
        <v>8477.979875</v>
      </c>
      <c r="Q46" s="162">
        <v>5990569.373958277</v>
      </c>
      <c r="R46" s="162">
        <v>184677.51938955163</v>
      </c>
      <c r="S46" s="162">
        <f>IFERROR(P46*13.637,"INF")</f>
        <v>115614.2116</v>
      </c>
      <c r="T46" s="162">
        <f t="shared" si="3"/>
        <v>3838.325805</v>
      </c>
      <c r="U46" s="164">
        <f t="shared" si="20"/>
        <v>0.9900139632</v>
      </c>
      <c r="V46" s="163">
        <f t="shared" si="21"/>
        <v>1.066168883</v>
      </c>
    </row>
    <row r="47" ht="37.5" customHeight="1">
      <c r="A47" s="50" t="s">
        <v>2384</v>
      </c>
      <c r="B47" s="117" t="s">
        <v>1751</v>
      </c>
      <c r="C47" s="117" t="s">
        <v>1779</v>
      </c>
      <c r="D47" s="167"/>
      <c r="E47" s="111">
        <v>71.0</v>
      </c>
      <c r="F47" s="50" t="s">
        <v>1813</v>
      </c>
      <c r="G47" s="165" t="s">
        <v>1811</v>
      </c>
      <c r="H47" s="118">
        <v>2.633</v>
      </c>
      <c r="I47" s="159">
        <f>H47*14</f>
        <v>36.862</v>
      </c>
      <c r="J47" s="160">
        <f>1906.408+399.632*2+75.81*5</f>
        <v>3084.722</v>
      </c>
      <c r="K47" s="118">
        <v>1.418</v>
      </c>
      <c r="L47" s="118">
        <v>1.22</v>
      </c>
      <c r="M47" s="158">
        <v>1.25</v>
      </c>
      <c r="N47" s="118">
        <v>1.3</v>
      </c>
      <c r="O47" s="158">
        <v>1.1</v>
      </c>
      <c r="P47" s="161">
        <f t="shared" si="12"/>
        <v>9538.896637</v>
      </c>
      <c r="Q47" s="162">
        <v>6553070.459955054</v>
      </c>
      <c r="R47" s="162">
        <v>177773.05789037637</v>
      </c>
      <c r="S47" s="162">
        <f>IFERROR(P47*14.681,"INF")</f>
        <v>140040.5415</v>
      </c>
      <c r="T47" s="162">
        <f t="shared" si="3"/>
        <v>3799.048927</v>
      </c>
      <c r="U47" s="164">
        <f t="shared" si="20"/>
        <v>1.096243784</v>
      </c>
      <c r="V47" s="163">
        <f t="shared" si="21"/>
        <v>1.096243784</v>
      </c>
    </row>
    <row r="48" ht="37.5" customHeight="1">
      <c r="A48" s="169" t="s">
        <v>920</v>
      </c>
      <c r="B48" s="170" t="s">
        <v>1751</v>
      </c>
      <c r="C48" s="170" t="s">
        <v>1841</v>
      </c>
      <c r="D48" s="182"/>
      <c r="E48" s="130">
        <v>16.0</v>
      </c>
      <c r="F48" s="169" t="s">
        <v>1842</v>
      </c>
      <c r="G48" s="183" t="s">
        <v>1843</v>
      </c>
      <c r="H48" s="175">
        <v>1.3</v>
      </c>
      <c r="I48" s="173">
        <f>0.75+H48*(E48-4)+2.05*3</f>
        <v>22.5</v>
      </c>
      <c r="J48" s="174">
        <f>2217.481*1.1</f>
        <v>2439.2291</v>
      </c>
      <c r="K48" s="175"/>
      <c r="L48" s="175">
        <v>1.22</v>
      </c>
      <c r="M48" s="172">
        <v>1.25</v>
      </c>
      <c r="N48" s="175">
        <v>1.3</v>
      </c>
      <c r="O48" s="172">
        <v>1.1</v>
      </c>
      <c r="P48" s="176">
        <f t="shared" si="12"/>
        <v>5319.34886</v>
      </c>
      <c r="Q48" s="177">
        <v>3697108.7399999993</v>
      </c>
      <c r="R48" s="177">
        <v>147189.61461899828</v>
      </c>
      <c r="S48" s="177">
        <f t="shared" ref="S48:S50" si="23">IFERROR(P48*E48,"INF")</f>
        <v>85109.58176</v>
      </c>
      <c r="T48" s="177">
        <f t="shared" si="3"/>
        <v>3782.648078</v>
      </c>
      <c r="U48" s="178">
        <f t="shared" si="20"/>
        <v>1.180903561</v>
      </c>
      <c r="V48" s="179">
        <f t="shared" si="21"/>
        <v>1.31830825</v>
      </c>
    </row>
    <row r="49" ht="37.5" customHeight="1">
      <c r="A49" s="50" t="s">
        <v>2385</v>
      </c>
      <c r="B49" s="117" t="s">
        <v>1756</v>
      </c>
      <c r="C49" s="117" t="s">
        <v>1756</v>
      </c>
      <c r="D49" s="167"/>
      <c r="E49" s="49" t="s">
        <v>1757</v>
      </c>
      <c r="F49" s="50"/>
      <c r="G49" s="165" t="s">
        <v>582</v>
      </c>
      <c r="H49" s="158">
        <v>1.467</v>
      </c>
      <c r="I49" s="159" t="s">
        <v>582</v>
      </c>
      <c r="J49" s="160">
        <f>113.481*3.78</f>
        <v>428.95818</v>
      </c>
      <c r="K49" s="158"/>
      <c r="L49" s="118"/>
      <c r="M49" s="118">
        <f>1+4+0.6+2</f>
        <v>7.6</v>
      </c>
      <c r="N49" s="118">
        <v>1.3</v>
      </c>
      <c r="O49" s="158">
        <f>1.3</f>
        <v>1.3</v>
      </c>
      <c r="P49" s="161">
        <f t="shared" si="12"/>
        <v>5509.538864</v>
      </c>
      <c r="Q49" s="162" t="s">
        <v>1757</v>
      </c>
      <c r="R49" s="162">
        <v>164291.56548165137</v>
      </c>
      <c r="S49" s="162" t="str">
        <f t="shared" si="23"/>
        <v>INF</v>
      </c>
      <c r="T49" s="162">
        <f t="shared" si="3"/>
        <v>3755.650214</v>
      </c>
      <c r="U49" s="164" t="str">
        <f t="shared" si="20"/>
        <v>N/A</v>
      </c>
      <c r="V49" s="163">
        <f t="shared" si="21"/>
        <v>1.172649085</v>
      </c>
    </row>
    <row r="50" ht="37.5" customHeight="1">
      <c r="A50" s="50" t="s">
        <v>2386</v>
      </c>
      <c r="B50" s="117" t="s">
        <v>1771</v>
      </c>
      <c r="C50" s="117" t="s">
        <v>1772</v>
      </c>
      <c r="D50" s="167"/>
      <c r="E50" s="111">
        <v>20.0</v>
      </c>
      <c r="F50" s="117"/>
      <c r="G50" s="165" t="s">
        <v>1816</v>
      </c>
      <c r="H50" s="158">
        <v>2.917</v>
      </c>
      <c r="I50" s="159">
        <f>H50*3+0.8</f>
        <v>9.551</v>
      </c>
      <c r="J50" s="160">
        <f>3923.647/5</f>
        <v>784.7294</v>
      </c>
      <c r="K50" s="118"/>
      <c r="L50" s="118">
        <v>1.22</v>
      </c>
      <c r="M50" s="158">
        <v>1.25</v>
      </c>
      <c r="N50" s="118">
        <v>1.3</v>
      </c>
      <c r="O50" s="158">
        <v>1.15</v>
      </c>
      <c r="P50" s="161">
        <f t="shared" si="12"/>
        <v>1789.084941</v>
      </c>
      <c r="Q50" s="162">
        <v>1178547.5671057045</v>
      </c>
      <c r="R50" s="162">
        <v>281746.967990845</v>
      </c>
      <c r="S50" s="162">
        <f t="shared" si="23"/>
        <v>35781.69882</v>
      </c>
      <c r="T50" s="162">
        <f t="shared" si="3"/>
        <v>3746.382454</v>
      </c>
      <c r="U50" s="164">
        <f t="shared" si="20"/>
        <v>1.557442566</v>
      </c>
      <c r="V50" s="163">
        <f t="shared" si="21"/>
        <v>0.6821047278</v>
      </c>
    </row>
    <row r="51" ht="37.5" customHeight="1">
      <c r="A51" s="50" t="s">
        <v>2387</v>
      </c>
      <c r="B51" s="117" t="s">
        <v>1751</v>
      </c>
      <c r="C51" s="117" t="s">
        <v>1779</v>
      </c>
      <c r="D51" s="167"/>
      <c r="E51" s="111">
        <v>71.0</v>
      </c>
      <c r="F51" s="50" t="s">
        <v>1813</v>
      </c>
      <c r="G51" s="165" t="s">
        <v>1811</v>
      </c>
      <c r="H51" s="118">
        <v>2.633</v>
      </c>
      <c r="I51" s="159">
        <f>H51*14</f>
        <v>36.862</v>
      </c>
      <c r="J51" s="160">
        <f>1906.408*1.0166+399.632*1.0166*2+75.81*5</f>
        <v>3129.636155</v>
      </c>
      <c r="K51" s="158">
        <v>1.35</v>
      </c>
      <c r="L51" s="118">
        <v>1.22</v>
      </c>
      <c r="M51" s="158">
        <v>1.25</v>
      </c>
      <c r="N51" s="118">
        <v>1.3</v>
      </c>
      <c r="O51" s="158">
        <v>1.1</v>
      </c>
      <c r="P51" s="161">
        <f t="shared" si="12"/>
        <v>9213.687961</v>
      </c>
      <c r="Q51" s="162"/>
      <c r="R51" s="162"/>
      <c r="S51" s="162">
        <f>IFERROR(P51*14.81,"INF")</f>
        <v>136454.7187</v>
      </c>
      <c r="T51" s="162">
        <f t="shared" si="3"/>
        <v>3701.771979</v>
      </c>
      <c r="U51" s="164" t="str">
        <f t="shared" si="20"/>
        <v>N/A</v>
      </c>
      <c r="V51" s="163" t="str">
        <f t="shared" si="21"/>
        <v>N/A</v>
      </c>
    </row>
    <row r="52" ht="37.5" customHeight="1">
      <c r="A52" s="50" t="s">
        <v>2388</v>
      </c>
      <c r="B52" s="117" t="s">
        <v>1771</v>
      </c>
      <c r="C52" s="117" t="s">
        <v>1772</v>
      </c>
      <c r="D52" s="167"/>
      <c r="E52" s="111">
        <v>189.0</v>
      </c>
      <c r="F52" s="50"/>
      <c r="G52" s="165" t="s">
        <v>1820</v>
      </c>
      <c r="H52" s="118">
        <f>2.283/29</f>
        <v>0.07872413793</v>
      </c>
      <c r="I52" s="159">
        <f>3.3*6+H52*8</f>
        <v>20.4297931</v>
      </c>
      <c r="J52" s="168">
        <f>161.466+797.124/60</f>
        <v>174.7514</v>
      </c>
      <c r="K52" s="118"/>
      <c r="L52" s="118">
        <v>1.22</v>
      </c>
      <c r="M52" s="158">
        <v>1.25</v>
      </c>
      <c r="N52" s="118">
        <v>1.3</v>
      </c>
      <c r="O52" s="158">
        <v>1.15</v>
      </c>
      <c r="P52" s="161">
        <f t="shared" si="12"/>
        <v>398.4113481</v>
      </c>
      <c r="Q52" s="162">
        <v>5709778.425</v>
      </c>
      <c r="R52" s="162">
        <v>199064.89645434578</v>
      </c>
      <c r="S52" s="162">
        <f t="shared" ref="S52:S54" si="24">IFERROR(P52*E52,"INF")</f>
        <v>75299.74479</v>
      </c>
      <c r="T52" s="162">
        <f t="shared" si="3"/>
        <v>3685.781075</v>
      </c>
      <c r="U52" s="164">
        <f t="shared" si="20"/>
        <v>0.6765072404</v>
      </c>
      <c r="V52" s="163">
        <f t="shared" si="21"/>
        <v>0.9498019426</v>
      </c>
    </row>
    <row r="53" ht="37.5" customHeight="1">
      <c r="A53" s="169" t="s">
        <v>2389</v>
      </c>
      <c r="B53" s="170" t="s">
        <v>1751</v>
      </c>
      <c r="C53" s="170" t="s">
        <v>1805</v>
      </c>
      <c r="D53" s="182"/>
      <c r="E53" s="130">
        <v>26.0</v>
      </c>
      <c r="F53" s="170" t="s">
        <v>1764</v>
      </c>
      <c r="G53" s="171" t="s">
        <v>1837</v>
      </c>
      <c r="H53" s="175">
        <v>0.508</v>
      </c>
      <c r="I53" s="173">
        <f>H53*(E53-4)+1.45*3</f>
        <v>15.526</v>
      </c>
      <c r="J53" s="174">
        <f>745.212*1.05</f>
        <v>782.4726</v>
      </c>
      <c r="K53" s="175">
        <f>(24*1.3+2*1)/26</f>
        <v>1.276923077</v>
      </c>
      <c r="L53" s="175">
        <v>1.22</v>
      </c>
      <c r="M53" s="172">
        <v>1.25</v>
      </c>
      <c r="N53" s="175">
        <v>1.3</v>
      </c>
      <c r="O53" s="172">
        <v>1.1</v>
      </c>
      <c r="P53" s="176">
        <f t="shared" si="12"/>
        <v>2178.912326</v>
      </c>
      <c r="Q53" s="177"/>
      <c r="R53" s="177"/>
      <c r="S53" s="177">
        <f t="shared" si="24"/>
        <v>56651.72047</v>
      </c>
      <c r="T53" s="177">
        <f t="shared" si="3"/>
        <v>3648.829091</v>
      </c>
      <c r="U53" s="178" t="str">
        <f t="shared" si="20"/>
        <v>N/A</v>
      </c>
      <c r="V53" s="179" t="str">
        <f t="shared" si="21"/>
        <v>N/A</v>
      </c>
    </row>
    <row r="54" ht="37.5" customHeight="1">
      <c r="A54" s="50" t="s">
        <v>2390</v>
      </c>
      <c r="B54" s="117" t="s">
        <v>1751</v>
      </c>
      <c r="C54" s="117" t="s">
        <v>1752</v>
      </c>
      <c r="D54" s="167"/>
      <c r="E54" s="111">
        <v>14.0</v>
      </c>
      <c r="F54" s="117"/>
      <c r="G54" s="165" t="s">
        <v>1753</v>
      </c>
      <c r="H54" s="158">
        <v>1.333</v>
      </c>
      <c r="I54" s="159">
        <f>H54*(E54-1)</f>
        <v>17.329</v>
      </c>
      <c r="J54" s="160">
        <v>2069.603</v>
      </c>
      <c r="K54" s="118"/>
      <c r="L54" s="118">
        <v>1.22</v>
      </c>
      <c r="M54" s="158">
        <v>1.25</v>
      </c>
      <c r="N54" s="118">
        <v>1.3</v>
      </c>
      <c r="O54" s="158">
        <v>1.1</v>
      </c>
      <c r="P54" s="161">
        <f t="shared" si="12"/>
        <v>4513.286742</v>
      </c>
      <c r="Q54" s="162">
        <v>3874920.363083247</v>
      </c>
      <c r="R54" s="162">
        <v>175335.76303544102</v>
      </c>
      <c r="S54" s="162">
        <f t="shared" si="24"/>
        <v>63186.01439</v>
      </c>
      <c r="T54" s="162">
        <f t="shared" si="3"/>
        <v>3646.258549</v>
      </c>
      <c r="U54" s="164">
        <f t="shared" si="20"/>
        <v>0.8364815778</v>
      </c>
      <c r="V54" s="163">
        <f t="shared" si="21"/>
        <v>1.066780707</v>
      </c>
    </row>
    <row r="55" ht="37.5" customHeight="1">
      <c r="A55" s="50" t="s">
        <v>2391</v>
      </c>
      <c r="B55" s="117" t="s">
        <v>1751</v>
      </c>
      <c r="C55" s="117" t="s">
        <v>1779</v>
      </c>
      <c r="D55" s="167"/>
      <c r="E55" s="111">
        <v>71.0</v>
      </c>
      <c r="F55" s="50"/>
      <c r="G55" s="157" t="s">
        <v>1823</v>
      </c>
      <c r="H55" s="158">
        <v>1.75</v>
      </c>
      <c r="I55" s="159">
        <f>H55*18</f>
        <v>31.5</v>
      </c>
      <c r="J55" s="160">
        <f>1906.408*1.0166+75.81*3
</f>
        <v>2165.484373</v>
      </c>
      <c r="K55" s="158">
        <v>1.35</v>
      </c>
      <c r="L55" s="118">
        <v>1.22</v>
      </c>
      <c r="M55" s="158">
        <v>1.25</v>
      </c>
      <c r="N55" s="118">
        <v>1.3</v>
      </c>
      <c r="O55" s="158">
        <v>1.1</v>
      </c>
      <c r="P55" s="161">
        <f t="shared" si="12"/>
        <v>6375.213062</v>
      </c>
      <c r="Q55" s="162"/>
      <c r="R55" s="162"/>
      <c r="S55" s="162">
        <f>IFERROR(P55*18,"INF")</f>
        <v>114753.8351</v>
      </c>
      <c r="T55" s="162">
        <f t="shared" si="3"/>
        <v>3642.978893</v>
      </c>
      <c r="U55" s="164" t="str">
        <f t="shared" si="20"/>
        <v>N/A</v>
      </c>
      <c r="V55" s="163" t="str">
        <f t="shared" si="21"/>
        <v>N/A</v>
      </c>
    </row>
    <row r="56" ht="37.5" customHeight="1">
      <c r="A56" s="117" t="s">
        <v>2392</v>
      </c>
      <c r="B56" s="117" t="s">
        <v>1771</v>
      </c>
      <c r="C56" s="117" t="s">
        <v>1777</v>
      </c>
      <c r="D56" s="188"/>
      <c r="E56" s="111">
        <v>26.0</v>
      </c>
      <c r="F56" s="50"/>
      <c r="G56" s="157" t="s">
        <v>1801</v>
      </c>
      <c r="H56" s="118">
        <v>0.433</v>
      </c>
      <c r="I56" s="186">
        <v>15.35</v>
      </c>
      <c r="J56" s="168">
        <v>642.128</v>
      </c>
      <c r="K56" s="118">
        <f>1.15*(1.3*24+1*2)/26</f>
        <v>1.468461538</v>
      </c>
      <c r="L56" s="118">
        <v>1.22</v>
      </c>
      <c r="M56" s="158">
        <v>1.25</v>
      </c>
      <c r="N56" s="118">
        <v>1.3</v>
      </c>
      <c r="O56" s="158">
        <v>1.15</v>
      </c>
      <c r="P56" s="161">
        <f t="shared" si="12"/>
        <v>2149.78595</v>
      </c>
      <c r="Q56" s="162"/>
      <c r="R56" s="162"/>
      <c r="S56" s="162">
        <f t="shared" ref="S56:S62" si="25">IFERROR(P56*E56,"INF")</f>
        <v>55894.4347</v>
      </c>
      <c r="T56" s="162">
        <f t="shared" si="3"/>
        <v>3641.331251</v>
      </c>
      <c r="U56" s="178"/>
      <c r="V56" s="179"/>
    </row>
    <row r="57" ht="37.5" customHeight="1">
      <c r="A57" s="117" t="s">
        <v>2393</v>
      </c>
      <c r="B57" s="117" t="s">
        <v>1756</v>
      </c>
      <c r="C57" s="117" t="s">
        <v>1756</v>
      </c>
      <c r="D57" s="156"/>
      <c r="E57" s="111" t="s">
        <v>1757</v>
      </c>
      <c r="F57" s="50"/>
      <c r="G57" s="157" t="s">
        <v>582</v>
      </c>
      <c r="H57" s="158">
        <v>2.533</v>
      </c>
      <c r="I57" s="186" t="s">
        <v>582</v>
      </c>
      <c r="J57" s="168">
        <v>943.296</v>
      </c>
      <c r="K57" s="118"/>
      <c r="L57" s="118"/>
      <c r="M57" s="158">
        <f>1+2+1.5</f>
        <v>4.5</v>
      </c>
      <c r="N57" s="118">
        <v>1.3</v>
      </c>
      <c r="O57" s="158">
        <v>1.3</v>
      </c>
      <c r="P57" s="161">
        <f>PRODUCT(J57:O57)+511.708*1.22*1.25*1.3*2</f>
        <v>9202.6883</v>
      </c>
      <c r="Q57" s="162"/>
      <c r="R57" s="162"/>
      <c r="S57" s="162" t="str">
        <f t="shared" si="25"/>
        <v>INF</v>
      </c>
      <c r="T57" s="162">
        <f t="shared" si="3"/>
        <v>3633.11816</v>
      </c>
      <c r="U57" s="164" t="str">
        <f t="shared" ref="U57:U85" si="26">IFERROR(IF(ISBLANK(Q57),"N/A",(S57/Q57)*(104237/2032)),"N/A")</f>
        <v>N/A</v>
      </c>
      <c r="V57" s="163" t="str">
        <f t="shared" ref="V57:V85" si="27">IF(ISBLANK(R57),"N/A",(T57/R57)*(104237/2032))</f>
        <v>N/A</v>
      </c>
    </row>
    <row r="58" ht="37.5" customHeight="1">
      <c r="A58" s="50" t="s">
        <v>2394</v>
      </c>
      <c r="B58" s="117" t="s">
        <v>1751</v>
      </c>
      <c r="C58" s="117" t="s">
        <v>1761</v>
      </c>
      <c r="D58" s="167"/>
      <c r="E58" s="111">
        <v>11.0</v>
      </c>
      <c r="F58" s="50"/>
      <c r="G58" s="165" t="s">
        <v>1753</v>
      </c>
      <c r="H58" s="158">
        <v>2.3</v>
      </c>
      <c r="I58" s="159">
        <f>H58*(E58-1)</f>
        <v>23</v>
      </c>
      <c r="J58" s="168">
        <v>3476.395</v>
      </c>
      <c r="K58" s="118"/>
      <c r="L58" s="118">
        <v>1.22</v>
      </c>
      <c r="M58" s="158">
        <v>1.25</v>
      </c>
      <c r="N58" s="118">
        <v>1.3</v>
      </c>
      <c r="O58" s="158">
        <v>1.1</v>
      </c>
      <c r="P58" s="161">
        <f t="shared" ref="P58:P123" si="28">PRODUCT(J58:O58)</f>
        <v>7581.148396</v>
      </c>
      <c r="Q58" s="162">
        <v>3347347.3537697764</v>
      </c>
      <c r="R58" s="162">
        <v>132306.21951659195</v>
      </c>
      <c r="S58" s="162">
        <f t="shared" si="25"/>
        <v>83392.63236</v>
      </c>
      <c r="T58" s="162">
        <f t="shared" si="3"/>
        <v>3625.766624</v>
      </c>
      <c r="U58" s="164">
        <f t="shared" si="26"/>
        <v>1.277983073</v>
      </c>
      <c r="V58" s="163">
        <f t="shared" si="27"/>
        <v>1.40578138</v>
      </c>
    </row>
    <row r="59" ht="37.5" customHeight="1">
      <c r="A59" s="50" t="s">
        <v>2395</v>
      </c>
      <c r="B59" s="117" t="s">
        <v>1771</v>
      </c>
      <c r="C59" s="117" t="s">
        <v>1772</v>
      </c>
      <c r="D59" s="167"/>
      <c r="E59" s="111">
        <v>17.0</v>
      </c>
      <c r="F59" s="117" t="s">
        <v>1831</v>
      </c>
      <c r="G59" s="157" t="s">
        <v>1832</v>
      </c>
      <c r="H59" s="158">
        <v>0.917</v>
      </c>
      <c r="I59" s="159">
        <f>H59*(E59-3)+1.1*2</f>
        <v>15.038</v>
      </c>
      <c r="J59" s="160">
        <f>(802.758*3+980.531*1.55*14)/17</f>
        <v>1393.282159</v>
      </c>
      <c r="K59" s="118"/>
      <c r="L59" s="118">
        <v>1.22</v>
      </c>
      <c r="M59" s="158">
        <v>1.25</v>
      </c>
      <c r="N59" s="118">
        <v>1.3</v>
      </c>
      <c r="O59" s="158">
        <v>1.15</v>
      </c>
      <c r="P59" s="161">
        <f t="shared" si="28"/>
        <v>3176.509162</v>
      </c>
      <c r="Q59" s="162"/>
      <c r="R59" s="162"/>
      <c r="S59" s="162">
        <f t="shared" si="25"/>
        <v>54000.65575</v>
      </c>
      <c r="T59" s="162">
        <f t="shared" si="3"/>
        <v>3590.946652</v>
      </c>
      <c r="U59" s="164" t="str">
        <f t="shared" si="26"/>
        <v>N/A</v>
      </c>
      <c r="V59" s="163" t="str">
        <f t="shared" si="27"/>
        <v>N/A</v>
      </c>
    </row>
    <row r="60" ht="37.5" customHeight="1">
      <c r="A60" s="169" t="s">
        <v>2396</v>
      </c>
      <c r="B60" s="170" t="s">
        <v>1751</v>
      </c>
      <c r="C60" s="170" t="s">
        <v>1805</v>
      </c>
      <c r="D60" s="182"/>
      <c r="E60" s="130">
        <v>30.0</v>
      </c>
      <c r="F60" s="170" t="s">
        <v>1764</v>
      </c>
      <c r="G60" s="171" t="s">
        <v>1851</v>
      </c>
      <c r="H60" s="175">
        <v>0.4</v>
      </c>
      <c r="I60" s="173">
        <f>H60*(E60-5)+1.45*4</f>
        <v>15.8</v>
      </c>
      <c r="J60" s="184">
        <f>640.506*1.05</f>
        <v>672.5313</v>
      </c>
      <c r="K60" s="175">
        <f>(28*1.3+2*1)/30</f>
        <v>1.28</v>
      </c>
      <c r="L60" s="175">
        <v>1.22</v>
      </c>
      <c r="M60" s="172">
        <v>1.25</v>
      </c>
      <c r="N60" s="175">
        <v>1.3</v>
      </c>
      <c r="O60" s="172">
        <v>1.1</v>
      </c>
      <c r="P60" s="176">
        <f t="shared" si="28"/>
        <v>1877.27697</v>
      </c>
      <c r="Q60" s="177"/>
      <c r="R60" s="177"/>
      <c r="S60" s="177">
        <f t="shared" si="25"/>
        <v>56318.30909</v>
      </c>
      <c r="T60" s="177">
        <f t="shared" si="3"/>
        <v>3564.449942</v>
      </c>
      <c r="U60" s="178" t="str">
        <f t="shared" si="26"/>
        <v>N/A</v>
      </c>
      <c r="V60" s="179" t="str">
        <f t="shared" si="27"/>
        <v>N/A</v>
      </c>
    </row>
    <row r="61" ht="37.5" customHeight="1">
      <c r="A61" s="169" t="s">
        <v>2397</v>
      </c>
      <c r="B61" s="170" t="s">
        <v>1751</v>
      </c>
      <c r="C61" s="170" t="s">
        <v>1841</v>
      </c>
      <c r="D61" s="182"/>
      <c r="E61" s="130">
        <v>21.0</v>
      </c>
      <c r="F61" s="169" t="s">
        <v>1866</v>
      </c>
      <c r="G61" s="183" t="s">
        <v>1867</v>
      </c>
      <c r="H61" s="172">
        <v>1.367</v>
      </c>
      <c r="I61" s="173">
        <f>0.467+H61*(E61-2)+2.017</f>
        <v>28.457</v>
      </c>
      <c r="J61" s="174">
        <f>1363.335*1.1</f>
        <v>1499.6685</v>
      </c>
      <c r="K61" s="175">
        <v>1.47</v>
      </c>
      <c r="L61" s="175">
        <v>1.22</v>
      </c>
      <c r="M61" s="172">
        <v>1.25</v>
      </c>
      <c r="N61" s="175">
        <v>1.3</v>
      </c>
      <c r="O61" s="172">
        <v>1.1</v>
      </c>
      <c r="P61" s="176">
        <f t="shared" si="28"/>
        <v>4807.49106</v>
      </c>
      <c r="Q61" s="177">
        <v>5503386.094888499</v>
      </c>
      <c r="R61" s="177">
        <v>149516.03170203484</v>
      </c>
      <c r="S61" s="177">
        <f t="shared" si="25"/>
        <v>100957.3123</v>
      </c>
      <c r="T61" s="177">
        <f t="shared" si="3"/>
        <v>3547.714525</v>
      </c>
      <c r="U61" s="178">
        <f t="shared" si="26"/>
        <v>0.9410354796</v>
      </c>
      <c r="V61" s="179">
        <f t="shared" si="27"/>
        <v>1.217192042</v>
      </c>
    </row>
    <row r="62" ht="37.5" customHeight="1">
      <c r="A62" s="50" t="s">
        <v>2398</v>
      </c>
      <c r="B62" s="117" t="s">
        <v>1771</v>
      </c>
      <c r="C62" s="117" t="s">
        <v>1772</v>
      </c>
      <c r="D62" s="167"/>
      <c r="E62" s="111">
        <v>25.0</v>
      </c>
      <c r="F62" s="50" t="s">
        <v>1839</v>
      </c>
      <c r="G62" s="157" t="s">
        <v>1840</v>
      </c>
      <c r="H62" s="118">
        <v>0.433</v>
      </c>
      <c r="I62" s="159">
        <f>H62*(E62-2)+2.5</f>
        <v>12.459</v>
      </c>
      <c r="J62" s="168">
        <v>511.708</v>
      </c>
      <c r="K62" s="118">
        <v>1.47</v>
      </c>
      <c r="L62" s="118">
        <v>1.22</v>
      </c>
      <c r="M62" s="158">
        <v>1.25</v>
      </c>
      <c r="N62" s="118">
        <v>1.3</v>
      </c>
      <c r="O62" s="158">
        <v>1.15</v>
      </c>
      <c r="P62" s="161">
        <f t="shared" si="28"/>
        <v>1714.946506</v>
      </c>
      <c r="Q62" s="162">
        <v>2357299.8722851225</v>
      </c>
      <c r="R62" s="162">
        <v>172191.37124069556</v>
      </c>
      <c r="S62" s="162">
        <f t="shared" si="25"/>
        <v>42873.66266</v>
      </c>
      <c r="T62" s="162">
        <f t="shared" si="3"/>
        <v>3441.180084</v>
      </c>
      <c r="U62" s="164">
        <f t="shared" si="26"/>
        <v>0.9329834799</v>
      </c>
      <c r="V62" s="163">
        <f t="shared" si="27"/>
        <v>1.025166052</v>
      </c>
    </row>
    <row r="63" ht="37.5" customHeight="1">
      <c r="A63" s="50" t="s">
        <v>2399</v>
      </c>
      <c r="B63" s="117" t="s">
        <v>1751</v>
      </c>
      <c r="C63" s="117" t="s">
        <v>1779</v>
      </c>
      <c r="D63" s="167"/>
      <c r="E63" s="111">
        <v>71.0</v>
      </c>
      <c r="F63" s="50" t="s">
        <v>1813</v>
      </c>
      <c r="G63" s="165" t="s">
        <v>1811</v>
      </c>
      <c r="H63" s="118">
        <v>2.433</v>
      </c>
      <c r="I63" s="159">
        <f>H63*14</f>
        <v>34.062</v>
      </c>
      <c r="J63" s="160">
        <v>2577.406</v>
      </c>
      <c r="K63" s="118">
        <v>1.418</v>
      </c>
      <c r="L63" s="118">
        <v>1.22</v>
      </c>
      <c r="M63" s="158">
        <v>1.25</v>
      </c>
      <c r="N63" s="118">
        <v>1.3</v>
      </c>
      <c r="O63" s="158">
        <v>1.1</v>
      </c>
      <c r="P63" s="161">
        <f t="shared" si="28"/>
        <v>7970.121595</v>
      </c>
      <c r="Q63" s="162">
        <v>5810149.319670863</v>
      </c>
      <c r="R63" s="162">
        <v>170575.69489962023</v>
      </c>
      <c r="S63" s="162">
        <f>IFERROR(P63*14.635,"INF")</f>
        <v>116642.7295</v>
      </c>
      <c r="T63" s="162">
        <f t="shared" si="3"/>
        <v>3424.423978</v>
      </c>
      <c r="U63" s="164">
        <f t="shared" si="26"/>
        <v>1.029837211</v>
      </c>
      <c r="V63" s="163">
        <f t="shared" si="27"/>
        <v>1.029837211</v>
      </c>
    </row>
    <row r="64" ht="37.5" customHeight="1">
      <c r="A64" s="169" t="s">
        <v>2400</v>
      </c>
      <c r="B64" s="170" t="s">
        <v>1771</v>
      </c>
      <c r="C64" s="170" t="s">
        <v>1772</v>
      </c>
      <c r="D64" s="182"/>
      <c r="E64" s="130">
        <v>18.0</v>
      </c>
      <c r="F64" s="170" t="s">
        <v>1967</v>
      </c>
      <c r="G64" s="183" t="s">
        <v>1968</v>
      </c>
      <c r="H64" s="172">
        <v>0.6915</v>
      </c>
      <c r="I64" s="173">
        <f>H64*6+0.733*(E64-7)</f>
        <v>12.212</v>
      </c>
      <c r="J64" s="174">
        <f>655.941*1.15</f>
        <v>754.33215</v>
      </c>
      <c r="K64" s="175">
        <v>1.35</v>
      </c>
      <c r="L64" s="175">
        <v>1.22</v>
      </c>
      <c r="M64" s="172">
        <v>1.25</v>
      </c>
      <c r="N64" s="175">
        <v>1.3</v>
      </c>
      <c r="O64" s="172">
        <v>1.15</v>
      </c>
      <c r="P64" s="176">
        <f t="shared" si="28"/>
        <v>2321.707064</v>
      </c>
      <c r="Q64" s="177">
        <v>1732856.0766964273</v>
      </c>
      <c r="R64" s="177">
        <v>115917.85916759832</v>
      </c>
      <c r="S64" s="177">
        <f t="shared" ref="S64:S65" si="29">IFERROR(P64*E64,"INF")</f>
        <v>41790.72715</v>
      </c>
      <c r="T64" s="177">
        <f t="shared" si="3"/>
        <v>3422.103436</v>
      </c>
      <c r="U64" s="178">
        <f t="shared" si="26"/>
        <v>1.237130842</v>
      </c>
      <c r="V64" s="179">
        <f t="shared" si="27"/>
        <v>1.514401324</v>
      </c>
    </row>
    <row r="65" ht="37.5" customHeight="1">
      <c r="A65" s="50" t="s">
        <v>2401</v>
      </c>
      <c r="B65" s="117" t="s">
        <v>1751</v>
      </c>
      <c r="C65" s="117" t="s">
        <v>1779</v>
      </c>
      <c r="D65" s="167"/>
      <c r="E65" s="111">
        <v>103.0</v>
      </c>
      <c r="F65" s="50"/>
      <c r="G65" s="157" t="s">
        <v>1849</v>
      </c>
      <c r="H65" s="118">
        <v>0.466</v>
      </c>
      <c r="I65" s="159">
        <f>H65*E65</f>
        <v>47.998</v>
      </c>
      <c r="J65" s="160">
        <v>511.961</v>
      </c>
      <c r="K65" s="118">
        <v>1.418</v>
      </c>
      <c r="L65" s="118">
        <v>1.22</v>
      </c>
      <c r="M65" s="158">
        <v>1.25</v>
      </c>
      <c r="N65" s="118">
        <v>1.3</v>
      </c>
      <c r="O65" s="158">
        <v>1.1</v>
      </c>
      <c r="P65" s="161">
        <f t="shared" si="28"/>
        <v>1583.138792</v>
      </c>
      <c r="Q65" s="162">
        <v>8318297.701993714</v>
      </c>
      <c r="R65" s="162">
        <v>157968.3562230566</v>
      </c>
      <c r="S65" s="162">
        <f t="shared" si="29"/>
        <v>163063.2956</v>
      </c>
      <c r="T65" s="162">
        <f t="shared" si="3"/>
        <v>3397.293545</v>
      </c>
      <c r="U65" s="164">
        <f t="shared" si="26"/>
        <v>1.005587708</v>
      </c>
      <c r="V65" s="163">
        <f t="shared" si="27"/>
        <v>1.103217583</v>
      </c>
    </row>
    <row r="66" ht="37.5" customHeight="1">
      <c r="A66" s="50" t="s">
        <v>2402</v>
      </c>
      <c r="B66" s="117" t="s">
        <v>1751</v>
      </c>
      <c r="C66" s="117" t="s">
        <v>1779</v>
      </c>
      <c r="D66" s="167"/>
      <c r="E66" s="111">
        <v>63.0</v>
      </c>
      <c r="F66" s="50"/>
      <c r="G66" s="50" t="s">
        <v>1823</v>
      </c>
      <c r="H66" s="118">
        <v>2.016</v>
      </c>
      <c r="I66" s="159">
        <f>H66*15</f>
        <v>30.24</v>
      </c>
      <c r="J66" s="160">
        <v>2917.385</v>
      </c>
      <c r="K66" s="118"/>
      <c r="L66" s="118">
        <v>1.22</v>
      </c>
      <c r="M66" s="158">
        <v>1.25</v>
      </c>
      <c r="N66" s="118">
        <v>1.3</v>
      </c>
      <c r="O66" s="158">
        <v>1.1</v>
      </c>
      <c r="P66" s="161">
        <f t="shared" si="28"/>
        <v>6362.087339</v>
      </c>
      <c r="Q66" s="162">
        <v>4802317.701468796</v>
      </c>
      <c r="R66" s="162">
        <v>132339.00191437377</v>
      </c>
      <c r="S66" s="162">
        <f>IFERROR(P66*16,"INF")</f>
        <v>101793.3974</v>
      </c>
      <c r="T66" s="162">
        <f t="shared" si="3"/>
        <v>3366.183777</v>
      </c>
      <c r="U66" s="164">
        <f t="shared" si="26"/>
        <v>1.087343898</v>
      </c>
      <c r="V66" s="163">
        <f t="shared" si="27"/>
        <v>1.304812678</v>
      </c>
    </row>
    <row r="67" ht="37.5" customHeight="1">
      <c r="A67" s="50" t="s">
        <v>2403</v>
      </c>
      <c r="B67" s="117" t="s">
        <v>1751</v>
      </c>
      <c r="C67" s="117" t="s">
        <v>1777</v>
      </c>
      <c r="D67" s="167"/>
      <c r="E67" s="111">
        <v>38.0</v>
      </c>
      <c r="F67" s="50"/>
      <c r="G67" s="157" t="s">
        <v>1857</v>
      </c>
      <c r="H67" s="118">
        <v>0.801</v>
      </c>
      <c r="I67" s="159">
        <f>H67*(E67-1)</f>
        <v>29.637</v>
      </c>
      <c r="J67" s="160">
        <v>1190.573</v>
      </c>
      <c r="K67" s="118"/>
      <c r="L67" s="118">
        <v>1.22</v>
      </c>
      <c r="M67" s="158">
        <v>1.25</v>
      </c>
      <c r="N67" s="118">
        <v>1.3</v>
      </c>
      <c r="O67" s="158">
        <v>1.1</v>
      </c>
      <c r="P67" s="161">
        <f t="shared" si="28"/>
        <v>2596.34207</v>
      </c>
      <c r="Q67" s="162">
        <v>5973516.24742194</v>
      </c>
      <c r="R67" s="162">
        <v>155366.1113041495</v>
      </c>
      <c r="S67" s="162">
        <f t="shared" ref="S67:S68" si="30">IFERROR(P67*E67,"INF")</f>
        <v>98660.99865</v>
      </c>
      <c r="T67" s="162">
        <f t="shared" si="3"/>
        <v>3328.980621</v>
      </c>
      <c r="U67" s="164">
        <f t="shared" si="26"/>
        <v>0.8472540585</v>
      </c>
      <c r="V67" s="163">
        <f t="shared" si="27"/>
        <v>1.0991404</v>
      </c>
    </row>
    <row r="68" ht="37.5" customHeight="1">
      <c r="A68" s="169" t="s">
        <v>2404</v>
      </c>
      <c r="B68" s="170" t="s">
        <v>1751</v>
      </c>
      <c r="C68" s="170" t="s">
        <v>1805</v>
      </c>
      <c r="D68" s="182"/>
      <c r="E68" s="130">
        <v>26.0</v>
      </c>
      <c r="F68" s="170" t="s">
        <v>1806</v>
      </c>
      <c r="G68" s="183" t="s">
        <v>1873</v>
      </c>
      <c r="H68" s="175">
        <v>0.516</v>
      </c>
      <c r="I68" s="173">
        <f>H68*(E68-2)+2.017</f>
        <v>14.401</v>
      </c>
      <c r="J68" s="184">
        <f>729.551*1.05</f>
        <v>766.02855</v>
      </c>
      <c r="K68" s="175">
        <v>1.1</v>
      </c>
      <c r="L68" s="175">
        <v>1.22</v>
      </c>
      <c r="M68" s="172">
        <v>1.25</v>
      </c>
      <c r="N68" s="175">
        <v>1.3</v>
      </c>
      <c r="O68" s="172">
        <v>1.1</v>
      </c>
      <c r="P68" s="176">
        <f t="shared" si="28"/>
        <v>1837.568436</v>
      </c>
      <c r="Q68" s="177">
        <v>2366885.7355</v>
      </c>
      <c r="R68" s="177">
        <v>157981.9607195301</v>
      </c>
      <c r="S68" s="177">
        <f t="shared" si="30"/>
        <v>47776.77935</v>
      </c>
      <c r="T68" s="177">
        <f t="shared" si="3"/>
        <v>3317.60151</v>
      </c>
      <c r="U68" s="178">
        <f t="shared" si="26"/>
        <v>1.035470613</v>
      </c>
      <c r="V68" s="179">
        <f t="shared" si="27"/>
        <v>1.077246075</v>
      </c>
    </row>
    <row r="69" ht="37.5" customHeight="1">
      <c r="A69" s="50" t="s">
        <v>2405</v>
      </c>
      <c r="B69" s="117" t="s">
        <v>1751</v>
      </c>
      <c r="C69" s="117" t="s">
        <v>1779</v>
      </c>
      <c r="D69" s="167"/>
      <c r="E69" s="111">
        <v>70.0</v>
      </c>
      <c r="F69" s="50" t="s">
        <v>1861</v>
      </c>
      <c r="G69" s="165" t="s">
        <v>1811</v>
      </c>
      <c r="H69" s="118">
        <v>2.317</v>
      </c>
      <c r="I69" s="159">
        <f>H69*14</f>
        <v>32.438</v>
      </c>
      <c r="J69" s="160">
        <v>2543.936</v>
      </c>
      <c r="K69" s="118">
        <v>1.3</v>
      </c>
      <c r="L69" s="118">
        <v>1.22</v>
      </c>
      <c r="M69" s="158">
        <v>1.25</v>
      </c>
      <c r="N69" s="118">
        <v>1.3</v>
      </c>
      <c r="O69" s="158">
        <v>1.1</v>
      </c>
      <c r="P69" s="161">
        <f t="shared" si="28"/>
        <v>7211.994962</v>
      </c>
      <c r="Q69" s="162">
        <v>4983606.637561459</v>
      </c>
      <c r="R69" s="162">
        <v>153634.83067887844</v>
      </c>
      <c r="S69" s="162">
        <f>IFERROR(P69*14.64,"INF")</f>
        <v>105583.6062</v>
      </c>
      <c r="T69" s="162">
        <f t="shared" si="3"/>
        <v>3254.935762</v>
      </c>
      <c r="U69" s="164">
        <f t="shared" si="26"/>
        <v>1.086803268</v>
      </c>
      <c r="V69" s="163">
        <f t="shared" si="27"/>
        <v>1.086803268</v>
      </c>
    </row>
    <row r="70" ht="37.5" customHeight="1">
      <c r="A70" s="50" t="s">
        <v>2406</v>
      </c>
      <c r="B70" s="117" t="s">
        <v>1771</v>
      </c>
      <c r="C70" s="117" t="s">
        <v>1863</v>
      </c>
      <c r="D70" s="156"/>
      <c r="E70" s="111">
        <v>20.0</v>
      </c>
      <c r="F70" s="50"/>
      <c r="G70" s="157" t="s">
        <v>1753</v>
      </c>
      <c r="H70" s="118">
        <v>0.667</v>
      </c>
      <c r="I70" s="159">
        <f>H70*(E70-1)</f>
        <v>12.673</v>
      </c>
      <c r="J70" s="160">
        <v>783.868</v>
      </c>
      <c r="K70" s="158">
        <v>1.15</v>
      </c>
      <c r="L70" s="118">
        <v>1.22</v>
      </c>
      <c r="M70" s="158">
        <v>1.25</v>
      </c>
      <c r="N70" s="118">
        <v>1.3</v>
      </c>
      <c r="O70" s="158">
        <v>1.15</v>
      </c>
      <c r="P70" s="161">
        <f t="shared" si="28"/>
        <v>2055.189215</v>
      </c>
      <c r="Q70" s="162"/>
      <c r="R70" s="162"/>
      <c r="S70" s="162">
        <f t="shared" ref="S70:S72" si="31">IFERROR(P70*E70,"INF")</f>
        <v>41103.7843</v>
      </c>
      <c r="T70" s="162">
        <f t="shared" si="3"/>
        <v>3243.413896</v>
      </c>
      <c r="U70" s="164" t="str">
        <f t="shared" si="26"/>
        <v>N/A</v>
      </c>
      <c r="V70" s="163" t="str">
        <f t="shared" si="27"/>
        <v>N/A</v>
      </c>
    </row>
    <row r="71" ht="37.5" customHeight="1">
      <c r="A71" s="50" t="s">
        <v>2407</v>
      </c>
      <c r="B71" s="117" t="s">
        <v>1751</v>
      </c>
      <c r="C71" s="117" t="s">
        <v>1779</v>
      </c>
      <c r="D71" s="188"/>
      <c r="E71" s="111">
        <v>88.0</v>
      </c>
      <c r="F71" s="50"/>
      <c r="G71" s="189">
        <v>88.0</v>
      </c>
      <c r="H71" s="118">
        <v>0.466</v>
      </c>
      <c r="I71" s="159">
        <f>H71*E71</f>
        <v>41.008</v>
      </c>
      <c r="J71" s="160">
        <f>475.442*513/480/1.05</f>
        <v>483.9320357</v>
      </c>
      <c r="K71" s="118">
        <f>1.3*1.1</f>
        <v>1.43</v>
      </c>
      <c r="L71" s="118">
        <v>1.22</v>
      </c>
      <c r="M71" s="158">
        <v>1.25</v>
      </c>
      <c r="N71" s="118">
        <v>1.3</v>
      </c>
      <c r="O71" s="158">
        <v>1.1</v>
      </c>
      <c r="P71" s="161">
        <f t="shared" si="28"/>
        <v>1509.128745</v>
      </c>
      <c r="Q71" s="162">
        <v>5565451.288643049</v>
      </c>
      <c r="R71" s="162">
        <v>132700.31684890436</v>
      </c>
      <c r="S71" s="162">
        <f t="shared" si="31"/>
        <v>132803.3296</v>
      </c>
      <c r="T71" s="162">
        <f t="shared" si="3"/>
        <v>3238.473702</v>
      </c>
      <c r="U71" s="178">
        <f t="shared" si="26"/>
        <v>1.224071475</v>
      </c>
      <c r="V71" s="179">
        <f t="shared" si="27"/>
        <v>1.251891282</v>
      </c>
    </row>
    <row r="72" ht="37.5" customHeight="1">
      <c r="A72" s="50" t="s">
        <v>2408</v>
      </c>
      <c r="B72" s="117" t="s">
        <v>1769</v>
      </c>
      <c r="C72" s="117" t="s">
        <v>1769</v>
      </c>
      <c r="D72" s="156"/>
      <c r="E72" s="49" t="s">
        <v>1757</v>
      </c>
      <c r="F72" s="50"/>
      <c r="G72" s="165" t="s">
        <v>582</v>
      </c>
      <c r="H72" s="118">
        <v>1.567</v>
      </c>
      <c r="I72" s="159" t="s">
        <v>582</v>
      </c>
      <c r="J72" s="160">
        <v>1744.621</v>
      </c>
      <c r="K72" s="166"/>
      <c r="L72" s="118"/>
      <c r="M72" s="158">
        <v>1.35</v>
      </c>
      <c r="N72" s="118">
        <v>1.3</v>
      </c>
      <c r="O72" s="158">
        <v>1.65</v>
      </c>
      <c r="P72" s="161">
        <f t="shared" si="28"/>
        <v>5051.986261</v>
      </c>
      <c r="Q72" s="162"/>
      <c r="R72" s="162"/>
      <c r="S72" s="162" t="str">
        <f t="shared" si="31"/>
        <v>INF</v>
      </c>
      <c r="T72" s="162">
        <f t="shared" si="3"/>
        <v>3223.986127</v>
      </c>
      <c r="U72" s="164" t="str">
        <f t="shared" si="26"/>
        <v>N/A</v>
      </c>
      <c r="V72" s="163" t="str">
        <f t="shared" si="27"/>
        <v>N/A</v>
      </c>
    </row>
    <row r="73" ht="37.5" customHeight="1">
      <c r="A73" s="50" t="s">
        <v>2409</v>
      </c>
      <c r="B73" s="117" t="s">
        <v>1751</v>
      </c>
      <c r="C73" s="117" t="s">
        <v>1779</v>
      </c>
      <c r="D73" s="167"/>
      <c r="E73" s="111">
        <v>71.0</v>
      </c>
      <c r="F73" s="50" t="s">
        <v>1813</v>
      </c>
      <c r="G73" s="165" t="s">
        <v>1811</v>
      </c>
      <c r="H73" s="118">
        <v>2.433</v>
      </c>
      <c r="I73" s="159">
        <f>H73*14</f>
        <v>34.062</v>
      </c>
      <c r="J73" s="160">
        <v>2577.406</v>
      </c>
      <c r="K73" s="158">
        <v>1.3</v>
      </c>
      <c r="L73" s="118">
        <v>1.22</v>
      </c>
      <c r="M73" s="158">
        <v>1.25</v>
      </c>
      <c r="N73" s="118">
        <v>1.3</v>
      </c>
      <c r="O73" s="158">
        <v>1.1</v>
      </c>
      <c r="P73" s="161">
        <f t="shared" si="28"/>
        <v>7306.881575</v>
      </c>
      <c r="Q73" s="162">
        <v>5326653.113943668</v>
      </c>
      <c r="R73" s="162">
        <v>156381.10251728227</v>
      </c>
      <c r="S73" s="162">
        <f>IFERROR(P73*14.635,"INF")</f>
        <v>106936.2118</v>
      </c>
      <c r="T73" s="162">
        <f t="shared" si="3"/>
        <v>3139.457808</v>
      </c>
      <c r="U73" s="164">
        <f t="shared" si="26"/>
        <v>1.029837211</v>
      </c>
      <c r="V73" s="163">
        <f t="shared" si="27"/>
        <v>1.029837211</v>
      </c>
    </row>
    <row r="74" ht="37.5" customHeight="1">
      <c r="A74" s="50" t="s">
        <v>2410</v>
      </c>
      <c r="B74" s="117" t="s">
        <v>1751</v>
      </c>
      <c r="C74" s="117" t="s">
        <v>1841</v>
      </c>
      <c r="D74" s="167"/>
      <c r="E74" s="111">
        <v>21.0</v>
      </c>
      <c r="F74" s="50" t="s">
        <v>1876</v>
      </c>
      <c r="G74" s="157" t="s">
        <v>1877</v>
      </c>
      <c r="H74" s="158">
        <v>1.233</v>
      </c>
      <c r="I74" s="159">
        <f>0.55+H74*(E74-2)+2.283</f>
        <v>26.26</v>
      </c>
      <c r="J74" s="168">
        <v>1798.862</v>
      </c>
      <c r="K74" s="166"/>
      <c r="L74" s="118">
        <v>1.22</v>
      </c>
      <c r="M74" s="158">
        <v>1.25</v>
      </c>
      <c r="N74" s="118">
        <v>1.3</v>
      </c>
      <c r="O74" s="158">
        <v>1.1</v>
      </c>
      <c r="P74" s="161">
        <f t="shared" si="28"/>
        <v>3922.868307</v>
      </c>
      <c r="Q74" s="162">
        <v>5332346.109999999</v>
      </c>
      <c r="R74" s="162">
        <v>154681.81214283637</v>
      </c>
      <c r="S74" s="162">
        <f>IFERROR(P74*E74,"INF")</f>
        <v>82380.23444</v>
      </c>
      <c r="T74" s="162">
        <f t="shared" si="3"/>
        <v>3137.09956</v>
      </c>
      <c r="U74" s="164">
        <f t="shared" si="26"/>
        <v>0.7925066094</v>
      </c>
      <c r="V74" s="163">
        <f t="shared" si="27"/>
        <v>1.040368635</v>
      </c>
    </row>
    <row r="75" ht="37.5" customHeight="1">
      <c r="A75" s="50" t="s">
        <v>2411</v>
      </c>
      <c r="B75" s="117" t="s">
        <v>1771</v>
      </c>
      <c r="C75" s="117" t="s">
        <v>1879</v>
      </c>
      <c r="D75" s="167"/>
      <c r="E75" s="111">
        <v>225.0</v>
      </c>
      <c r="F75" s="50" t="s">
        <v>1880</v>
      </c>
      <c r="G75" s="165" t="s">
        <v>1881</v>
      </c>
      <c r="H75" s="118">
        <v>0.267</v>
      </c>
      <c r="I75" s="159">
        <f>(225/5-9)*H75+1.017*8</f>
        <v>17.748</v>
      </c>
      <c r="J75" s="168">
        <v>541.777</v>
      </c>
      <c r="K75" s="118"/>
      <c r="L75" s="118">
        <v>1.22</v>
      </c>
      <c r="M75" s="158">
        <v>1.25</v>
      </c>
      <c r="N75" s="118">
        <v>1.3</v>
      </c>
      <c r="O75" s="158">
        <v>1.15</v>
      </c>
      <c r="P75" s="161">
        <f t="shared" si="28"/>
        <v>1235.183838</v>
      </c>
      <c r="Q75" s="162">
        <v>3696176.8906721096</v>
      </c>
      <c r="R75" s="162">
        <v>153988.12192943005</v>
      </c>
      <c r="S75" s="162">
        <f>IFERROR(P75*E75/5,"INF")</f>
        <v>55583.2727</v>
      </c>
      <c r="T75" s="162">
        <f t="shared" si="3"/>
        <v>3131.804863</v>
      </c>
      <c r="U75" s="164">
        <f t="shared" si="26"/>
        <v>0.771417642</v>
      </c>
      <c r="V75" s="163">
        <f t="shared" si="27"/>
        <v>1.043291507</v>
      </c>
    </row>
    <row r="76" ht="37.5" customHeight="1">
      <c r="A76" s="170" t="s">
        <v>2412</v>
      </c>
      <c r="B76" s="170" t="s">
        <v>1771</v>
      </c>
      <c r="C76" s="170" t="s">
        <v>1772</v>
      </c>
      <c r="D76" s="180"/>
      <c r="E76" s="130">
        <v>28.0</v>
      </c>
      <c r="F76" s="170" t="s">
        <v>1870</v>
      </c>
      <c r="G76" s="171" t="s">
        <v>2413</v>
      </c>
      <c r="H76" s="172">
        <v>0.833</v>
      </c>
      <c r="I76" s="173">
        <f>H76*(E76-4)+1.2*3</f>
        <v>23.592</v>
      </c>
      <c r="J76" s="174">
        <v>1149.415</v>
      </c>
      <c r="K76" s="175"/>
      <c r="L76" s="175">
        <v>1.22</v>
      </c>
      <c r="M76" s="172">
        <v>1.25</v>
      </c>
      <c r="N76" s="175">
        <v>1.3</v>
      </c>
      <c r="O76" s="172">
        <v>1.15</v>
      </c>
      <c r="P76" s="176">
        <f t="shared" si="28"/>
        <v>2620.522523</v>
      </c>
      <c r="Q76" s="177">
        <v>2690802.3509825277</v>
      </c>
      <c r="R76" s="177">
        <v>144978.5749451793</v>
      </c>
      <c r="S76" s="177">
        <f t="shared" ref="S76:S79" si="32">IFERROR(P76*E76,"INF")</f>
        <v>73374.63065</v>
      </c>
      <c r="T76" s="177">
        <f t="shared" si="3"/>
        <v>3110.148807</v>
      </c>
      <c r="U76" s="178">
        <f t="shared" si="26"/>
        <v>1.398821599</v>
      </c>
      <c r="V76" s="179">
        <f t="shared" si="27"/>
        <v>1.100463245</v>
      </c>
    </row>
    <row r="77" ht="37.5" customHeight="1">
      <c r="A77" s="169" t="s">
        <v>2414</v>
      </c>
      <c r="B77" s="170" t="s">
        <v>1751</v>
      </c>
      <c r="C77" s="170" t="s">
        <v>1841</v>
      </c>
      <c r="D77" s="182"/>
      <c r="E77" s="130">
        <v>54.0</v>
      </c>
      <c r="F77" s="169" t="s">
        <v>1959</v>
      </c>
      <c r="G77" s="171" t="s">
        <v>2415</v>
      </c>
      <c r="H77" s="175">
        <v>0.983</v>
      </c>
      <c r="I77" s="173">
        <f>0.45+H77*(E77-5)+1.65*4</f>
        <v>55.217</v>
      </c>
      <c r="J77" s="184">
        <f>948.389*1.1*1.1</f>
        <v>1147.55069</v>
      </c>
      <c r="K77" s="175">
        <f>(1.3*35+1*4)/39</f>
        <v>1.269230769</v>
      </c>
      <c r="L77" s="175">
        <v>1.22</v>
      </c>
      <c r="M77" s="172">
        <v>1.25</v>
      </c>
      <c r="N77" s="175">
        <v>1.3</v>
      </c>
      <c r="O77" s="172">
        <v>1.1</v>
      </c>
      <c r="P77" s="176">
        <f t="shared" si="28"/>
        <v>3176.276866</v>
      </c>
      <c r="Q77" s="177">
        <v>6751831.177</v>
      </c>
      <c r="R77" s="177">
        <v>123361.67465102683</v>
      </c>
      <c r="S77" s="177">
        <f t="shared" si="32"/>
        <v>171518.9508</v>
      </c>
      <c r="T77" s="177">
        <f t="shared" si="3"/>
        <v>3106.270728</v>
      </c>
      <c r="U77" s="178">
        <f t="shared" si="26"/>
        <v>1.303132982</v>
      </c>
      <c r="V77" s="179">
        <f t="shared" si="27"/>
        <v>1.291686878</v>
      </c>
    </row>
    <row r="78" ht="37.5" customHeight="1">
      <c r="A78" s="50" t="s">
        <v>482</v>
      </c>
      <c r="B78" s="117" t="s">
        <v>1771</v>
      </c>
      <c r="C78" s="117" t="s">
        <v>1793</v>
      </c>
      <c r="D78" s="167"/>
      <c r="E78" s="111">
        <v>19.0</v>
      </c>
      <c r="F78" s="50" t="s">
        <v>1794</v>
      </c>
      <c r="G78" s="157" t="s">
        <v>1884</v>
      </c>
      <c r="H78" s="118">
        <v>0.516</v>
      </c>
      <c r="I78" s="159">
        <f>1+4.533+1.317+3.433+1.317+0.967</f>
        <v>12.567</v>
      </c>
      <c r="J78" s="160">
        <f>(7260.088+7102.93+7102.93*3/8)/19</f>
        <v>896.1377237</v>
      </c>
      <c r="K78" s="118"/>
      <c r="L78" s="118">
        <v>1.22</v>
      </c>
      <c r="M78" s="158">
        <v>1.25</v>
      </c>
      <c r="N78" s="118">
        <v>1.3</v>
      </c>
      <c r="O78" s="158">
        <v>1.15</v>
      </c>
      <c r="P78" s="161">
        <f t="shared" si="28"/>
        <v>2043.081993</v>
      </c>
      <c r="Q78" s="162">
        <v>2126082.5625</v>
      </c>
      <c r="R78" s="162">
        <v>140613.92609126982</v>
      </c>
      <c r="S78" s="162">
        <f t="shared" si="32"/>
        <v>38818.55786</v>
      </c>
      <c r="T78" s="162">
        <f t="shared" si="3"/>
        <v>3088.927975</v>
      </c>
      <c r="U78" s="164">
        <f t="shared" si="26"/>
        <v>0.9366071557</v>
      </c>
      <c r="V78" s="163">
        <f t="shared" si="27"/>
        <v>1.126879939</v>
      </c>
    </row>
    <row r="79" ht="37.5" customHeight="1">
      <c r="A79" s="169" t="s">
        <v>2416</v>
      </c>
      <c r="B79" s="170" t="s">
        <v>1771</v>
      </c>
      <c r="C79" s="170" t="s">
        <v>1772</v>
      </c>
      <c r="D79" s="182"/>
      <c r="E79" s="130">
        <v>19.0</v>
      </c>
      <c r="F79" s="169" t="s">
        <v>1962</v>
      </c>
      <c r="G79" s="171" t="s">
        <v>1963</v>
      </c>
      <c r="H79" s="175">
        <v>0.833</v>
      </c>
      <c r="I79" s="173">
        <f>H79*(E79-7)+1.1*6</f>
        <v>16.596</v>
      </c>
      <c r="J79" s="174">
        <f>655.941*1.2</f>
        <v>787.1292</v>
      </c>
      <c r="K79" s="175">
        <v>1.5</v>
      </c>
      <c r="L79" s="175">
        <v>1.22</v>
      </c>
      <c r="M79" s="172">
        <v>1.25</v>
      </c>
      <c r="N79" s="175">
        <v>1.3</v>
      </c>
      <c r="O79" s="172">
        <v>1.15</v>
      </c>
      <c r="P79" s="176">
        <f t="shared" si="28"/>
        <v>2691.834277</v>
      </c>
      <c r="Q79" s="177">
        <v>2799594.908141609</v>
      </c>
      <c r="R79" s="177">
        <v>106476.81543154486</v>
      </c>
      <c r="S79" s="177">
        <f t="shared" si="32"/>
        <v>51144.85127</v>
      </c>
      <c r="T79" s="177">
        <f t="shared" si="3"/>
        <v>3081.757729</v>
      </c>
      <c r="U79" s="178">
        <f t="shared" si="26"/>
        <v>0.9371409706</v>
      </c>
      <c r="V79" s="179">
        <f t="shared" si="27"/>
        <v>1.484710023</v>
      </c>
    </row>
    <row r="80" ht="37.5" customHeight="1">
      <c r="A80" s="169" t="s">
        <v>2417</v>
      </c>
      <c r="B80" s="170" t="s">
        <v>1751</v>
      </c>
      <c r="C80" s="170" t="s">
        <v>1779</v>
      </c>
      <c r="D80" s="182"/>
      <c r="E80" s="130">
        <v>65.0</v>
      </c>
      <c r="F80" s="170" t="s">
        <v>1914</v>
      </c>
      <c r="G80" s="183" t="s">
        <v>1915</v>
      </c>
      <c r="H80" s="175">
        <v>3.116</v>
      </c>
      <c r="I80" s="173">
        <f>H80*13</f>
        <v>40.508</v>
      </c>
      <c r="J80" s="184">
        <f>3533.83+436.151</f>
        <v>3969.981</v>
      </c>
      <c r="K80" s="175">
        <v>1.102977</v>
      </c>
      <c r="L80" s="175">
        <v>1.22</v>
      </c>
      <c r="M80" s="172">
        <v>1.25</v>
      </c>
      <c r="N80" s="175">
        <v>1.3</v>
      </c>
      <c r="O80" s="172">
        <v>1.1</v>
      </c>
      <c r="P80" s="176">
        <f t="shared" si="28"/>
        <v>9549.063157</v>
      </c>
      <c r="Q80" s="177">
        <v>5474539.8137733</v>
      </c>
      <c r="R80" s="177">
        <v>120124.18953292006</v>
      </c>
      <c r="S80" s="177">
        <f>IFERROR(P80*13,"INF")</f>
        <v>124137.821</v>
      </c>
      <c r="T80" s="177">
        <f t="shared" si="3"/>
        <v>3064.526045</v>
      </c>
      <c r="U80" s="178">
        <f t="shared" si="26"/>
        <v>1.16320082</v>
      </c>
      <c r="V80" s="179">
        <f t="shared" si="27"/>
        <v>1.308672711</v>
      </c>
    </row>
    <row r="81" ht="37.5" customHeight="1">
      <c r="A81" s="50" t="s">
        <v>2418</v>
      </c>
      <c r="B81" s="117" t="s">
        <v>1771</v>
      </c>
      <c r="C81" s="117" t="s">
        <v>1841</v>
      </c>
      <c r="D81" s="167"/>
      <c r="E81" s="111">
        <v>21.0</v>
      </c>
      <c r="F81" s="50" t="s">
        <v>1886</v>
      </c>
      <c r="G81" s="157" t="s">
        <v>1887</v>
      </c>
      <c r="H81" s="118">
        <v>1.45</v>
      </c>
      <c r="I81" s="159">
        <f>0.533+H81*(E81-4)+2.1*3</f>
        <v>31.483</v>
      </c>
      <c r="J81" s="168">
        <v>1140.406</v>
      </c>
      <c r="K81" s="118">
        <f>(1+1+1.06+1.06+1.12+1.12+1.18+1.18+1.24+1.24+1.3+1.3+1.36+1.36+1.42+1.42+1.5*5)/21</f>
        <v>1.279047619</v>
      </c>
      <c r="L81" s="118">
        <v>1.22</v>
      </c>
      <c r="M81" s="158">
        <v>1.25</v>
      </c>
      <c r="N81" s="118">
        <v>1.3</v>
      </c>
      <c r="O81" s="158">
        <v>1.15</v>
      </c>
      <c r="P81" s="161">
        <f t="shared" si="28"/>
        <v>3325.502231</v>
      </c>
      <c r="Q81" s="162">
        <v>5725873.234511302</v>
      </c>
      <c r="R81" s="162">
        <v>139312.26088200536</v>
      </c>
      <c r="S81" s="162">
        <f>IFERROR(P81*E81+373.698*3*1.22*1.25*1.3*1.15*10,"INF")</f>
        <v>95395.08868</v>
      </c>
      <c r="T81" s="162">
        <f t="shared" si="3"/>
        <v>3030.050779</v>
      </c>
      <c r="U81" s="164">
        <f t="shared" si="26"/>
        <v>0.854638567</v>
      </c>
      <c r="V81" s="163">
        <f t="shared" si="27"/>
        <v>1.115729115</v>
      </c>
    </row>
    <row r="82" ht="37.5" customHeight="1">
      <c r="A82" s="50" t="s">
        <v>2419</v>
      </c>
      <c r="B82" s="117" t="s">
        <v>1771</v>
      </c>
      <c r="C82" s="117" t="s">
        <v>1777</v>
      </c>
      <c r="D82" s="167"/>
      <c r="E82" s="111">
        <v>43.0</v>
      </c>
      <c r="F82" s="117"/>
      <c r="G82" s="157" t="s">
        <v>1889</v>
      </c>
      <c r="H82" s="118">
        <v>1.283</v>
      </c>
      <c r="I82" s="159">
        <f>H82*(E82-1)</f>
        <v>53.886</v>
      </c>
      <c r="J82" s="168">
        <v>979.247</v>
      </c>
      <c r="K82" s="158">
        <v>1.7</v>
      </c>
      <c r="L82" s="118">
        <v>1.22</v>
      </c>
      <c r="M82" s="158">
        <v>1.25</v>
      </c>
      <c r="N82" s="118">
        <v>1.3</v>
      </c>
      <c r="O82" s="158">
        <v>1.15</v>
      </c>
      <c r="P82" s="161">
        <f t="shared" si="28"/>
        <v>3795.353282</v>
      </c>
      <c r="Q82" s="162">
        <v>8980462.517</v>
      </c>
      <c r="R82" s="162">
        <v>124528.01759664988</v>
      </c>
      <c r="S82" s="162">
        <f t="shared" ref="S82:S92" si="33">IFERROR(P82*E82,"INF")</f>
        <v>163200.1911</v>
      </c>
      <c r="T82" s="162">
        <f t="shared" si="3"/>
        <v>3028.619514</v>
      </c>
      <c r="U82" s="164">
        <f t="shared" si="26"/>
        <v>0.9322237401</v>
      </c>
      <c r="V82" s="163">
        <f t="shared" si="27"/>
        <v>1.247601367</v>
      </c>
    </row>
    <row r="83" ht="37.5" customHeight="1">
      <c r="A83" s="169" t="s">
        <v>2420</v>
      </c>
      <c r="B83" s="170" t="s">
        <v>1751</v>
      </c>
      <c r="C83" s="170" t="s">
        <v>1841</v>
      </c>
      <c r="D83" s="182"/>
      <c r="E83" s="130">
        <v>21.0</v>
      </c>
      <c r="F83" s="169" t="s">
        <v>1866</v>
      </c>
      <c r="G83" s="183" t="s">
        <v>1867</v>
      </c>
      <c r="H83" s="172">
        <v>1.367</v>
      </c>
      <c r="I83" s="173">
        <f>0.467+H83*(E83-1)+2.017</f>
        <v>29.824</v>
      </c>
      <c r="J83" s="174">
        <f>1363.335*1.1</f>
        <v>1499.6685</v>
      </c>
      <c r="K83" s="175">
        <v>1.3</v>
      </c>
      <c r="L83" s="175">
        <v>1.22</v>
      </c>
      <c r="M83" s="172">
        <v>1.25</v>
      </c>
      <c r="N83" s="175">
        <v>1.3</v>
      </c>
      <c r="O83" s="172">
        <v>1.1</v>
      </c>
      <c r="P83" s="176">
        <f t="shared" si="28"/>
        <v>4251.522706</v>
      </c>
      <c r="Q83" s="177">
        <v>5334136.902249999</v>
      </c>
      <c r="R83" s="177">
        <v>131515.4935341108</v>
      </c>
      <c r="S83" s="177">
        <f t="shared" si="33"/>
        <v>89281.97682</v>
      </c>
      <c r="T83" s="177">
        <f t="shared" si="3"/>
        <v>2993.628515</v>
      </c>
      <c r="U83" s="178">
        <f t="shared" si="26"/>
        <v>0.8586137514</v>
      </c>
      <c r="V83" s="179">
        <f t="shared" si="27"/>
        <v>1.167667487</v>
      </c>
    </row>
    <row r="84" ht="37.5" customHeight="1">
      <c r="A84" s="169" t="s">
        <v>2421</v>
      </c>
      <c r="B84" s="170" t="s">
        <v>1771</v>
      </c>
      <c r="C84" s="170" t="s">
        <v>1772</v>
      </c>
      <c r="D84" s="182"/>
      <c r="E84" s="130">
        <v>19.0</v>
      </c>
      <c r="F84" s="169" t="s">
        <v>1956</v>
      </c>
      <c r="G84" s="171" t="s">
        <v>1957</v>
      </c>
      <c r="H84" s="175">
        <v>1.0</v>
      </c>
      <c r="I84" s="173">
        <f>0.983+H84*(E84-7)+1.183*6</f>
        <v>20.081</v>
      </c>
      <c r="J84" s="174">
        <f>798.185*1.15</f>
        <v>917.91275</v>
      </c>
      <c r="K84" s="175">
        <v>1.5</v>
      </c>
      <c r="L84" s="175">
        <v>1.22</v>
      </c>
      <c r="M84" s="172">
        <v>1.25</v>
      </c>
      <c r="N84" s="175">
        <v>1.3</v>
      </c>
      <c r="O84" s="172">
        <v>1.15</v>
      </c>
      <c r="P84" s="176">
        <f t="shared" si="28"/>
        <v>3139.089496</v>
      </c>
      <c r="Q84" s="177">
        <v>3218358.762786498</v>
      </c>
      <c r="R84" s="177">
        <v>138239.71319043418</v>
      </c>
      <c r="S84" s="177">
        <f t="shared" si="33"/>
        <v>59642.70043</v>
      </c>
      <c r="T84" s="177">
        <f t="shared" si="3"/>
        <v>2970.106092</v>
      </c>
      <c r="U84" s="178">
        <f t="shared" si="26"/>
        <v>0.9506508564</v>
      </c>
      <c r="V84" s="179">
        <f t="shared" si="27"/>
        <v>1.102141457</v>
      </c>
    </row>
    <row r="85" ht="37.5" customHeight="1">
      <c r="A85" s="50" t="s">
        <v>2422</v>
      </c>
      <c r="B85" s="117" t="s">
        <v>1751</v>
      </c>
      <c r="C85" s="117" t="s">
        <v>1793</v>
      </c>
      <c r="D85" s="167"/>
      <c r="E85" s="111">
        <v>11.0</v>
      </c>
      <c r="F85" s="50" t="s">
        <v>1891</v>
      </c>
      <c r="G85" s="157" t="s">
        <v>1892</v>
      </c>
      <c r="H85" s="118">
        <v>1.733</v>
      </c>
      <c r="I85" s="159">
        <f>1+H85*(E85-2)+2.717*2</f>
        <v>22.031</v>
      </c>
      <c r="J85" s="160">
        <v>2726.463</v>
      </c>
      <c r="K85" s="118"/>
      <c r="L85" s="118">
        <v>1.22</v>
      </c>
      <c r="M85" s="158">
        <v>1.25</v>
      </c>
      <c r="N85" s="118">
        <v>1.3</v>
      </c>
      <c r="O85" s="158">
        <v>1.1</v>
      </c>
      <c r="P85" s="161">
        <f t="shared" si="28"/>
        <v>5945.734187</v>
      </c>
      <c r="Q85" s="162">
        <v>3905575.0034628594</v>
      </c>
      <c r="R85" s="162">
        <v>148326.11763559526</v>
      </c>
      <c r="S85" s="162">
        <f t="shared" si="33"/>
        <v>65403.07606</v>
      </c>
      <c r="T85" s="162">
        <f t="shared" si="3"/>
        <v>2968.683948</v>
      </c>
      <c r="U85" s="164">
        <f t="shared" si="26"/>
        <v>0.8590360551</v>
      </c>
      <c r="V85" s="163">
        <f t="shared" si="27"/>
        <v>1.0267023</v>
      </c>
    </row>
    <row r="86" ht="37.5" customHeight="1">
      <c r="A86" s="170" t="s">
        <v>2423</v>
      </c>
      <c r="B86" s="170" t="s">
        <v>1771</v>
      </c>
      <c r="C86" s="170" t="s">
        <v>1779</v>
      </c>
      <c r="D86" s="180"/>
      <c r="E86" s="130" t="s">
        <v>1757</v>
      </c>
      <c r="F86" s="169"/>
      <c r="G86" s="171" t="s">
        <v>1894</v>
      </c>
      <c r="H86" s="172">
        <v>3.0</v>
      </c>
      <c r="I86" s="173" t="s">
        <v>582</v>
      </c>
      <c r="J86" s="174">
        <v>3884.871</v>
      </c>
      <c r="K86" s="175"/>
      <c r="L86" s="172">
        <v>1.22</v>
      </c>
      <c r="M86" s="172">
        <v>1.25</v>
      </c>
      <c r="N86" s="175">
        <v>1.3</v>
      </c>
      <c r="O86" s="172">
        <v>1.15</v>
      </c>
      <c r="P86" s="176">
        <f t="shared" si="28"/>
        <v>8857.020271</v>
      </c>
      <c r="Q86" s="177"/>
      <c r="R86" s="177"/>
      <c r="S86" s="177" t="str">
        <f t="shared" si="33"/>
        <v>INF</v>
      </c>
      <c r="T86" s="177">
        <f t="shared" si="3"/>
        <v>2952.34009</v>
      </c>
      <c r="U86" s="178"/>
      <c r="V86" s="179"/>
    </row>
    <row r="87" ht="37.5" customHeight="1">
      <c r="A87" s="50" t="s">
        <v>2424</v>
      </c>
      <c r="B87" s="117" t="s">
        <v>1751</v>
      </c>
      <c r="C87" s="117" t="s">
        <v>1777</v>
      </c>
      <c r="D87" s="167"/>
      <c r="E87" s="111">
        <v>31.0</v>
      </c>
      <c r="F87" s="117" t="s">
        <v>1896</v>
      </c>
      <c r="G87" s="157" t="s">
        <v>1897</v>
      </c>
      <c r="H87" s="118">
        <v>0.433</v>
      </c>
      <c r="I87" s="159">
        <f>H87*(E87-5)+2.333*4</f>
        <v>20.59</v>
      </c>
      <c r="J87" s="168">
        <v>893.822</v>
      </c>
      <c r="K87" s="166"/>
      <c r="L87" s="118">
        <v>1.22</v>
      </c>
      <c r="M87" s="158">
        <v>1.25</v>
      </c>
      <c r="N87" s="118">
        <v>1.3</v>
      </c>
      <c r="O87" s="158">
        <v>1.1</v>
      </c>
      <c r="P87" s="161">
        <f t="shared" si="28"/>
        <v>1949.202327</v>
      </c>
      <c r="Q87" s="162">
        <v>3993246.6599999997</v>
      </c>
      <c r="R87" s="162">
        <v>209399.40534871523</v>
      </c>
      <c r="S87" s="162">
        <f t="shared" si="33"/>
        <v>60425.27212</v>
      </c>
      <c r="T87" s="162">
        <f t="shared" si="3"/>
        <v>2934.690244</v>
      </c>
      <c r="U87" s="164">
        <f t="shared" ref="U87:U93" si="34">IFERROR(IF(ISBLANK(Q87),"N/A",(S87/Q87)*(104237/2032)),"N/A")</f>
        <v>0.7762304546</v>
      </c>
      <c r="V87" s="163">
        <f t="shared" ref="V87:V93" si="35">IF(ISBLANK(R87),"N/A",(T87/R87)*(104237/2032))</f>
        <v>0.7189273808</v>
      </c>
    </row>
    <row r="88" ht="37.5" customHeight="1">
      <c r="A88" s="50" t="s">
        <v>2425</v>
      </c>
      <c r="B88" s="117" t="s">
        <v>1751</v>
      </c>
      <c r="C88" s="117" t="s">
        <v>1779</v>
      </c>
      <c r="D88" s="167"/>
      <c r="E88" s="111">
        <v>128.0</v>
      </c>
      <c r="F88" s="50"/>
      <c r="G88" s="189">
        <v>128.0</v>
      </c>
      <c r="H88" s="118">
        <v>0.466</v>
      </c>
      <c r="I88" s="159">
        <f t="shared" ref="I88:I89" si="36">H88*E88</f>
        <v>59.648</v>
      </c>
      <c r="J88" s="160">
        <v>475.442</v>
      </c>
      <c r="K88" s="118">
        <v>1.3</v>
      </c>
      <c r="L88" s="118">
        <v>1.22</v>
      </c>
      <c r="M88" s="158">
        <v>1.25</v>
      </c>
      <c r="N88" s="118">
        <v>1.3</v>
      </c>
      <c r="O88" s="158">
        <v>1.1</v>
      </c>
      <c r="P88" s="161">
        <f t="shared" si="28"/>
        <v>1347.866184</v>
      </c>
      <c r="Q88" s="162">
        <v>5565451.288643049</v>
      </c>
      <c r="R88" s="162">
        <v>132700.31684890436</v>
      </c>
      <c r="S88" s="162">
        <f t="shared" si="33"/>
        <v>172526.8715</v>
      </c>
      <c r="T88" s="162">
        <f t="shared" si="3"/>
        <v>2892.416704</v>
      </c>
      <c r="U88" s="164">
        <f t="shared" si="34"/>
        <v>1.590210297</v>
      </c>
      <c r="V88" s="163">
        <f t="shared" si="35"/>
        <v>1.118116615</v>
      </c>
    </row>
    <row r="89" ht="37.5" customHeight="1">
      <c r="A89" s="50" t="s">
        <v>2426</v>
      </c>
      <c r="B89" s="117" t="s">
        <v>1751</v>
      </c>
      <c r="C89" s="117" t="s">
        <v>1779</v>
      </c>
      <c r="D89" s="167"/>
      <c r="E89" s="111">
        <v>104.0</v>
      </c>
      <c r="F89" s="50"/>
      <c r="G89" s="157" t="s">
        <v>1905</v>
      </c>
      <c r="H89" s="118">
        <v>0.466</v>
      </c>
      <c r="I89" s="159">
        <f t="shared" si="36"/>
        <v>48.464</v>
      </c>
      <c r="J89" s="168">
        <v>475.442</v>
      </c>
      <c r="K89" s="118">
        <v>1.3</v>
      </c>
      <c r="L89" s="118">
        <v>1.22</v>
      </c>
      <c r="M89" s="158">
        <v>1.25</v>
      </c>
      <c r="N89" s="118">
        <v>1.3</v>
      </c>
      <c r="O89" s="158">
        <v>1.1</v>
      </c>
      <c r="P89" s="161">
        <f t="shared" si="28"/>
        <v>1347.866184</v>
      </c>
      <c r="Q89" s="162">
        <v>7095268.0657286495</v>
      </c>
      <c r="R89" s="162">
        <v>132399.1055370153</v>
      </c>
      <c r="S89" s="162">
        <f t="shared" si="33"/>
        <v>140178.0831</v>
      </c>
      <c r="T89" s="162">
        <f t="shared" si="3"/>
        <v>2892.416704</v>
      </c>
      <c r="U89" s="164">
        <f t="shared" si="34"/>
        <v>1.013466759</v>
      </c>
      <c r="V89" s="163">
        <f t="shared" si="35"/>
        <v>1.120660359</v>
      </c>
    </row>
    <row r="90" ht="37.5" customHeight="1">
      <c r="A90" s="50" t="s">
        <v>2427</v>
      </c>
      <c r="B90" s="117" t="s">
        <v>1751</v>
      </c>
      <c r="C90" s="117" t="s">
        <v>1761</v>
      </c>
      <c r="D90" s="167"/>
      <c r="E90" s="111">
        <v>10.0</v>
      </c>
      <c r="F90" s="50"/>
      <c r="G90" s="165" t="s">
        <v>1753</v>
      </c>
      <c r="H90" s="118">
        <v>2.217</v>
      </c>
      <c r="I90" s="159">
        <f>H90*(E90-1)</f>
        <v>19.953</v>
      </c>
      <c r="J90" s="168">
        <v>2921.091</v>
      </c>
      <c r="K90" s="118"/>
      <c r="L90" s="118">
        <v>1.1</v>
      </c>
      <c r="M90" s="158">
        <v>1.25</v>
      </c>
      <c r="N90" s="118">
        <v>1.3</v>
      </c>
      <c r="O90" s="158">
        <v>1.1</v>
      </c>
      <c r="P90" s="161">
        <f t="shared" si="28"/>
        <v>5743.595179</v>
      </c>
      <c r="Q90" s="162">
        <v>2743738.774255765</v>
      </c>
      <c r="R90" s="162">
        <v>123759.07867639896</v>
      </c>
      <c r="S90" s="162">
        <f t="shared" si="33"/>
        <v>57435.95179</v>
      </c>
      <c r="T90" s="162">
        <f t="shared" si="3"/>
        <v>2878.562211</v>
      </c>
      <c r="U90" s="164">
        <f t="shared" si="34"/>
        <v>1.07383922</v>
      </c>
      <c r="V90" s="163">
        <f t="shared" si="35"/>
        <v>1.193154689</v>
      </c>
    </row>
    <row r="91" ht="37.5" customHeight="1">
      <c r="A91" s="50" t="s">
        <v>2428</v>
      </c>
      <c r="B91" s="117" t="s">
        <v>1751</v>
      </c>
      <c r="C91" s="117" t="s">
        <v>1779</v>
      </c>
      <c r="D91" s="167"/>
      <c r="E91" s="111">
        <v>83.0</v>
      </c>
      <c r="F91" s="50"/>
      <c r="G91" s="189">
        <v>83.0</v>
      </c>
      <c r="H91" s="118">
        <v>0.666</v>
      </c>
      <c r="I91" s="159">
        <f>H91*E91</f>
        <v>55.278</v>
      </c>
      <c r="J91" s="168">
        <v>673.906</v>
      </c>
      <c r="K91" s="118">
        <v>1.3</v>
      </c>
      <c r="L91" s="118">
        <v>1.22</v>
      </c>
      <c r="M91" s="158">
        <v>1.25</v>
      </c>
      <c r="N91" s="118">
        <v>1.3</v>
      </c>
      <c r="O91" s="158">
        <v>1.1</v>
      </c>
      <c r="P91" s="161">
        <f t="shared" si="28"/>
        <v>1910.506662</v>
      </c>
      <c r="Q91" s="162">
        <v>8616601.29660832</v>
      </c>
      <c r="R91" s="162">
        <v>133379.79159481628</v>
      </c>
      <c r="S91" s="162">
        <f t="shared" si="33"/>
        <v>158572.053</v>
      </c>
      <c r="T91" s="162">
        <f t="shared" si="3"/>
        <v>2868.628622</v>
      </c>
      <c r="U91" s="164">
        <f t="shared" si="34"/>
        <v>0.9440366411</v>
      </c>
      <c r="V91" s="163">
        <f t="shared" si="35"/>
        <v>1.103271737</v>
      </c>
    </row>
    <row r="92" ht="37.5" customHeight="1">
      <c r="A92" s="169" t="s">
        <v>2429</v>
      </c>
      <c r="B92" s="170" t="s">
        <v>1771</v>
      </c>
      <c r="C92" s="170" t="s">
        <v>1772</v>
      </c>
      <c r="D92" s="182"/>
      <c r="E92" s="130">
        <v>34.0</v>
      </c>
      <c r="F92" s="169"/>
      <c r="G92" s="171" t="s">
        <v>1923</v>
      </c>
      <c r="H92" s="175">
        <v>0.833</v>
      </c>
      <c r="I92" s="173">
        <f>H92*(E92-1)</f>
        <v>27.489</v>
      </c>
      <c r="J92" s="184">
        <f>712.149*1.05</f>
        <v>747.75645</v>
      </c>
      <c r="K92" s="172">
        <v>1.35</v>
      </c>
      <c r="L92" s="175">
        <v>1.22</v>
      </c>
      <c r="M92" s="172">
        <v>1.25</v>
      </c>
      <c r="N92" s="175">
        <v>1.3</v>
      </c>
      <c r="O92" s="172">
        <v>1.15</v>
      </c>
      <c r="P92" s="176">
        <f t="shared" si="28"/>
        <v>2301.468169</v>
      </c>
      <c r="Q92" s="177">
        <v>3948626.0696202326</v>
      </c>
      <c r="R92" s="177">
        <v>105338.83072216173</v>
      </c>
      <c r="S92" s="177">
        <f t="shared" si="33"/>
        <v>78249.91775</v>
      </c>
      <c r="T92" s="177">
        <f t="shared" si="3"/>
        <v>2846.590191</v>
      </c>
      <c r="U92" s="178">
        <f t="shared" si="34"/>
        <v>1.016567173</v>
      </c>
      <c r="V92" s="179">
        <f t="shared" si="35"/>
        <v>1.386227963</v>
      </c>
    </row>
    <row r="93" ht="37.5" customHeight="1">
      <c r="A93" s="50" t="s">
        <v>2430</v>
      </c>
      <c r="B93" s="117" t="s">
        <v>1771</v>
      </c>
      <c r="C93" s="117" t="s">
        <v>1841</v>
      </c>
      <c r="D93" s="167"/>
      <c r="E93" s="111">
        <v>21.0</v>
      </c>
      <c r="F93" s="50" t="s">
        <v>1886</v>
      </c>
      <c r="G93" s="157" t="s">
        <v>1887</v>
      </c>
      <c r="H93" s="118">
        <v>1.45</v>
      </c>
      <c r="I93" s="159">
        <f>0.533+H93*(E93-4)+2.1*3</f>
        <v>31.483</v>
      </c>
      <c r="J93" s="168">
        <v>1140.406</v>
      </c>
      <c r="K93" s="118">
        <f>(1+1+1.06+1.06+1.12+1.12+1.18+1.18+1.24+1.24+1.3+1.3+1.36+1.36+1.42+1.42+1.5*5)/21</f>
        <v>1.279047619</v>
      </c>
      <c r="L93" s="118">
        <v>1.22</v>
      </c>
      <c r="M93" s="158">
        <v>1.25</v>
      </c>
      <c r="N93" s="118">
        <v>1.3</v>
      </c>
      <c r="O93" s="158">
        <v>1.15</v>
      </c>
      <c r="P93" s="161">
        <f t="shared" si="28"/>
        <v>3325.502231</v>
      </c>
      <c r="Q93" s="162">
        <v>5178715.450447502</v>
      </c>
      <c r="R93" s="162">
        <v>131103.40119104585</v>
      </c>
      <c r="S93" s="162">
        <f>IFERROR(P93*E93+280.988*3*1.22*1.25*1.3*1.15*10,"INF")</f>
        <v>89054.07235</v>
      </c>
      <c r="T93" s="162">
        <f t="shared" si="3"/>
        <v>2828.639975</v>
      </c>
      <c r="U93" s="164">
        <f t="shared" si="34"/>
        <v>0.8821246034</v>
      </c>
      <c r="V93" s="163">
        <f t="shared" si="35"/>
        <v>1.106781563</v>
      </c>
    </row>
    <row r="94" ht="37.5" customHeight="1">
      <c r="A94" s="117" t="s">
        <v>2431</v>
      </c>
      <c r="B94" s="117" t="s">
        <v>1771</v>
      </c>
      <c r="C94" s="117" t="s">
        <v>1779</v>
      </c>
      <c r="D94" s="188"/>
      <c r="E94" s="111">
        <v>63.0</v>
      </c>
      <c r="F94" s="50"/>
      <c r="G94" s="157" t="s">
        <v>1894</v>
      </c>
      <c r="H94" s="158">
        <f>11.017/3</f>
        <v>3.672333333</v>
      </c>
      <c r="I94" s="159">
        <f>H94*3*E94</f>
        <v>694.071</v>
      </c>
      <c r="J94" s="168">
        <v>4553.281</v>
      </c>
      <c r="K94" s="118"/>
      <c r="L94" s="158">
        <v>1.22</v>
      </c>
      <c r="M94" s="158">
        <v>1.25</v>
      </c>
      <c r="N94" s="118">
        <v>1.3</v>
      </c>
      <c r="O94" s="158">
        <v>1.15</v>
      </c>
      <c r="P94" s="161">
        <f t="shared" si="28"/>
        <v>10380.91152</v>
      </c>
      <c r="Q94" s="162"/>
      <c r="R94" s="162"/>
      <c r="S94" s="162">
        <f>IFERROR(P94*E94*3,"INF")</f>
        <v>1961992.277</v>
      </c>
      <c r="T94" s="162">
        <f t="shared" si="3"/>
        <v>2826.789013</v>
      </c>
      <c r="U94" s="178"/>
      <c r="V94" s="179"/>
    </row>
    <row r="95" ht="37.5" customHeight="1">
      <c r="A95" s="169" t="s">
        <v>2432</v>
      </c>
      <c r="B95" s="170" t="s">
        <v>1751</v>
      </c>
      <c r="C95" s="170" t="s">
        <v>1752</v>
      </c>
      <c r="D95" s="210"/>
      <c r="E95" s="130" t="s">
        <v>1757</v>
      </c>
      <c r="F95" s="169"/>
      <c r="G95" s="171" t="s">
        <v>1753</v>
      </c>
      <c r="H95" s="172">
        <v>1.883</v>
      </c>
      <c r="I95" s="173" t="s">
        <v>582</v>
      </c>
      <c r="J95" s="184">
        <f>1659.403*1.1</f>
        <v>1825.3433</v>
      </c>
      <c r="K95" s="172">
        <v>1.33</v>
      </c>
      <c r="L95" s="175">
        <v>1.22</v>
      </c>
      <c r="M95" s="172">
        <v>1.25</v>
      </c>
      <c r="N95" s="175">
        <v>1.3</v>
      </c>
      <c r="O95" s="172">
        <v>1.1</v>
      </c>
      <c r="P95" s="176">
        <f t="shared" si="28"/>
        <v>5294.221144</v>
      </c>
      <c r="Q95" s="177"/>
      <c r="R95" s="177"/>
      <c r="S95" s="177" t="str">
        <f t="shared" ref="S95:S104" si="37">IFERROR(P95*E95,"INF")</f>
        <v>INF</v>
      </c>
      <c r="T95" s="177">
        <f t="shared" si="3"/>
        <v>2811.588499</v>
      </c>
      <c r="U95" s="178" t="str">
        <f t="shared" ref="U95:U131" si="38">IFERROR(IF(ISBLANK(Q95),"N/A",(S95/Q95)*(104237/2032)),"N/A")</f>
        <v>N/A</v>
      </c>
      <c r="V95" s="179" t="str">
        <f t="shared" ref="V95:V131" si="39">IF(ISBLANK(R95),"N/A",(T95/R95)*(104237/2032))</f>
        <v>N/A</v>
      </c>
    </row>
    <row r="96" ht="37.5" customHeight="1">
      <c r="A96" s="117" t="s">
        <v>2433</v>
      </c>
      <c r="B96" s="117" t="s">
        <v>1771</v>
      </c>
      <c r="C96" s="117" t="s">
        <v>1834</v>
      </c>
      <c r="D96" s="167"/>
      <c r="E96" s="111">
        <v>27.0</v>
      </c>
      <c r="F96" s="117" t="s">
        <v>1911</v>
      </c>
      <c r="G96" s="157" t="s">
        <v>1912</v>
      </c>
      <c r="H96" s="158">
        <v>0.89166</v>
      </c>
      <c r="I96" s="159">
        <f>H96*(E96-4)+1.383*3</f>
        <v>24.65718</v>
      </c>
      <c r="J96" s="168">
        <v>1125.43</v>
      </c>
      <c r="K96" s="158"/>
      <c r="L96" s="118">
        <v>1.22</v>
      </c>
      <c r="M96" s="158">
        <v>1.25</v>
      </c>
      <c r="N96" s="118">
        <v>1.3</v>
      </c>
      <c r="O96" s="158">
        <v>1.15</v>
      </c>
      <c r="P96" s="161">
        <f t="shared" si="28"/>
        <v>2565.839721</v>
      </c>
      <c r="Q96" s="162"/>
      <c r="R96" s="162"/>
      <c r="S96" s="162">
        <f t="shared" si="37"/>
        <v>69277.67247</v>
      </c>
      <c r="T96" s="162">
        <f t="shared" si="3"/>
        <v>2809.63486</v>
      </c>
      <c r="U96" s="164" t="str">
        <f t="shared" si="38"/>
        <v>N/A</v>
      </c>
      <c r="V96" s="163" t="str">
        <f t="shared" si="39"/>
        <v>N/A</v>
      </c>
    </row>
    <row r="97" ht="37.5" customHeight="1">
      <c r="A97" s="169" t="s">
        <v>2434</v>
      </c>
      <c r="B97" s="170" t="s">
        <v>1751</v>
      </c>
      <c r="C97" s="170" t="s">
        <v>1898</v>
      </c>
      <c r="D97" s="182"/>
      <c r="E97" s="130">
        <v>379.0</v>
      </c>
      <c r="F97" s="169" t="s">
        <v>2435</v>
      </c>
      <c r="G97" s="171" t="s">
        <v>1899</v>
      </c>
      <c r="H97" s="175">
        <v>0.083</v>
      </c>
      <c r="I97" s="185">
        <f>H97*(E97-2)+2.833</f>
        <v>34.124</v>
      </c>
      <c r="J97" s="174">
        <v>115.35</v>
      </c>
      <c r="K97" s="211"/>
      <c r="L97" s="175">
        <v>1.22</v>
      </c>
      <c r="M97" s="172">
        <v>1.25</v>
      </c>
      <c r="N97" s="175">
        <v>1.3</v>
      </c>
      <c r="O97" s="172">
        <v>1.1</v>
      </c>
      <c r="P97" s="176">
        <f t="shared" si="28"/>
        <v>251.5495125</v>
      </c>
      <c r="Q97" s="177">
        <v>5339126.26</v>
      </c>
      <c r="R97" s="177">
        <v>137016.6104652655</v>
      </c>
      <c r="S97" s="177">
        <f t="shared" si="37"/>
        <v>95337.26524</v>
      </c>
      <c r="T97" s="177">
        <f t="shared" si="3"/>
        <v>2793.847885</v>
      </c>
      <c r="U97" s="178">
        <f t="shared" si="38"/>
        <v>0.9159899291</v>
      </c>
      <c r="V97" s="179">
        <f t="shared" si="39"/>
        <v>1.045990492</v>
      </c>
    </row>
    <row r="98" ht="37.5" customHeight="1">
      <c r="A98" s="169" t="s">
        <v>2436</v>
      </c>
      <c r="B98" s="170" t="s">
        <v>1771</v>
      </c>
      <c r="C98" s="170" t="s">
        <v>1777</v>
      </c>
      <c r="D98" s="182"/>
      <c r="E98" s="130">
        <v>46.0</v>
      </c>
      <c r="F98" s="169" t="s">
        <v>1991</v>
      </c>
      <c r="G98" s="171" t="s">
        <v>1992</v>
      </c>
      <c r="H98" s="175">
        <v>0.65</v>
      </c>
      <c r="I98" s="173">
        <f>H98*(E98-5)+1.817*4</f>
        <v>33.918</v>
      </c>
      <c r="J98" s="184">
        <f>564.934</f>
        <v>564.934</v>
      </c>
      <c r="K98" s="175">
        <f>1.2*1.159*1.15</f>
        <v>1.59942</v>
      </c>
      <c r="L98" s="175">
        <v>1.22</v>
      </c>
      <c r="M98" s="172">
        <v>1.25</v>
      </c>
      <c r="N98" s="175">
        <v>1.3</v>
      </c>
      <c r="O98" s="172">
        <v>1.15</v>
      </c>
      <c r="P98" s="176">
        <f t="shared" si="28"/>
        <v>2060.019217</v>
      </c>
      <c r="Q98" s="177">
        <v>4068056.6126199793</v>
      </c>
      <c r="R98" s="177">
        <v>107863.09459419273</v>
      </c>
      <c r="S98" s="177">
        <f t="shared" si="37"/>
        <v>94760.884</v>
      </c>
      <c r="T98" s="177">
        <f t="shared" si="3"/>
        <v>2793.822867</v>
      </c>
      <c r="U98" s="178">
        <f t="shared" si="38"/>
        <v>1.194924086</v>
      </c>
      <c r="V98" s="179">
        <f t="shared" si="39"/>
        <v>1.328691607</v>
      </c>
    </row>
    <row r="99" ht="37.5" customHeight="1">
      <c r="A99" s="169" t="s">
        <v>2437</v>
      </c>
      <c r="B99" s="170" t="s">
        <v>1771</v>
      </c>
      <c r="C99" s="170" t="s">
        <v>1772</v>
      </c>
      <c r="D99" s="182"/>
      <c r="E99" s="130">
        <v>24.0</v>
      </c>
      <c r="F99" s="170" t="s">
        <v>1970</v>
      </c>
      <c r="G99" s="171" t="s">
        <v>1971</v>
      </c>
      <c r="H99" s="172">
        <v>0.633</v>
      </c>
      <c r="I99" s="173">
        <f>0.633*7+0.817*(E99-8)</f>
        <v>17.503</v>
      </c>
      <c r="J99" s="213">
        <f>644.59*1.1</f>
        <v>709.049</v>
      </c>
      <c r="K99" s="172">
        <f>(1+1.05+1.1+1.15+1.2+1.25+1.3*(E99-6))/24</f>
        <v>1.25625</v>
      </c>
      <c r="L99" s="175">
        <v>1.22</v>
      </c>
      <c r="M99" s="172">
        <v>1.25</v>
      </c>
      <c r="N99" s="175">
        <v>1.3</v>
      </c>
      <c r="O99" s="172">
        <v>1.15</v>
      </c>
      <c r="P99" s="176">
        <f t="shared" si="28"/>
        <v>2030.782255</v>
      </c>
      <c r="Q99" s="177"/>
      <c r="R99" s="177"/>
      <c r="S99" s="177">
        <f t="shared" si="37"/>
        <v>48738.77413</v>
      </c>
      <c r="T99" s="177">
        <f t="shared" si="3"/>
        <v>2784.595448</v>
      </c>
      <c r="U99" s="178" t="str">
        <f t="shared" si="38"/>
        <v>N/A</v>
      </c>
      <c r="V99" s="179" t="str">
        <f t="shared" si="39"/>
        <v>N/A</v>
      </c>
    </row>
    <row r="100" ht="37.5" customHeight="1">
      <c r="A100" s="50" t="s">
        <v>2438</v>
      </c>
      <c r="B100" s="117" t="s">
        <v>1771</v>
      </c>
      <c r="C100" s="117" t="s">
        <v>1777</v>
      </c>
      <c r="D100" s="167"/>
      <c r="E100" s="111">
        <v>20.0</v>
      </c>
      <c r="F100" s="50" t="s">
        <v>1828</v>
      </c>
      <c r="G100" s="157" t="s">
        <v>1829</v>
      </c>
      <c r="H100" s="158">
        <v>0.833</v>
      </c>
      <c r="I100" s="159">
        <f>H100*(E100-3)+1.817*2</f>
        <v>17.795</v>
      </c>
      <c r="J100" s="160">
        <v>691.27</v>
      </c>
      <c r="K100" s="158">
        <f>1.35*1.159</f>
        <v>1.56465</v>
      </c>
      <c r="L100" s="118">
        <v>1.22</v>
      </c>
      <c r="M100" s="158">
        <v>1.25</v>
      </c>
      <c r="N100" s="118">
        <v>1.3</v>
      </c>
      <c r="O100" s="158">
        <v>1.15</v>
      </c>
      <c r="P100" s="161">
        <f t="shared" si="28"/>
        <v>2465.902781</v>
      </c>
      <c r="Q100" s="162"/>
      <c r="R100" s="162"/>
      <c r="S100" s="162">
        <f t="shared" si="37"/>
        <v>49318.05562</v>
      </c>
      <c r="T100" s="162">
        <f t="shared" si="3"/>
        <v>2771.455781</v>
      </c>
      <c r="U100" s="164" t="str">
        <f t="shared" si="38"/>
        <v>N/A</v>
      </c>
      <c r="V100" s="163" t="str">
        <f t="shared" si="39"/>
        <v>N/A</v>
      </c>
    </row>
    <row r="101" ht="37.5" customHeight="1">
      <c r="A101" s="50" t="s">
        <v>2439</v>
      </c>
      <c r="B101" s="117" t="s">
        <v>1771</v>
      </c>
      <c r="C101" s="117" t="s">
        <v>1777</v>
      </c>
      <c r="D101" s="167"/>
      <c r="E101" s="111">
        <v>43.0</v>
      </c>
      <c r="F101" s="117" t="s">
        <v>1845</v>
      </c>
      <c r="G101" s="157" t="s">
        <v>1918</v>
      </c>
      <c r="H101" s="118">
        <v>1.283</v>
      </c>
      <c r="I101" s="159">
        <f>H101*(E101-3)+2.183*2</f>
        <v>55.686</v>
      </c>
      <c r="J101" s="168">
        <v>979.247</v>
      </c>
      <c r="K101" s="158">
        <f>(1+1.157++1.222+1.27+1.313+1.35+1.384+1.434+1.443+1.47+1.495+1.519+1.542+1.565+1.586+1.607+1.6264+1.6456+1.6642+1.6823+1.7*23)/43</f>
        <v>1.583151163</v>
      </c>
      <c r="L101" s="118">
        <v>1.22</v>
      </c>
      <c r="M101" s="158">
        <v>1.25</v>
      </c>
      <c r="N101" s="118">
        <v>1.3</v>
      </c>
      <c r="O101" s="158">
        <v>1.15</v>
      </c>
      <c r="P101" s="161">
        <f t="shared" si="28"/>
        <v>3534.481154</v>
      </c>
      <c r="Q101" s="162">
        <v>8382429.497000002</v>
      </c>
      <c r="R101" s="162">
        <v>116235.36381662881</v>
      </c>
      <c r="S101" s="162">
        <f t="shared" si="37"/>
        <v>151982.6896</v>
      </c>
      <c r="T101" s="162">
        <f t="shared" si="3"/>
        <v>2729.280064</v>
      </c>
      <c r="U101" s="164">
        <f t="shared" si="38"/>
        <v>0.9300845208</v>
      </c>
      <c r="V101" s="163">
        <f t="shared" si="39"/>
        <v>1.204503382</v>
      </c>
    </row>
    <row r="102" ht="37.5" customHeight="1">
      <c r="A102" s="170" t="s">
        <v>2440</v>
      </c>
      <c r="B102" s="170" t="s">
        <v>1771</v>
      </c>
      <c r="C102" s="170" t="s">
        <v>1772</v>
      </c>
      <c r="D102" s="182"/>
      <c r="E102" s="130">
        <v>34.0</v>
      </c>
      <c r="F102" s="170" t="s">
        <v>1978</v>
      </c>
      <c r="G102" s="171" t="s">
        <v>1979</v>
      </c>
      <c r="H102" s="172">
        <v>0.833</v>
      </c>
      <c r="I102" s="173">
        <f>H102*7+1.433*9</f>
        <v>18.728</v>
      </c>
      <c r="J102" s="174">
        <f>913.916/2*1.1</f>
        <v>502.6538</v>
      </c>
      <c r="K102" s="172">
        <f>(1+1.3*7+1.3*(1.133+1.149+1.164+1.179++1.195+1.21+1.225+1.241)+1.3*17*1.241+1.241)/34</f>
        <v>1.503291176</v>
      </c>
      <c r="L102" s="175">
        <v>1.22</v>
      </c>
      <c r="M102" s="172">
        <v>1.25</v>
      </c>
      <c r="N102" s="175">
        <v>1.3</v>
      </c>
      <c r="O102" s="175"/>
      <c r="P102" s="176">
        <f t="shared" si="28"/>
        <v>1498.046432</v>
      </c>
      <c r="Q102" s="177">
        <v>5269682.717130624</v>
      </c>
      <c r="R102" s="177">
        <v>142032.3086930792</v>
      </c>
      <c r="S102" s="177">
        <f t="shared" si="37"/>
        <v>50933.57868</v>
      </c>
      <c r="T102" s="177">
        <f t="shared" si="3"/>
        <v>2719.648584</v>
      </c>
      <c r="U102" s="178">
        <f t="shared" si="38"/>
        <v>0.4958130165</v>
      </c>
      <c r="V102" s="179">
        <f t="shared" si="39"/>
        <v>0.9822540868</v>
      </c>
    </row>
    <row r="103" ht="37.5" customHeight="1">
      <c r="A103" s="117" t="s">
        <v>2441</v>
      </c>
      <c r="B103" s="117" t="s">
        <v>1771</v>
      </c>
      <c r="C103" s="117" t="s">
        <v>1777</v>
      </c>
      <c r="D103" s="167"/>
      <c r="E103" s="111">
        <v>59.0</v>
      </c>
      <c r="F103" s="117" t="s">
        <v>1854</v>
      </c>
      <c r="G103" s="157" t="s">
        <v>1921</v>
      </c>
      <c r="H103" s="158">
        <v>0.433</v>
      </c>
      <c r="I103" s="159">
        <f>H103*(E103-6)+1.75*5</f>
        <v>31.699</v>
      </c>
      <c r="J103" s="160">
        <v>427.926</v>
      </c>
      <c r="K103" s="158">
        <f>(1.07*2*15+1*(E103-15))/59*1.159</f>
        <v>1.494913559</v>
      </c>
      <c r="L103" s="118">
        <v>1.22</v>
      </c>
      <c r="M103" s="158">
        <v>1.25</v>
      </c>
      <c r="N103" s="118">
        <v>1.3</v>
      </c>
      <c r="O103" s="158">
        <v>1.15</v>
      </c>
      <c r="P103" s="161">
        <f t="shared" si="28"/>
        <v>1458.464262</v>
      </c>
      <c r="Q103" s="162"/>
      <c r="R103" s="162"/>
      <c r="S103" s="162">
        <f t="shared" si="37"/>
        <v>86049.39145</v>
      </c>
      <c r="T103" s="162">
        <f t="shared" si="3"/>
        <v>2714.577477</v>
      </c>
      <c r="U103" s="164" t="str">
        <f t="shared" si="38"/>
        <v>N/A</v>
      </c>
      <c r="V103" s="163" t="str">
        <f t="shared" si="39"/>
        <v>N/A</v>
      </c>
    </row>
    <row r="104" ht="37.5" customHeight="1">
      <c r="A104" s="117" t="s">
        <v>835</v>
      </c>
      <c r="B104" s="117" t="s">
        <v>1751</v>
      </c>
      <c r="C104" s="117" t="s">
        <v>1805</v>
      </c>
      <c r="D104" s="167"/>
      <c r="E104" s="111">
        <v>25.0</v>
      </c>
      <c r="F104" s="117" t="s">
        <v>1924</v>
      </c>
      <c r="G104" s="157" t="s">
        <v>1925</v>
      </c>
      <c r="H104" s="158">
        <v>0.433</v>
      </c>
      <c r="I104" s="159">
        <f>H104*(E104-4)+2.05*3</f>
        <v>15.243</v>
      </c>
      <c r="J104" s="168">
        <v>756.23</v>
      </c>
      <c r="K104" s="118"/>
      <c r="L104" s="118">
        <v>1.22</v>
      </c>
      <c r="M104" s="158">
        <v>1.25</v>
      </c>
      <c r="N104" s="118">
        <v>1.3</v>
      </c>
      <c r="O104" s="158">
        <v>1.1</v>
      </c>
      <c r="P104" s="161">
        <f t="shared" si="28"/>
        <v>1649.148573</v>
      </c>
      <c r="Q104" s="162">
        <v>2013526.1250000002</v>
      </c>
      <c r="R104" s="162">
        <v>146876.22182507845</v>
      </c>
      <c r="S104" s="162">
        <f t="shared" si="37"/>
        <v>41228.71431</v>
      </c>
      <c r="T104" s="162">
        <f t="shared" si="3"/>
        <v>2704.763781</v>
      </c>
      <c r="U104" s="164">
        <f t="shared" si="38"/>
        <v>1.050366164</v>
      </c>
      <c r="V104" s="163">
        <f t="shared" si="39"/>
        <v>0.9446611388</v>
      </c>
    </row>
    <row r="105" ht="37.5" customHeight="1">
      <c r="A105" s="50" t="s">
        <v>2442</v>
      </c>
      <c r="B105" s="117" t="s">
        <v>1751</v>
      </c>
      <c r="C105" s="117" t="s">
        <v>1779</v>
      </c>
      <c r="D105" s="167"/>
      <c r="E105" s="111">
        <v>65.0</v>
      </c>
      <c r="F105" s="117" t="s">
        <v>1927</v>
      </c>
      <c r="G105" s="165" t="s">
        <v>1928</v>
      </c>
      <c r="H105" s="118">
        <v>4.05</v>
      </c>
      <c r="I105" s="159">
        <f>H105*9+1.95</f>
        <v>38.4</v>
      </c>
      <c r="J105" s="160">
        <f>4163.338+2*436.151</f>
        <v>5035.64</v>
      </c>
      <c r="K105" s="118"/>
      <c r="L105" s="118">
        <v>1.22</v>
      </c>
      <c r="M105" s="158">
        <v>1.25</v>
      </c>
      <c r="N105" s="118">
        <v>1.3</v>
      </c>
      <c r="O105" s="158">
        <v>1.1</v>
      </c>
      <c r="P105" s="161">
        <f t="shared" si="28"/>
        <v>10981.47193</v>
      </c>
      <c r="Q105" s="162">
        <v>5346650.608573167</v>
      </c>
      <c r="R105" s="162">
        <v>125951.722227872</v>
      </c>
      <c r="S105" s="162">
        <f>IFERROR(P105*(9+2254/J105),"INF")</f>
        <v>103748.6579</v>
      </c>
      <c r="T105" s="162">
        <f t="shared" si="3"/>
        <v>2701.787965</v>
      </c>
      <c r="U105" s="164">
        <f t="shared" si="38"/>
        <v>0.9954028558</v>
      </c>
      <c r="V105" s="163">
        <f t="shared" si="39"/>
        <v>1.100386751</v>
      </c>
    </row>
    <row r="106" ht="37.5" customHeight="1">
      <c r="A106" s="50" t="s">
        <v>2443</v>
      </c>
      <c r="B106" s="117" t="s">
        <v>1751</v>
      </c>
      <c r="C106" s="117" t="s">
        <v>1805</v>
      </c>
      <c r="D106" s="167"/>
      <c r="E106" s="111">
        <v>30.0</v>
      </c>
      <c r="F106" s="117" t="s">
        <v>1930</v>
      </c>
      <c r="G106" s="157" t="s">
        <v>1931</v>
      </c>
      <c r="H106" s="118">
        <v>0.383</v>
      </c>
      <c r="I106" s="159">
        <f>H106*(E106-5)+2.083*4</f>
        <v>17.907</v>
      </c>
      <c r="J106" s="168">
        <v>739.507</v>
      </c>
      <c r="K106" s="118"/>
      <c r="L106" s="118">
        <v>1.22</v>
      </c>
      <c r="M106" s="158">
        <v>1.25</v>
      </c>
      <c r="N106" s="118">
        <v>1.3</v>
      </c>
      <c r="O106" s="158">
        <v>1.1</v>
      </c>
      <c r="P106" s="161">
        <f t="shared" si="28"/>
        <v>1612.67989</v>
      </c>
      <c r="Q106" s="162">
        <v>2860465.9850000003</v>
      </c>
      <c r="R106" s="162">
        <v>132908.92969984206</v>
      </c>
      <c r="S106" s="162">
        <f>IFERROR(P106*E106,"INF")</f>
        <v>48380.39671</v>
      </c>
      <c r="T106" s="162">
        <f t="shared" si="3"/>
        <v>2701.758905</v>
      </c>
      <c r="U106" s="164">
        <f t="shared" si="38"/>
        <v>0.8676225627</v>
      </c>
      <c r="V106" s="163">
        <f t="shared" si="39"/>
        <v>1.042775049</v>
      </c>
    </row>
    <row r="107" ht="37.5" customHeight="1">
      <c r="A107" s="50" t="s">
        <v>2444</v>
      </c>
      <c r="B107" s="117" t="s">
        <v>1751</v>
      </c>
      <c r="C107" s="117" t="s">
        <v>1779</v>
      </c>
      <c r="D107" s="167"/>
      <c r="E107" s="111">
        <v>65.0</v>
      </c>
      <c r="F107" s="50" t="s">
        <v>1933</v>
      </c>
      <c r="G107" s="165" t="s">
        <v>1934</v>
      </c>
      <c r="H107" s="118">
        <v>5.05</v>
      </c>
      <c r="I107" s="159">
        <f>H107*7+1.95</f>
        <v>37.3</v>
      </c>
      <c r="J107" s="160">
        <f>4963.338+3*436.151</f>
        <v>6271.791</v>
      </c>
      <c r="K107" s="118"/>
      <c r="L107" s="118">
        <v>1.22</v>
      </c>
      <c r="M107" s="158">
        <v>1.25</v>
      </c>
      <c r="N107" s="118">
        <v>1.3</v>
      </c>
      <c r="O107" s="158">
        <v>1.1</v>
      </c>
      <c r="P107" s="161">
        <f t="shared" si="28"/>
        <v>13677.20822</v>
      </c>
      <c r="Q107" s="162">
        <v>5101278.195348558</v>
      </c>
      <c r="R107" s="162">
        <v>126269.26226110292</v>
      </c>
      <c r="S107" s="162">
        <f>IFERROR(P107*(7+2254/J107),"INF")</f>
        <v>100655.8681</v>
      </c>
      <c r="T107" s="162">
        <f t="shared" si="3"/>
        <v>2698.548742</v>
      </c>
      <c r="U107" s="164">
        <f t="shared" si="38"/>
        <v>1.012181256</v>
      </c>
      <c r="V107" s="163">
        <f t="shared" si="39"/>
        <v>1.096303558</v>
      </c>
    </row>
    <row r="108" ht="37.5" customHeight="1">
      <c r="A108" s="50" t="s">
        <v>2445</v>
      </c>
      <c r="B108" s="117" t="s">
        <v>1751</v>
      </c>
      <c r="C108" s="117" t="s">
        <v>1841</v>
      </c>
      <c r="D108" s="167"/>
      <c r="E108" s="111">
        <v>21.0</v>
      </c>
      <c r="F108" s="50" t="s">
        <v>1936</v>
      </c>
      <c r="G108" s="157" t="s">
        <v>1877</v>
      </c>
      <c r="H108" s="118">
        <v>1.15</v>
      </c>
      <c r="I108" s="159">
        <f>0.633+H108*(E108-2)+1.883</f>
        <v>24.366</v>
      </c>
      <c r="J108" s="160">
        <v>1434.225</v>
      </c>
      <c r="K108" s="118"/>
      <c r="L108" s="118">
        <v>1.22</v>
      </c>
      <c r="M108" s="158">
        <v>1.25</v>
      </c>
      <c r="N108" s="118">
        <v>1.3</v>
      </c>
      <c r="O108" s="158">
        <v>1.1</v>
      </c>
      <c r="P108" s="161">
        <f t="shared" si="28"/>
        <v>3127.686169</v>
      </c>
      <c r="Q108" s="162">
        <v>3704589.66009075</v>
      </c>
      <c r="R108" s="162">
        <v>114632.84525453324</v>
      </c>
      <c r="S108" s="162">
        <f t="shared" ref="S108:S109" si="40">IFERROR(P108*E108,"INF")</f>
        <v>65681.40954</v>
      </c>
      <c r="T108" s="162">
        <f t="shared" si="3"/>
        <v>2695.617235</v>
      </c>
      <c r="U108" s="164">
        <f t="shared" si="38"/>
        <v>0.909495499</v>
      </c>
      <c r="V108" s="163">
        <f t="shared" si="39"/>
        <v>1.206277848</v>
      </c>
    </row>
    <row r="109" ht="37.5" customHeight="1">
      <c r="A109" s="50" t="s">
        <v>2446</v>
      </c>
      <c r="B109" s="117" t="s">
        <v>1771</v>
      </c>
      <c r="C109" s="117" t="s">
        <v>1772</v>
      </c>
      <c r="D109" s="167"/>
      <c r="E109" s="111">
        <v>25.0</v>
      </c>
      <c r="F109" s="50" t="s">
        <v>1839</v>
      </c>
      <c r="G109" s="157" t="s">
        <v>1840</v>
      </c>
      <c r="H109" s="118">
        <v>0.433</v>
      </c>
      <c r="I109" s="159">
        <f>H109*(E109-2)+2.5</f>
        <v>12.459</v>
      </c>
      <c r="J109" s="168">
        <v>511.708</v>
      </c>
      <c r="K109" s="118">
        <v>1.15</v>
      </c>
      <c r="L109" s="118">
        <v>1.22</v>
      </c>
      <c r="M109" s="158">
        <v>1.25</v>
      </c>
      <c r="N109" s="118">
        <v>1.3</v>
      </c>
      <c r="O109" s="158">
        <v>1.15</v>
      </c>
      <c r="P109" s="161">
        <f t="shared" si="28"/>
        <v>1341.624818</v>
      </c>
      <c r="Q109" s="162">
        <v>1844146.1585904022</v>
      </c>
      <c r="R109" s="162">
        <v>134707.5353243537</v>
      </c>
      <c r="S109" s="162">
        <f t="shared" si="40"/>
        <v>33540.62045</v>
      </c>
      <c r="T109" s="162">
        <f t="shared" si="3"/>
        <v>2692.079657</v>
      </c>
      <c r="U109" s="164">
        <f t="shared" si="38"/>
        <v>0.9329834799</v>
      </c>
      <c r="V109" s="163">
        <f t="shared" si="39"/>
        <v>1.025166052</v>
      </c>
    </row>
    <row r="110" ht="37.5" customHeight="1">
      <c r="A110" s="50" t="s">
        <v>2447</v>
      </c>
      <c r="B110" s="117" t="s">
        <v>1751</v>
      </c>
      <c r="C110" s="117" t="s">
        <v>1779</v>
      </c>
      <c r="D110" s="167"/>
      <c r="E110" s="111">
        <v>73.0</v>
      </c>
      <c r="F110" s="50" t="s">
        <v>1939</v>
      </c>
      <c r="G110" s="165" t="s">
        <v>1940</v>
      </c>
      <c r="H110" s="118">
        <v>2.75</v>
      </c>
      <c r="I110" s="159">
        <f>H110*9+0.367</f>
        <v>25.117</v>
      </c>
      <c r="J110" s="160">
        <f>1121.63*2+373.854*2</f>
        <v>2990.968</v>
      </c>
      <c r="K110" s="158">
        <v>1.1</v>
      </c>
      <c r="L110" s="118">
        <v>1.22</v>
      </c>
      <c r="M110" s="158">
        <v>1.25</v>
      </c>
      <c r="N110" s="118">
        <v>1.3</v>
      </c>
      <c r="O110" s="158">
        <v>1.1</v>
      </c>
      <c r="P110" s="161">
        <f t="shared" si="28"/>
        <v>7174.808813</v>
      </c>
      <c r="Q110" s="162">
        <v>2204599.4320595767</v>
      </c>
      <c r="R110" s="162">
        <v>104980.92533617032</v>
      </c>
      <c r="S110" s="162">
        <f>IFERROR(P110*(9+1121.63/2991),"INF")</f>
        <v>67263.84461</v>
      </c>
      <c r="T110" s="162">
        <f t="shared" si="3"/>
        <v>2678.020648</v>
      </c>
      <c r="U110" s="164">
        <f t="shared" si="38"/>
        <v>1.565129206</v>
      </c>
      <c r="V110" s="163">
        <f t="shared" si="39"/>
        <v>1.308584358</v>
      </c>
    </row>
    <row r="111" ht="37.5" customHeight="1">
      <c r="A111" s="50" t="s">
        <v>2448</v>
      </c>
      <c r="B111" s="117" t="s">
        <v>1771</v>
      </c>
      <c r="C111" s="117" t="s">
        <v>1942</v>
      </c>
      <c r="D111" s="167"/>
      <c r="E111" s="111">
        <v>485.0</v>
      </c>
      <c r="F111" s="50"/>
      <c r="G111" s="157" t="s">
        <v>1943</v>
      </c>
      <c r="H111" s="118">
        <v>0.067</v>
      </c>
      <c r="I111" s="159">
        <f>H111*E111-1</f>
        <v>31.495</v>
      </c>
      <c r="J111" s="168">
        <v>75.872</v>
      </c>
      <c r="K111" s="118"/>
      <c r="L111" s="118">
        <v>1.22</v>
      </c>
      <c r="M111" s="158">
        <v>1.25</v>
      </c>
      <c r="N111" s="118">
        <v>1.3</v>
      </c>
      <c r="O111" s="158">
        <v>1.15</v>
      </c>
      <c r="P111" s="161">
        <f t="shared" si="28"/>
        <v>172.978676</v>
      </c>
      <c r="Q111" s="162">
        <v>3134481.034347742</v>
      </c>
      <c r="R111" s="162">
        <v>136477.59978872913</v>
      </c>
      <c r="S111" s="162">
        <f t="shared" ref="S111:S116" si="41">IFERROR(P111*E111,"INF")</f>
        <v>83894.65786</v>
      </c>
      <c r="T111" s="162">
        <f t="shared" si="3"/>
        <v>2663.745288</v>
      </c>
      <c r="U111" s="164">
        <f t="shared" si="38"/>
        <v>1.372988377</v>
      </c>
      <c r="V111" s="163">
        <f t="shared" si="39"/>
        <v>1.001220005</v>
      </c>
    </row>
    <row r="112" ht="37.5" customHeight="1">
      <c r="A112" s="50" t="s">
        <v>2449</v>
      </c>
      <c r="B112" s="117" t="s">
        <v>1771</v>
      </c>
      <c r="C112" s="117" t="s">
        <v>1777</v>
      </c>
      <c r="D112" s="167"/>
      <c r="E112" s="111">
        <v>46.0</v>
      </c>
      <c r="F112" s="117" t="s">
        <v>1945</v>
      </c>
      <c r="G112" s="157" t="s">
        <v>1946</v>
      </c>
      <c r="H112" s="118">
        <v>0.433</v>
      </c>
      <c r="I112" s="159">
        <f>H112*(E112-5)+1.817*4</f>
        <v>25.021</v>
      </c>
      <c r="J112" s="168">
        <v>632.741</v>
      </c>
      <c r="K112" s="118"/>
      <c r="L112" s="118">
        <v>1.22</v>
      </c>
      <c r="M112" s="158">
        <v>1.25</v>
      </c>
      <c r="N112" s="118">
        <v>1.3</v>
      </c>
      <c r="O112" s="158">
        <v>1.15</v>
      </c>
      <c r="P112" s="161">
        <f t="shared" si="28"/>
        <v>1442.570387</v>
      </c>
      <c r="Q112" s="162">
        <v>4287903.6525</v>
      </c>
      <c r="R112" s="162">
        <v>154630.495943022</v>
      </c>
      <c r="S112" s="162">
        <f t="shared" si="41"/>
        <v>66358.23782</v>
      </c>
      <c r="T112" s="162">
        <f t="shared" si="3"/>
        <v>2652.101747</v>
      </c>
      <c r="U112" s="164">
        <f t="shared" si="38"/>
        <v>0.7938675063</v>
      </c>
      <c r="V112" s="163">
        <f t="shared" si="39"/>
        <v>0.8798187902</v>
      </c>
    </row>
    <row r="113" ht="37.5" customHeight="1">
      <c r="A113" s="50" t="s">
        <v>2450</v>
      </c>
      <c r="B113" s="117" t="s">
        <v>1771</v>
      </c>
      <c r="C113" s="117" t="s">
        <v>1863</v>
      </c>
      <c r="D113" s="167"/>
      <c r="E113" s="111">
        <v>20.0</v>
      </c>
      <c r="F113" s="117" t="s">
        <v>1948</v>
      </c>
      <c r="G113" s="157" t="s">
        <v>1753</v>
      </c>
      <c r="H113" s="158">
        <v>1.55</v>
      </c>
      <c r="I113" s="159">
        <f>H113*(E113-1)</f>
        <v>29.45</v>
      </c>
      <c r="J113" s="168">
        <v>1317.177</v>
      </c>
      <c r="K113" s="158">
        <v>1.3</v>
      </c>
      <c r="L113" s="118">
        <v>1.22</v>
      </c>
      <c r="M113" s="158">
        <v>1.25</v>
      </c>
      <c r="N113" s="118">
        <v>1.3</v>
      </c>
      <c r="O113" s="158">
        <v>1.15</v>
      </c>
      <c r="P113" s="161">
        <f t="shared" si="28"/>
        <v>3903.898587</v>
      </c>
      <c r="Q113" s="162"/>
      <c r="R113" s="162"/>
      <c r="S113" s="162">
        <f t="shared" si="41"/>
        <v>78077.97173</v>
      </c>
      <c r="T113" s="162">
        <f t="shared" si="3"/>
        <v>2651.204473</v>
      </c>
      <c r="U113" s="164" t="str">
        <f t="shared" si="38"/>
        <v>N/A</v>
      </c>
      <c r="V113" s="163" t="str">
        <f t="shared" si="39"/>
        <v>N/A</v>
      </c>
    </row>
    <row r="114" ht="37.5" customHeight="1">
      <c r="A114" s="169" t="s">
        <v>2451</v>
      </c>
      <c r="B114" s="169" t="s">
        <v>1859</v>
      </c>
      <c r="C114" s="169" t="s">
        <v>2045</v>
      </c>
      <c r="D114" s="182"/>
      <c r="E114" s="204" t="s">
        <v>1757</v>
      </c>
      <c r="F114" s="169"/>
      <c r="G114" s="183" t="s">
        <v>582</v>
      </c>
      <c r="H114" s="175">
        <v>0.233</v>
      </c>
      <c r="I114" s="173" t="s">
        <v>582</v>
      </c>
      <c r="J114" s="184">
        <f>196.464*1.1</f>
        <v>216.1104</v>
      </c>
      <c r="K114" s="175">
        <v>1.25</v>
      </c>
      <c r="L114" s="175">
        <v>1.22</v>
      </c>
      <c r="M114" s="172">
        <v>1.25</v>
      </c>
      <c r="N114" s="175">
        <v>1.3</v>
      </c>
      <c r="O114" s="172">
        <v>1.15</v>
      </c>
      <c r="P114" s="176">
        <f t="shared" si="28"/>
        <v>615.8808728</v>
      </c>
      <c r="Q114" s="177" t="s">
        <v>1757</v>
      </c>
      <c r="R114" s="177">
        <v>80083.77875778593</v>
      </c>
      <c r="S114" s="177" t="str">
        <f t="shared" si="41"/>
        <v>INF</v>
      </c>
      <c r="T114" s="177">
        <f t="shared" si="3"/>
        <v>2643.265548</v>
      </c>
      <c r="U114" s="178" t="str">
        <f t="shared" si="38"/>
        <v>N/A</v>
      </c>
      <c r="V114" s="179">
        <f t="shared" si="39"/>
        <v>1.693146115</v>
      </c>
    </row>
    <row r="115" ht="37.5" customHeight="1">
      <c r="A115" s="169" t="s">
        <v>2452</v>
      </c>
      <c r="B115" s="170" t="s">
        <v>1771</v>
      </c>
      <c r="C115" s="170" t="s">
        <v>1772</v>
      </c>
      <c r="D115" s="182"/>
      <c r="E115" s="130">
        <v>19.0</v>
      </c>
      <c r="F115" s="169"/>
      <c r="G115" s="171" t="s">
        <v>1963</v>
      </c>
      <c r="H115" s="175">
        <v>0.833</v>
      </c>
      <c r="I115" s="173">
        <f>H115*(E115-1)</f>
        <v>14.994</v>
      </c>
      <c r="J115" s="174">
        <f>655.941*1.2</f>
        <v>787.1292</v>
      </c>
      <c r="K115" s="175">
        <v>1.15</v>
      </c>
      <c r="L115" s="175">
        <v>1.22</v>
      </c>
      <c r="M115" s="172">
        <v>1.25</v>
      </c>
      <c r="N115" s="175">
        <v>1.3</v>
      </c>
      <c r="O115" s="172">
        <v>1.15</v>
      </c>
      <c r="P115" s="176">
        <f t="shared" si="28"/>
        <v>2063.739613</v>
      </c>
      <c r="Q115" s="177">
        <v>1981251.781146369</v>
      </c>
      <c r="R115" s="177">
        <v>103411.0225557894</v>
      </c>
      <c r="S115" s="177">
        <f t="shared" si="41"/>
        <v>39211.05264</v>
      </c>
      <c r="T115" s="177">
        <f t="shared" si="3"/>
        <v>2615.116222</v>
      </c>
      <c r="U115" s="178">
        <f t="shared" si="38"/>
        <v>1.015236051</v>
      </c>
      <c r="V115" s="179">
        <f t="shared" si="39"/>
        <v>1.297246066</v>
      </c>
    </row>
    <row r="116" ht="37.5" customHeight="1">
      <c r="A116" s="50" t="s">
        <v>2453</v>
      </c>
      <c r="B116" s="117" t="s">
        <v>1751</v>
      </c>
      <c r="C116" s="117" t="s">
        <v>1898</v>
      </c>
      <c r="D116" s="167"/>
      <c r="E116" s="111">
        <v>58.0</v>
      </c>
      <c r="F116" s="117" t="s">
        <v>1950</v>
      </c>
      <c r="G116" s="165" t="s">
        <v>1951</v>
      </c>
      <c r="H116" s="158">
        <v>0.594</v>
      </c>
      <c r="I116" s="159">
        <f>0.817+0.594*56+6.333*2+2.35</f>
        <v>49.097</v>
      </c>
      <c r="J116" s="160">
        <f>(538.987*58+469.344*58)/58</f>
        <v>1008.331</v>
      </c>
      <c r="K116" s="118"/>
      <c r="L116" s="118">
        <v>1.22</v>
      </c>
      <c r="M116" s="158">
        <v>1.25</v>
      </c>
      <c r="N116" s="118">
        <v>1.3</v>
      </c>
      <c r="O116" s="158">
        <v>1.1</v>
      </c>
      <c r="P116" s="161">
        <f t="shared" si="28"/>
        <v>2198.917828</v>
      </c>
      <c r="Q116" s="162">
        <v>7215053.641401451</v>
      </c>
      <c r="R116" s="162">
        <v>135585.62862031517</v>
      </c>
      <c r="S116" s="162">
        <f t="shared" si="41"/>
        <v>127537.234</v>
      </c>
      <c r="T116" s="162">
        <f t="shared" si="3"/>
        <v>2597.658391</v>
      </c>
      <c r="U116" s="164">
        <f t="shared" si="38"/>
        <v>0.9067668399</v>
      </c>
      <c r="V116" s="163">
        <f t="shared" si="39"/>
        <v>0.9828032388</v>
      </c>
    </row>
    <row r="117" ht="37.5" customHeight="1">
      <c r="A117" s="50" t="s">
        <v>2454</v>
      </c>
      <c r="B117" s="117" t="s">
        <v>1751</v>
      </c>
      <c r="C117" s="117" t="s">
        <v>1942</v>
      </c>
      <c r="D117" s="156"/>
      <c r="E117" s="111">
        <v>385.0</v>
      </c>
      <c r="F117" s="117" t="s">
        <v>1953</v>
      </c>
      <c r="G117" s="157" t="s">
        <v>1954</v>
      </c>
      <c r="H117" s="118">
        <v>0.067</v>
      </c>
      <c r="I117" s="159">
        <f>H117*(E117-4)+1.117*3</f>
        <v>28.878</v>
      </c>
      <c r="J117" s="160">
        <v>78.809</v>
      </c>
      <c r="K117" s="118">
        <v>1.2</v>
      </c>
      <c r="L117" s="118">
        <v>1.22</v>
      </c>
      <c r="M117" s="158">
        <v>1.25</v>
      </c>
      <c r="N117" s="118">
        <v>1.3</v>
      </c>
      <c r="O117" s="158">
        <v>1.1</v>
      </c>
      <c r="P117" s="161">
        <f t="shared" si="28"/>
        <v>206.2352721</v>
      </c>
      <c r="Q117" s="162">
        <v>4143067.6979289893</v>
      </c>
      <c r="R117" s="162">
        <v>134432.25600859823</v>
      </c>
      <c r="S117" s="162">
        <f>IFERROR(P117*E117/1.2*(1+0.2*2/3),"INF")</f>
        <v>74989.43644</v>
      </c>
      <c r="T117" s="162">
        <f t="shared" si="3"/>
        <v>2596.766966</v>
      </c>
      <c r="U117" s="164">
        <f t="shared" si="38"/>
        <v>0.9284879249</v>
      </c>
      <c r="V117" s="163">
        <f t="shared" si="39"/>
        <v>0.9908951229</v>
      </c>
    </row>
    <row r="118" ht="37.5" customHeight="1">
      <c r="A118" s="169" t="s">
        <v>2455</v>
      </c>
      <c r="B118" s="170" t="s">
        <v>1771</v>
      </c>
      <c r="C118" s="170" t="s">
        <v>1772</v>
      </c>
      <c r="D118" s="182"/>
      <c r="E118" s="130">
        <v>18.0</v>
      </c>
      <c r="F118" s="170" t="s">
        <v>1967</v>
      </c>
      <c r="G118" s="183" t="s">
        <v>2456</v>
      </c>
      <c r="H118" s="172">
        <v>0.6915</v>
      </c>
      <c r="I118" s="173">
        <f>18.35-(0.733-0.692)*7</f>
        <v>18.063</v>
      </c>
      <c r="J118" s="174">
        <f>655.941*1.15</f>
        <v>754.33215</v>
      </c>
      <c r="K118" s="175">
        <v>1.5</v>
      </c>
      <c r="L118" s="175">
        <v>1.22</v>
      </c>
      <c r="M118" s="172">
        <v>1.25</v>
      </c>
      <c r="N118" s="175">
        <v>1.3</v>
      </c>
      <c r="O118" s="172">
        <v>1.15</v>
      </c>
      <c r="P118" s="176">
        <f t="shared" si="28"/>
        <v>2579.674516</v>
      </c>
      <c r="Q118" s="177">
        <v>2260247.0565605573</v>
      </c>
      <c r="R118" s="177">
        <v>110633.72768284667</v>
      </c>
      <c r="S118" s="177">
        <f t="shared" ref="S118:S127" si="42">IFERROR(P118*E118,"INF")</f>
        <v>46434.14128</v>
      </c>
      <c r="T118" s="177">
        <f t="shared" si="3"/>
        <v>2570.677146</v>
      </c>
      <c r="U118" s="178">
        <f t="shared" si="38"/>
        <v>1.053852199</v>
      </c>
      <c r="V118" s="179">
        <f t="shared" si="39"/>
        <v>1.19195042</v>
      </c>
    </row>
    <row r="119" ht="37.5" customHeight="1">
      <c r="A119" s="50" t="s">
        <v>2457</v>
      </c>
      <c r="B119" s="117" t="s">
        <v>1771</v>
      </c>
      <c r="C119" s="117" t="s">
        <v>1777</v>
      </c>
      <c r="D119" s="167"/>
      <c r="E119" s="111">
        <v>20.0</v>
      </c>
      <c r="F119" s="50" t="s">
        <v>1797</v>
      </c>
      <c r="G119" s="165" t="s">
        <v>1791</v>
      </c>
      <c r="H119" s="118">
        <v>0.65</v>
      </c>
      <c r="I119" s="159">
        <f>0.65*20+1.817*3+1.767*2</f>
        <v>21.985</v>
      </c>
      <c r="J119" s="160">
        <f>(4992.135*3+564.934*17)/20</f>
        <v>1229.01415</v>
      </c>
      <c r="K119" s="118"/>
      <c r="L119" s="118">
        <v>1.22</v>
      </c>
      <c r="M119" s="158">
        <v>1.25</v>
      </c>
      <c r="N119" s="118">
        <v>1.3</v>
      </c>
      <c r="O119" s="158">
        <v>1.15</v>
      </c>
      <c r="P119" s="161">
        <f t="shared" si="28"/>
        <v>2801.998635</v>
      </c>
      <c r="Q119" s="162">
        <v>3630821.330559767</v>
      </c>
      <c r="R119" s="162">
        <v>122249.87644982379</v>
      </c>
      <c r="S119" s="162">
        <f t="shared" si="42"/>
        <v>56039.9727</v>
      </c>
      <c r="T119" s="162">
        <f t="shared" si="3"/>
        <v>2549.009448</v>
      </c>
      <c r="U119" s="164">
        <f t="shared" si="38"/>
        <v>0.7917557698</v>
      </c>
      <c r="V119" s="163">
        <f t="shared" si="39"/>
        <v>1.069599562</v>
      </c>
    </row>
    <row r="120" ht="37.5" customHeight="1">
      <c r="A120" s="50" t="s">
        <v>579</v>
      </c>
      <c r="B120" s="117" t="s">
        <v>1751</v>
      </c>
      <c r="C120" s="117" t="s">
        <v>1793</v>
      </c>
      <c r="D120" s="167"/>
      <c r="E120" s="111">
        <v>11.0</v>
      </c>
      <c r="F120" s="50" t="s">
        <v>1891</v>
      </c>
      <c r="G120" s="157" t="s">
        <v>1892</v>
      </c>
      <c r="H120" s="118">
        <v>1.733</v>
      </c>
      <c r="I120" s="159">
        <f>1+H120*(E120-2)+2.717*2</f>
        <v>22.031</v>
      </c>
      <c r="J120" s="160">
        <v>2326.554</v>
      </c>
      <c r="K120" s="118"/>
      <c r="L120" s="118">
        <v>1.22</v>
      </c>
      <c r="M120" s="158">
        <v>1.25</v>
      </c>
      <c r="N120" s="118">
        <v>1.3</v>
      </c>
      <c r="O120" s="158">
        <v>1.1</v>
      </c>
      <c r="P120" s="161">
        <f t="shared" si="28"/>
        <v>5073.632636</v>
      </c>
      <c r="Q120" s="162"/>
      <c r="R120" s="162"/>
      <c r="S120" s="162">
        <f t="shared" si="42"/>
        <v>55809.95899</v>
      </c>
      <c r="T120" s="162">
        <f t="shared" si="3"/>
        <v>2533.246743</v>
      </c>
      <c r="U120" s="164" t="str">
        <f t="shared" si="38"/>
        <v>N/A</v>
      </c>
      <c r="V120" s="163" t="str">
        <f t="shared" si="39"/>
        <v>N/A</v>
      </c>
    </row>
    <row r="121" ht="37.5" customHeight="1">
      <c r="A121" s="169" t="s">
        <v>943</v>
      </c>
      <c r="B121" s="170" t="s">
        <v>1751</v>
      </c>
      <c r="C121" s="170" t="s">
        <v>1898</v>
      </c>
      <c r="D121" s="182"/>
      <c r="E121" s="130">
        <v>39.0</v>
      </c>
      <c r="F121" s="170" t="s">
        <v>1995</v>
      </c>
      <c r="G121" s="171" t="s">
        <v>2458</v>
      </c>
      <c r="H121" s="175">
        <v>0.5</v>
      </c>
      <c r="I121" s="173">
        <f>H121*(E121-3)+2.817*2</f>
        <v>23.634</v>
      </c>
      <c r="J121" s="184">
        <v>701.14</v>
      </c>
      <c r="K121" s="175"/>
      <c r="L121" s="175">
        <v>1.22</v>
      </c>
      <c r="M121" s="172">
        <v>1.25</v>
      </c>
      <c r="N121" s="175">
        <v>1.3</v>
      </c>
      <c r="O121" s="172">
        <v>1.1</v>
      </c>
      <c r="P121" s="176">
        <f t="shared" si="28"/>
        <v>1529.011055</v>
      </c>
      <c r="Q121" s="177">
        <v>2400315.6139156935</v>
      </c>
      <c r="R121" s="177">
        <v>141195.03611268784</v>
      </c>
      <c r="S121" s="177">
        <f t="shared" si="42"/>
        <v>59631.43115</v>
      </c>
      <c r="T121" s="177">
        <f t="shared" si="3"/>
        <v>2523.120553</v>
      </c>
      <c r="U121" s="178">
        <f t="shared" si="38"/>
        <v>1.274398003</v>
      </c>
      <c r="V121" s="179">
        <f t="shared" si="39"/>
        <v>0.9166779239</v>
      </c>
    </row>
    <row r="122" ht="37.5" customHeight="1">
      <c r="A122" s="117" t="s">
        <v>2459</v>
      </c>
      <c r="B122" s="117" t="s">
        <v>1751</v>
      </c>
      <c r="C122" s="117" t="s">
        <v>1841</v>
      </c>
      <c r="D122" s="167"/>
      <c r="E122" s="111">
        <v>21.0</v>
      </c>
      <c r="F122" s="117" t="s">
        <v>1973</v>
      </c>
      <c r="G122" s="157" t="s">
        <v>1887</v>
      </c>
      <c r="H122" s="158">
        <v>1.067</v>
      </c>
      <c r="I122" s="159">
        <f>H122*(E122-4)+1.8*3</f>
        <v>23.539</v>
      </c>
      <c r="J122" s="168">
        <v>997.237</v>
      </c>
      <c r="K122" s="158">
        <v>1.3</v>
      </c>
      <c r="L122" s="118">
        <v>1.22</v>
      </c>
      <c r="M122" s="158">
        <v>1.25</v>
      </c>
      <c r="N122" s="118">
        <v>1.3</v>
      </c>
      <c r="O122" s="158">
        <v>1.1</v>
      </c>
      <c r="P122" s="161">
        <f t="shared" si="28"/>
        <v>2827.141964</v>
      </c>
      <c r="Q122" s="162">
        <v>3430701.183</v>
      </c>
      <c r="R122" s="162">
        <v>115874.66420103355</v>
      </c>
      <c r="S122" s="162">
        <f t="shared" si="42"/>
        <v>59369.98125</v>
      </c>
      <c r="T122" s="162">
        <f t="shared" si="3"/>
        <v>2522.196408</v>
      </c>
      <c r="U122" s="164">
        <f t="shared" si="38"/>
        <v>0.8877327039</v>
      </c>
      <c r="V122" s="163">
        <f t="shared" si="39"/>
        <v>1.116576837</v>
      </c>
    </row>
    <row r="123" ht="37.5" customHeight="1">
      <c r="A123" s="50" t="s">
        <v>2460</v>
      </c>
      <c r="B123" s="117" t="s">
        <v>1771</v>
      </c>
      <c r="C123" s="117" t="s">
        <v>1772</v>
      </c>
      <c r="D123" s="167"/>
      <c r="E123" s="111">
        <v>25.0</v>
      </c>
      <c r="F123" s="50"/>
      <c r="G123" s="165"/>
      <c r="H123" s="118">
        <v>0.433</v>
      </c>
      <c r="I123" s="159">
        <v>17.4</v>
      </c>
      <c r="J123" s="168">
        <v>511.708</v>
      </c>
      <c r="K123" s="118">
        <v>1.5</v>
      </c>
      <c r="L123" s="118">
        <v>1.22</v>
      </c>
      <c r="M123" s="158">
        <v>1.25</v>
      </c>
      <c r="N123" s="118">
        <v>1.3</v>
      </c>
      <c r="O123" s="158">
        <v>1.15</v>
      </c>
      <c r="P123" s="161">
        <f t="shared" si="28"/>
        <v>1749.945415</v>
      </c>
      <c r="Q123" s="162">
        <v>2405408.032944003</v>
      </c>
      <c r="R123" s="162">
        <v>117664.14092569599</v>
      </c>
      <c r="S123" s="162">
        <f t="shared" si="42"/>
        <v>43748.63537</v>
      </c>
      <c r="T123" s="162">
        <f t="shared" si="3"/>
        <v>2514.289389</v>
      </c>
      <c r="U123" s="164">
        <f t="shared" si="38"/>
        <v>0.9329834799</v>
      </c>
      <c r="V123" s="163">
        <f t="shared" si="39"/>
        <v>1.096148349</v>
      </c>
    </row>
    <row r="124" ht="37.5" customHeight="1">
      <c r="A124" s="117" t="s">
        <v>2461</v>
      </c>
      <c r="B124" s="117" t="s">
        <v>1756</v>
      </c>
      <c r="C124" s="117" t="s">
        <v>1756</v>
      </c>
      <c r="D124" s="156"/>
      <c r="E124" s="111" t="s">
        <v>1757</v>
      </c>
      <c r="F124" s="50"/>
      <c r="G124" s="157" t="s">
        <v>582</v>
      </c>
      <c r="H124" s="158">
        <v>2.533</v>
      </c>
      <c r="I124" s="186" t="s">
        <v>582</v>
      </c>
      <c r="J124" s="168">
        <v>568.931</v>
      </c>
      <c r="K124" s="118"/>
      <c r="L124" s="118"/>
      <c r="M124" s="158">
        <f>1+2+1.5</f>
        <v>4.5</v>
      </c>
      <c r="N124" s="118">
        <v>1.3</v>
      </c>
      <c r="O124" s="158">
        <v>1.3</v>
      </c>
      <c r="P124" s="161">
        <f>PRODUCT(J124:O124)+511.708*1.22*1.25*1.3*2</f>
        <v>6355.642475</v>
      </c>
      <c r="Q124" s="162"/>
      <c r="R124" s="162"/>
      <c r="S124" s="162" t="str">
        <f t="shared" si="42"/>
        <v>INF</v>
      </c>
      <c r="T124" s="162">
        <f t="shared" si="3"/>
        <v>2509.13639</v>
      </c>
      <c r="U124" s="164" t="str">
        <f t="shared" si="38"/>
        <v>N/A</v>
      </c>
      <c r="V124" s="163" t="str">
        <f t="shared" si="39"/>
        <v>N/A</v>
      </c>
    </row>
    <row r="125" ht="37.5" customHeight="1">
      <c r="A125" s="169" t="s">
        <v>2462</v>
      </c>
      <c r="B125" s="170" t="s">
        <v>1771</v>
      </c>
      <c r="C125" s="170" t="s">
        <v>1834</v>
      </c>
      <c r="D125" s="182"/>
      <c r="E125" s="130">
        <v>14.0</v>
      </c>
      <c r="F125" s="169"/>
      <c r="G125" s="171" t="s">
        <v>1835</v>
      </c>
      <c r="H125" s="172">
        <v>1.05</v>
      </c>
      <c r="I125" s="173">
        <f>H125*(E125-1)</f>
        <v>13.65</v>
      </c>
      <c r="J125" s="184">
        <f>1117.428*0.9*0.75</f>
        <v>754.2639</v>
      </c>
      <c r="K125" s="172">
        <f>1.35*(1.06*12+1*2)/14</f>
        <v>1.419428571</v>
      </c>
      <c r="L125" s="175">
        <v>1.22</v>
      </c>
      <c r="M125" s="172">
        <v>1.25</v>
      </c>
      <c r="N125" s="175">
        <v>1.3</v>
      </c>
      <c r="O125" s="172">
        <v>1.15</v>
      </c>
      <c r="P125" s="176">
        <f t="shared" ref="P125:P233" si="43">PRODUCT(J125:O125)</f>
        <v>2440.888277</v>
      </c>
      <c r="Q125" s="177"/>
      <c r="R125" s="177"/>
      <c r="S125" s="177">
        <f t="shared" si="42"/>
        <v>34172.43587</v>
      </c>
      <c r="T125" s="177">
        <f t="shared" si="3"/>
        <v>2503.475155</v>
      </c>
      <c r="U125" s="178" t="str">
        <f t="shared" si="38"/>
        <v>N/A</v>
      </c>
      <c r="V125" s="179" t="str">
        <f t="shared" si="39"/>
        <v>N/A</v>
      </c>
    </row>
    <row r="126" ht="37.5" customHeight="1">
      <c r="A126" s="50" t="s">
        <v>2463</v>
      </c>
      <c r="B126" s="117" t="s">
        <v>1859</v>
      </c>
      <c r="C126" s="117" t="s">
        <v>1103</v>
      </c>
      <c r="D126" s="167"/>
      <c r="E126" s="49" t="s">
        <v>1757</v>
      </c>
      <c r="F126" s="50"/>
      <c r="G126" s="157" t="s">
        <v>582</v>
      </c>
      <c r="H126" s="118">
        <v>0.067</v>
      </c>
      <c r="I126" s="159" t="s">
        <v>582</v>
      </c>
      <c r="J126" s="168">
        <v>72.639</v>
      </c>
      <c r="K126" s="118"/>
      <c r="L126" s="118">
        <v>1.22</v>
      </c>
      <c r="M126" s="158">
        <v>1.25</v>
      </c>
      <c r="N126" s="118">
        <v>1.3</v>
      </c>
      <c r="O126" s="158">
        <v>1.15</v>
      </c>
      <c r="P126" s="161">
        <f t="shared" si="43"/>
        <v>165.6078401</v>
      </c>
      <c r="Q126" s="162"/>
      <c r="R126" s="162"/>
      <c r="S126" s="162" t="str">
        <f t="shared" si="42"/>
        <v>INF</v>
      </c>
      <c r="T126" s="162">
        <f t="shared" si="3"/>
        <v>2471.758808</v>
      </c>
      <c r="U126" s="164" t="str">
        <f t="shared" si="38"/>
        <v>N/A</v>
      </c>
      <c r="V126" s="163" t="str">
        <f t="shared" si="39"/>
        <v>N/A</v>
      </c>
    </row>
    <row r="127" ht="37.5" customHeight="1">
      <c r="A127" s="50" t="s">
        <v>2464</v>
      </c>
      <c r="B127" s="117" t="s">
        <v>1771</v>
      </c>
      <c r="C127" s="117" t="s">
        <v>1772</v>
      </c>
      <c r="D127" s="167"/>
      <c r="E127" s="111">
        <v>19.0</v>
      </c>
      <c r="F127" s="50"/>
      <c r="G127" s="165" t="s">
        <v>1982</v>
      </c>
      <c r="H127" s="118">
        <v>1.116</v>
      </c>
      <c r="I127" s="159">
        <f>H127*(E127-1)</f>
        <v>20.088</v>
      </c>
      <c r="J127" s="160">
        <v>1230.518</v>
      </c>
      <c r="K127" s="118"/>
      <c r="L127" s="118">
        <v>1.135</v>
      </c>
      <c r="M127" s="158">
        <v>1.25</v>
      </c>
      <c r="N127" s="118">
        <v>1.3</v>
      </c>
      <c r="O127" s="158">
        <v>1.15</v>
      </c>
      <c r="P127" s="161">
        <f t="shared" si="43"/>
        <v>2609.967132</v>
      </c>
      <c r="Q127" s="162">
        <v>3218712.126236281</v>
      </c>
      <c r="R127" s="162">
        <v>120172.94378122313</v>
      </c>
      <c r="S127" s="162">
        <f t="shared" si="42"/>
        <v>49589.3755</v>
      </c>
      <c r="T127" s="162">
        <f t="shared" si="3"/>
        <v>2468.606905</v>
      </c>
      <c r="U127" s="164">
        <f t="shared" si="38"/>
        <v>0.7903231492</v>
      </c>
      <c r="V127" s="163">
        <f t="shared" si="39"/>
        <v>1.053764199</v>
      </c>
    </row>
    <row r="128" ht="37.5" customHeight="1">
      <c r="A128" s="50" t="s">
        <v>2465</v>
      </c>
      <c r="B128" s="117" t="s">
        <v>1771</v>
      </c>
      <c r="C128" s="117" t="s">
        <v>1777</v>
      </c>
      <c r="D128" s="167"/>
      <c r="E128" s="111">
        <v>20.0</v>
      </c>
      <c r="F128" s="50"/>
      <c r="G128" s="165" t="s">
        <v>1787</v>
      </c>
      <c r="H128" s="118">
        <v>3.2</v>
      </c>
      <c r="I128" s="159">
        <f>H128*5</f>
        <v>16</v>
      </c>
      <c r="J128" s="160">
        <f>(5*3197.353+1259.252)/6</f>
        <v>2874.336167</v>
      </c>
      <c r="K128" s="118"/>
      <c r="L128" s="118">
        <v>1.22</v>
      </c>
      <c r="M128" s="158">
        <v>1.25</v>
      </c>
      <c r="N128" s="118">
        <v>1.3</v>
      </c>
      <c r="O128" s="158">
        <v>1.15</v>
      </c>
      <c r="P128" s="161">
        <f t="shared" si="43"/>
        <v>6553.127168</v>
      </c>
      <c r="Q128" s="162">
        <v>2197053.3322043605</v>
      </c>
      <c r="R128" s="162">
        <v>98082.73804483752</v>
      </c>
      <c r="S128" s="162">
        <f>IFERROR(P128*6,"INF")</f>
        <v>39318.76301</v>
      </c>
      <c r="T128" s="162">
        <f t="shared" si="3"/>
        <v>2457.422688</v>
      </c>
      <c r="U128" s="164">
        <f t="shared" si="38"/>
        <v>0.918031212</v>
      </c>
      <c r="V128" s="163">
        <f t="shared" si="39"/>
        <v>1.285243697</v>
      </c>
    </row>
    <row r="129" ht="37.5" customHeight="1">
      <c r="A129" s="50" t="s">
        <v>2466</v>
      </c>
      <c r="B129" s="117" t="s">
        <v>1771</v>
      </c>
      <c r="C129" s="117" t="s">
        <v>1863</v>
      </c>
      <c r="D129" s="167"/>
      <c r="E129" s="111">
        <v>35.0</v>
      </c>
      <c r="F129" s="50"/>
      <c r="G129" s="165" t="s">
        <v>1753</v>
      </c>
      <c r="H129" s="118">
        <v>0.65</v>
      </c>
      <c r="I129" s="159">
        <f t="shared" ref="I129:I130" si="44">H129*(E129-1)</f>
        <v>22.1</v>
      </c>
      <c r="J129" s="168">
        <v>676.674</v>
      </c>
      <c r="K129" s="118"/>
      <c r="L129" s="118">
        <v>1.22</v>
      </c>
      <c r="M129" s="158">
        <v>1.25</v>
      </c>
      <c r="N129" s="118">
        <v>1.3</v>
      </c>
      <c r="O129" s="158">
        <v>1.15</v>
      </c>
      <c r="P129" s="161">
        <f t="shared" si="43"/>
        <v>1542.732136</v>
      </c>
      <c r="Q129" s="162">
        <v>2599047.47141273</v>
      </c>
      <c r="R129" s="162">
        <v>102526.52747190256</v>
      </c>
      <c r="S129" s="162">
        <f t="shared" ref="S129:S131" si="45">IFERROR(P129*E129,"INF")</f>
        <v>53995.62475</v>
      </c>
      <c r="T129" s="162">
        <f t="shared" si="3"/>
        <v>2443.240939</v>
      </c>
      <c r="U129" s="164">
        <f t="shared" si="38"/>
        <v>1.065718632</v>
      </c>
      <c r="V129" s="163">
        <f t="shared" si="39"/>
        <v>1.22244196</v>
      </c>
    </row>
    <row r="130" ht="37.5" customHeight="1">
      <c r="A130" s="50" t="s">
        <v>2467</v>
      </c>
      <c r="B130" s="117" t="s">
        <v>1771</v>
      </c>
      <c r="C130" s="117" t="s">
        <v>1988</v>
      </c>
      <c r="D130" s="167"/>
      <c r="E130" s="49">
        <v>17.0</v>
      </c>
      <c r="F130" s="117" t="s">
        <v>1989</v>
      </c>
      <c r="G130" s="157" t="s">
        <v>1823</v>
      </c>
      <c r="H130" s="118">
        <v>1.5</v>
      </c>
      <c r="I130" s="159">
        <f t="shared" si="44"/>
        <v>24</v>
      </c>
      <c r="J130" s="160">
        <v>1574.727</v>
      </c>
      <c r="K130" s="166"/>
      <c r="L130" s="118">
        <v>1.22</v>
      </c>
      <c r="M130" s="158">
        <v>1.25</v>
      </c>
      <c r="N130" s="118">
        <v>1.3</v>
      </c>
      <c r="O130" s="158">
        <v>1.1</v>
      </c>
      <c r="P130" s="161">
        <f t="shared" si="43"/>
        <v>3434.085905</v>
      </c>
      <c r="Q130" s="162">
        <v>2459225.8706891104</v>
      </c>
      <c r="R130" s="162">
        <v>103642.35800274402</v>
      </c>
      <c r="S130" s="162">
        <f t="shared" si="45"/>
        <v>58379.46039</v>
      </c>
      <c r="T130" s="162">
        <f t="shared" si="3"/>
        <v>2432.477516</v>
      </c>
      <c r="U130" s="164">
        <f t="shared" si="38"/>
        <v>1.217754821</v>
      </c>
      <c r="V130" s="163">
        <f t="shared" si="39"/>
        <v>1.2039536</v>
      </c>
    </row>
    <row r="131" ht="37.5" customHeight="1">
      <c r="A131" s="170" t="s">
        <v>2468</v>
      </c>
      <c r="B131" s="170" t="s">
        <v>1771</v>
      </c>
      <c r="C131" s="170" t="s">
        <v>1772</v>
      </c>
      <c r="D131" s="182"/>
      <c r="E131" s="130">
        <v>66.0</v>
      </c>
      <c r="F131" s="170" t="s">
        <v>2006</v>
      </c>
      <c r="G131" s="171" t="s">
        <v>2007</v>
      </c>
      <c r="H131" s="172">
        <v>0.833</v>
      </c>
      <c r="I131" s="173">
        <f>H131*(E131/2-3)+5.6*2</f>
        <v>36.19</v>
      </c>
      <c r="J131" s="174">
        <f>913.916/2*1.1</f>
        <v>502.6538</v>
      </c>
      <c r="K131" s="172">
        <v>1.33</v>
      </c>
      <c r="L131" s="175">
        <v>1.22</v>
      </c>
      <c r="M131" s="172">
        <v>1.25</v>
      </c>
      <c r="N131" s="175">
        <v>1.3</v>
      </c>
      <c r="O131" s="175"/>
      <c r="P131" s="176">
        <f t="shared" si="43"/>
        <v>1325.359841</v>
      </c>
      <c r="Q131" s="177">
        <v>4411317.920802847</v>
      </c>
      <c r="R131" s="177">
        <v>125016.09479121596</v>
      </c>
      <c r="S131" s="177">
        <f t="shared" si="45"/>
        <v>87473.74949</v>
      </c>
      <c r="T131" s="177">
        <f t="shared" si="3"/>
        <v>2417.069618</v>
      </c>
      <c r="U131" s="178">
        <f t="shared" si="38"/>
        <v>1.017202888</v>
      </c>
      <c r="V131" s="179">
        <f t="shared" si="39"/>
        <v>0.991793896</v>
      </c>
    </row>
    <row r="132" ht="37.5" customHeight="1">
      <c r="A132" s="117" t="s">
        <v>2469</v>
      </c>
      <c r="B132" s="117" t="s">
        <v>1771</v>
      </c>
      <c r="C132" s="117" t="s">
        <v>1779</v>
      </c>
      <c r="D132" s="188"/>
      <c r="E132" s="111">
        <v>63.0</v>
      </c>
      <c r="F132" s="50"/>
      <c r="G132" s="157" t="s">
        <v>1894</v>
      </c>
      <c r="H132" s="158">
        <v>3.0</v>
      </c>
      <c r="I132" s="159">
        <f>H132*3*E132</f>
        <v>567</v>
      </c>
      <c r="J132" s="168">
        <v>3172.923</v>
      </c>
      <c r="K132" s="118"/>
      <c r="L132" s="158">
        <v>1.22</v>
      </c>
      <c r="M132" s="158">
        <v>1.25</v>
      </c>
      <c r="N132" s="118">
        <v>1.3</v>
      </c>
      <c r="O132" s="158">
        <v>1.15</v>
      </c>
      <c r="P132" s="161">
        <f t="shared" si="43"/>
        <v>7233.867825</v>
      </c>
      <c r="Q132" s="162"/>
      <c r="R132" s="162"/>
      <c r="S132" s="162">
        <f>IFERROR(P132*E132*3,"INF")</f>
        <v>1367201.019</v>
      </c>
      <c r="T132" s="162">
        <f t="shared" si="3"/>
        <v>2411.289275</v>
      </c>
      <c r="U132" s="178"/>
      <c r="V132" s="179"/>
    </row>
    <row r="133" ht="37.5" customHeight="1">
      <c r="A133" s="50" t="s">
        <v>2470</v>
      </c>
      <c r="B133" s="117" t="s">
        <v>1751</v>
      </c>
      <c r="C133" s="117" t="s">
        <v>1805</v>
      </c>
      <c r="D133" s="167"/>
      <c r="E133" s="111">
        <v>18.0</v>
      </c>
      <c r="F133" s="50"/>
      <c r="G133" s="165" t="s">
        <v>1753</v>
      </c>
      <c r="H133" s="158">
        <v>2.167</v>
      </c>
      <c r="I133" s="159">
        <f>H133*(E133-1)</f>
        <v>36.839</v>
      </c>
      <c r="J133" s="160">
        <v>2031.837</v>
      </c>
      <c r="K133" s="118"/>
      <c r="L133" s="118">
        <v>1.22</v>
      </c>
      <c r="M133" s="158">
        <v>1.25</v>
      </c>
      <c r="N133" s="118">
        <v>1.3</v>
      </c>
      <c r="O133" s="158">
        <v>1.1</v>
      </c>
      <c r="P133" s="161">
        <f t="shared" si="43"/>
        <v>4430.928538</v>
      </c>
      <c r="Q133" s="162">
        <v>4339646.9025</v>
      </c>
      <c r="R133" s="162">
        <v>111255.88121058299</v>
      </c>
      <c r="S133" s="162">
        <f>IFERROR(P133*(E133+2),"INF")</f>
        <v>88618.57076</v>
      </c>
      <c r="T133" s="162">
        <f t="shared" si="3"/>
        <v>2405.563961</v>
      </c>
      <c r="U133" s="164">
        <f t="shared" ref="U133:U136" si="46">IFERROR(IF(ISBLANK(Q133),"N/A",(S133/Q133)*(104237/2032)),"N/A")</f>
        <v>1.047535011</v>
      </c>
      <c r="V133" s="163">
        <f t="shared" ref="V133:V136" si="47">IF(ISBLANK(R133),"N/A",(T133/R133)*(104237/2032))</f>
        <v>1.109154718</v>
      </c>
    </row>
    <row r="134" ht="37.5" customHeight="1">
      <c r="A134" s="50" t="s">
        <v>312</v>
      </c>
      <c r="B134" s="117" t="s">
        <v>1751</v>
      </c>
      <c r="C134" s="117" t="s">
        <v>1761</v>
      </c>
      <c r="D134" s="167"/>
      <c r="E134" s="111">
        <v>11.0</v>
      </c>
      <c r="F134" s="117" t="s">
        <v>1845</v>
      </c>
      <c r="G134" s="165" t="s">
        <v>1982</v>
      </c>
      <c r="H134" s="118">
        <v>1.267</v>
      </c>
      <c r="I134" s="159">
        <f>H134*(E134-6)+2.183*5</f>
        <v>17.25</v>
      </c>
      <c r="J134" s="160">
        <v>1715.846</v>
      </c>
      <c r="K134" s="118"/>
      <c r="L134" s="118">
        <v>1.22</v>
      </c>
      <c r="M134" s="158">
        <v>1.25</v>
      </c>
      <c r="N134" s="118">
        <v>1.3</v>
      </c>
      <c r="O134" s="158">
        <v>1.1</v>
      </c>
      <c r="P134" s="161">
        <f t="shared" si="43"/>
        <v>3741.831165</v>
      </c>
      <c r="Q134" s="162">
        <v>2258763.1861319393</v>
      </c>
      <c r="R134" s="162">
        <v>148563.74547039854</v>
      </c>
      <c r="S134" s="162">
        <f t="shared" ref="S134:S149" si="48">IFERROR(P134*E134,"INF")</f>
        <v>41160.14281</v>
      </c>
      <c r="T134" s="162">
        <f t="shared" si="3"/>
        <v>2386.095235</v>
      </c>
      <c r="U134" s="164">
        <f t="shared" si="46"/>
        <v>0.9347691523</v>
      </c>
      <c r="V134" s="163">
        <f t="shared" si="47"/>
        <v>0.8238974024</v>
      </c>
    </row>
    <row r="135" ht="37.5" customHeight="1">
      <c r="A135" s="169" t="s">
        <v>2471</v>
      </c>
      <c r="B135" s="170" t="s">
        <v>1771</v>
      </c>
      <c r="C135" s="170" t="s">
        <v>1793</v>
      </c>
      <c r="D135" s="182"/>
      <c r="E135" s="130">
        <v>23.0</v>
      </c>
      <c r="F135" s="169" t="s">
        <v>2031</v>
      </c>
      <c r="G135" s="183" t="s">
        <v>2032</v>
      </c>
      <c r="H135" s="175">
        <v>1.35</v>
      </c>
      <c r="I135" s="173">
        <f>0.9+H135*(E135-2)+2.11</f>
        <v>31.36</v>
      </c>
      <c r="J135" s="174">
        <f>1021.759*1.15</f>
        <v>1175.02285</v>
      </c>
      <c r="K135" s="175">
        <v>1.2</v>
      </c>
      <c r="L135" s="175">
        <v>1.22</v>
      </c>
      <c r="M135" s="172">
        <v>1.25</v>
      </c>
      <c r="N135" s="175">
        <v>1.3</v>
      </c>
      <c r="O135" s="172">
        <v>1.15</v>
      </c>
      <c r="P135" s="176">
        <f t="shared" si="43"/>
        <v>3214.686264</v>
      </c>
      <c r="Q135" s="177">
        <v>2908386.0400924347</v>
      </c>
      <c r="R135" s="177">
        <v>86090.22407993472</v>
      </c>
      <c r="S135" s="177">
        <f t="shared" si="48"/>
        <v>73937.78408</v>
      </c>
      <c r="T135" s="177">
        <f t="shared" si="3"/>
        <v>2357.709951</v>
      </c>
      <c r="U135" s="178">
        <f t="shared" si="46"/>
        <v>1.304105058</v>
      </c>
      <c r="V135" s="179">
        <f t="shared" si="47"/>
        <v>1.404865471</v>
      </c>
    </row>
    <row r="136" ht="37.5" customHeight="1">
      <c r="A136" s="50" t="s">
        <v>2472</v>
      </c>
      <c r="B136" s="117" t="s">
        <v>1771</v>
      </c>
      <c r="C136" s="117" t="s">
        <v>1793</v>
      </c>
      <c r="D136" s="156"/>
      <c r="E136" s="111">
        <v>21.0</v>
      </c>
      <c r="F136" s="50" t="s">
        <v>2001</v>
      </c>
      <c r="G136" s="165" t="s">
        <v>1823</v>
      </c>
      <c r="H136" s="118">
        <v>1.433</v>
      </c>
      <c r="I136" s="159">
        <f>0.683+H136*(E136-6)+5*3.483</f>
        <v>39.593</v>
      </c>
      <c r="J136" s="160">
        <v>1304.656</v>
      </c>
      <c r="K136" s="118">
        <v>1.45</v>
      </c>
      <c r="L136" s="118">
        <v>1.22</v>
      </c>
      <c r="M136" s="158">
        <v>1.25</v>
      </c>
      <c r="N136" s="118">
        <v>1.3</v>
      </c>
      <c r="O136" s="158">
        <v>1.15</v>
      </c>
      <c r="P136" s="161">
        <f t="shared" si="43"/>
        <v>4312.956267</v>
      </c>
      <c r="Q136" s="162">
        <v>4326778.733587138</v>
      </c>
      <c r="R136" s="162">
        <v>119716.08470995346</v>
      </c>
      <c r="S136" s="162">
        <f t="shared" si="48"/>
        <v>90572.08161</v>
      </c>
      <c r="T136" s="162">
        <f t="shared" si="3"/>
        <v>2287.578148</v>
      </c>
      <c r="U136" s="164">
        <f t="shared" si="46"/>
        <v>1.073811035</v>
      </c>
      <c r="V136" s="163">
        <f t="shared" si="47"/>
        <v>0.9802156552</v>
      </c>
    </row>
    <row r="137" ht="37.5" customHeight="1">
      <c r="A137" s="169" t="s">
        <v>2473</v>
      </c>
      <c r="B137" s="170" t="s">
        <v>1771</v>
      </c>
      <c r="C137" s="170" t="s">
        <v>1793</v>
      </c>
      <c r="D137" s="210"/>
      <c r="E137" s="130">
        <v>22.0</v>
      </c>
      <c r="F137" s="169" t="s">
        <v>2013</v>
      </c>
      <c r="G137" s="183" t="s">
        <v>2474</v>
      </c>
      <c r="H137" s="172">
        <v>0.9</v>
      </c>
      <c r="I137" s="173">
        <f>0.467+H137*(E137-3)+1.733*2</f>
        <v>21.033</v>
      </c>
      <c r="J137" s="184">
        <f>708.702*1.07</f>
        <v>758.31114</v>
      </c>
      <c r="K137" s="175">
        <f>(1.2*21+1)/22*(1.06*19+1*3)/22</f>
        <v>1.252619835</v>
      </c>
      <c r="L137" s="175">
        <v>1.22</v>
      </c>
      <c r="M137" s="172">
        <v>1.25</v>
      </c>
      <c r="N137" s="175">
        <v>1.3</v>
      </c>
      <c r="O137" s="172">
        <v>1.15</v>
      </c>
      <c r="P137" s="176">
        <f t="shared" si="43"/>
        <v>2165.597576</v>
      </c>
      <c r="Q137" s="177">
        <v>2309907.702137079</v>
      </c>
      <c r="R137" s="177">
        <v>98035.2984524692</v>
      </c>
      <c r="S137" s="177">
        <f t="shared" si="48"/>
        <v>47643.14668</v>
      </c>
      <c r="T137" s="177">
        <f t="shared" si="3"/>
        <v>2265.16173</v>
      </c>
      <c r="U137" s="178"/>
      <c r="V137" s="179"/>
    </row>
    <row r="138" ht="37.5" customHeight="1">
      <c r="A138" s="169" t="s">
        <v>2475</v>
      </c>
      <c r="B138" s="170" t="s">
        <v>1771</v>
      </c>
      <c r="C138" s="170" t="s">
        <v>1793</v>
      </c>
      <c r="D138" s="182"/>
      <c r="E138" s="130">
        <v>22.0</v>
      </c>
      <c r="F138" s="169" t="s">
        <v>2028</v>
      </c>
      <c r="G138" s="171" t="s">
        <v>2029</v>
      </c>
      <c r="H138" s="175">
        <v>1.049</v>
      </c>
      <c r="I138" s="173">
        <f>0.6+H138*(E138-1)</f>
        <v>22.629</v>
      </c>
      <c r="J138" s="174">
        <f>779.029*1.1</f>
        <v>856.9319</v>
      </c>
      <c r="K138" s="175">
        <f>(1.2*21+1)/22</f>
        <v>1.190909091</v>
      </c>
      <c r="L138" s="175">
        <v>1.22</v>
      </c>
      <c r="M138" s="172">
        <v>1.25</v>
      </c>
      <c r="N138" s="175">
        <v>1.3</v>
      </c>
      <c r="O138" s="172">
        <v>1.15</v>
      </c>
      <c r="P138" s="176">
        <f t="shared" si="43"/>
        <v>2326.676251</v>
      </c>
      <c r="Q138" s="177">
        <v>2259563.9702999997</v>
      </c>
      <c r="R138" s="177">
        <v>87549.45834011391</v>
      </c>
      <c r="S138" s="177">
        <f t="shared" si="48"/>
        <v>51186.87753</v>
      </c>
      <c r="T138" s="177">
        <f t="shared" si="3"/>
        <v>2262.003514</v>
      </c>
      <c r="U138" s="178">
        <f t="shared" ref="U138:U161" si="49">IFERROR(IF(ISBLANK(Q138),"N/A",(S138/Q138)*(104237/2032)),"N/A")</f>
        <v>1.162069751</v>
      </c>
      <c r="V138" s="179">
        <f t="shared" ref="V138:V161" si="50">IF(ISBLANK(R138),"N/A",(T138/R138)*(104237/2032))</f>
        <v>1.325372673</v>
      </c>
    </row>
    <row r="139" ht="37.5" customHeight="1">
      <c r="A139" s="169" t="s">
        <v>2476</v>
      </c>
      <c r="B139" s="170" t="s">
        <v>1771</v>
      </c>
      <c r="C139" s="170" t="s">
        <v>1793</v>
      </c>
      <c r="D139" s="210"/>
      <c r="E139" s="130">
        <v>23.0</v>
      </c>
      <c r="F139" s="169" t="s">
        <v>2050</v>
      </c>
      <c r="G139" s="171" t="s">
        <v>2051</v>
      </c>
      <c r="H139" s="175">
        <f>1.25*0.9</f>
        <v>1.125</v>
      </c>
      <c r="I139" s="173">
        <f>0.7+H139*(E139-3)+2*2.092</f>
        <v>27.384</v>
      </c>
      <c r="J139" s="174">
        <f>807.796*1.2</f>
        <v>969.3552</v>
      </c>
      <c r="K139" s="175">
        <v>1.2</v>
      </c>
      <c r="L139" s="175">
        <v>1.22</v>
      </c>
      <c r="M139" s="172">
        <v>1.25</v>
      </c>
      <c r="N139" s="175">
        <v>1.3</v>
      </c>
      <c r="O139" s="172">
        <v>1.15</v>
      </c>
      <c r="P139" s="176">
        <f t="shared" si="43"/>
        <v>2652.010424</v>
      </c>
      <c r="Q139" s="177">
        <v>2548088.3171249996</v>
      </c>
      <c r="R139" s="177">
        <v>78988.44716590717</v>
      </c>
      <c r="S139" s="177">
        <f t="shared" si="48"/>
        <v>60996.23975</v>
      </c>
      <c r="T139" s="177">
        <f t="shared" si="3"/>
        <v>2227.440832</v>
      </c>
      <c r="U139" s="178">
        <f t="shared" si="49"/>
        <v>1.227967255</v>
      </c>
      <c r="V139" s="179">
        <f t="shared" si="50"/>
        <v>1.446574485</v>
      </c>
    </row>
    <row r="140" ht="37.5" customHeight="1">
      <c r="A140" s="169" t="s">
        <v>2477</v>
      </c>
      <c r="B140" s="169" t="s">
        <v>1859</v>
      </c>
      <c r="C140" s="169" t="s">
        <v>1834</v>
      </c>
      <c r="D140" s="182"/>
      <c r="E140" s="204" t="s">
        <v>1757</v>
      </c>
      <c r="F140" s="169"/>
      <c r="G140" s="183" t="s">
        <v>582</v>
      </c>
      <c r="H140" s="172">
        <v>15.517</v>
      </c>
      <c r="I140" s="173" t="s">
        <v>582</v>
      </c>
      <c r="J140" s="184">
        <f>655.15*26</f>
        <v>17033.9</v>
      </c>
      <c r="K140" s="175">
        <f>4/4.5</f>
        <v>0.8888888889</v>
      </c>
      <c r="L140" s="175">
        <v>1.22</v>
      </c>
      <c r="M140" s="172">
        <v>1.25</v>
      </c>
      <c r="N140" s="175">
        <v>1.3</v>
      </c>
      <c r="O140" s="172">
        <v>1.15</v>
      </c>
      <c r="P140" s="176">
        <f t="shared" si="43"/>
        <v>34520.14468</v>
      </c>
      <c r="Q140" s="177" t="s">
        <v>1757</v>
      </c>
      <c r="R140" s="177">
        <v>97689.90615292043</v>
      </c>
      <c r="S140" s="177" t="str">
        <f t="shared" si="48"/>
        <v>INF</v>
      </c>
      <c r="T140" s="177">
        <f t="shared" si="3"/>
        <v>2224.666152</v>
      </c>
      <c r="U140" s="178" t="str">
        <f t="shared" si="49"/>
        <v>N/A</v>
      </c>
      <c r="V140" s="179">
        <f t="shared" si="50"/>
        <v>1.168189652</v>
      </c>
    </row>
    <row r="141" ht="37.5" customHeight="1">
      <c r="A141" s="50" t="s">
        <v>2478</v>
      </c>
      <c r="B141" s="117" t="s">
        <v>1859</v>
      </c>
      <c r="C141" s="117" t="s">
        <v>1103</v>
      </c>
      <c r="D141" s="167"/>
      <c r="E141" s="49" t="s">
        <v>1757</v>
      </c>
      <c r="F141" s="50"/>
      <c r="G141" s="165" t="s">
        <v>2003</v>
      </c>
      <c r="H141" s="118">
        <v>4.083</v>
      </c>
      <c r="I141" s="159" t="s">
        <v>582</v>
      </c>
      <c r="J141" s="168">
        <f>113.573*35</f>
        <v>3975.055</v>
      </c>
      <c r="K141" s="118"/>
      <c r="L141" s="118">
        <v>1.22</v>
      </c>
      <c r="M141" s="158">
        <v>1.25</v>
      </c>
      <c r="N141" s="118">
        <v>1.3</v>
      </c>
      <c r="O141" s="158">
        <v>1.15</v>
      </c>
      <c r="P141" s="161">
        <f t="shared" si="43"/>
        <v>9062.628518</v>
      </c>
      <c r="Q141" s="162" t="s">
        <v>1757</v>
      </c>
      <c r="R141" s="162">
        <v>86933.07656135195</v>
      </c>
      <c r="S141" s="162" t="str">
        <f t="shared" si="48"/>
        <v>INF</v>
      </c>
      <c r="T141" s="162">
        <f t="shared" si="3"/>
        <v>2219.600421</v>
      </c>
      <c r="U141" s="164" t="str">
        <f t="shared" si="49"/>
        <v>N/A</v>
      </c>
      <c r="V141" s="163">
        <f t="shared" si="50"/>
        <v>1.309748618</v>
      </c>
    </row>
    <row r="142" ht="37.5" customHeight="1">
      <c r="A142" s="50" t="s">
        <v>2479</v>
      </c>
      <c r="B142" s="50" t="s">
        <v>1859</v>
      </c>
      <c r="C142" s="50" t="s">
        <v>2010</v>
      </c>
      <c r="D142" s="156"/>
      <c r="E142" s="49" t="s">
        <v>1757</v>
      </c>
      <c r="F142" s="117" t="s">
        <v>2011</v>
      </c>
      <c r="G142" s="165" t="s">
        <v>582</v>
      </c>
      <c r="H142" s="118">
        <v>3.55</v>
      </c>
      <c r="I142" s="159" t="s">
        <v>582</v>
      </c>
      <c r="J142" s="160">
        <f>219.531*15</f>
        <v>3292.965</v>
      </c>
      <c r="K142" s="118"/>
      <c r="L142" s="118">
        <v>1.22</v>
      </c>
      <c r="M142" s="158">
        <v>1.25</v>
      </c>
      <c r="N142" s="118">
        <v>1.3</v>
      </c>
      <c r="O142" s="158">
        <v>1.15</v>
      </c>
      <c r="P142" s="161">
        <f t="shared" si="43"/>
        <v>7507.548579</v>
      </c>
      <c r="Q142" s="162" t="s">
        <v>1757</v>
      </c>
      <c r="R142" s="162">
        <v>95698.81081047971</v>
      </c>
      <c r="S142" s="162" t="str">
        <f t="shared" si="48"/>
        <v>INF</v>
      </c>
      <c r="T142" s="162">
        <f t="shared" si="3"/>
        <v>2114.802417</v>
      </c>
      <c r="U142" s="164" t="str">
        <f t="shared" si="49"/>
        <v>N/A</v>
      </c>
      <c r="V142" s="163">
        <f t="shared" si="50"/>
        <v>1.133604228</v>
      </c>
    </row>
    <row r="143" ht="37.5" customHeight="1">
      <c r="A143" s="50" t="s">
        <v>2480</v>
      </c>
      <c r="B143" s="117" t="s">
        <v>1771</v>
      </c>
      <c r="C143" s="117" t="s">
        <v>1793</v>
      </c>
      <c r="D143" s="167"/>
      <c r="E143" s="111">
        <v>22.0</v>
      </c>
      <c r="F143" s="50" t="s">
        <v>2016</v>
      </c>
      <c r="G143" s="165" t="s">
        <v>2017</v>
      </c>
      <c r="H143" s="118">
        <v>3.133</v>
      </c>
      <c r="I143" s="159">
        <f>0.666+H143*(E143-4)+4.567*3</f>
        <v>70.761</v>
      </c>
      <c r="J143" s="160">
        <f>3127.583/1.05</f>
        <v>2978.650476</v>
      </c>
      <c r="K143" s="166"/>
      <c r="L143" s="118">
        <v>1.22</v>
      </c>
      <c r="M143" s="158">
        <v>1.25</v>
      </c>
      <c r="N143" s="118">
        <v>1.3</v>
      </c>
      <c r="O143" s="158">
        <v>1.15</v>
      </c>
      <c r="P143" s="161">
        <f t="shared" si="43"/>
        <v>6790.950754</v>
      </c>
      <c r="Q143" s="162">
        <v>7608558.639149085</v>
      </c>
      <c r="R143" s="162">
        <v>92947.12419097575</v>
      </c>
      <c r="S143" s="162">
        <f t="shared" si="48"/>
        <v>149400.9166</v>
      </c>
      <c r="T143" s="162">
        <f t="shared" si="3"/>
        <v>2111.345467</v>
      </c>
      <c r="U143" s="164">
        <f t="shared" si="49"/>
        <v>1.007277354</v>
      </c>
      <c r="V143" s="163">
        <f t="shared" si="50"/>
        <v>1.165256524</v>
      </c>
    </row>
    <row r="144" ht="37.5" customHeight="1">
      <c r="A144" s="50" t="s">
        <v>2481</v>
      </c>
      <c r="B144" s="117" t="s">
        <v>1771</v>
      </c>
      <c r="C144" s="117" t="s">
        <v>1777</v>
      </c>
      <c r="D144" s="156"/>
      <c r="E144" s="111">
        <v>107.0</v>
      </c>
      <c r="F144" s="117" t="s">
        <v>1828</v>
      </c>
      <c r="G144" s="157" t="s">
        <v>2019</v>
      </c>
      <c r="H144" s="118">
        <v>0.833</v>
      </c>
      <c r="I144" s="159">
        <f>H144*(E144-6)+1.817*5</f>
        <v>93.218</v>
      </c>
      <c r="J144" s="160">
        <v>691.27</v>
      </c>
      <c r="K144" s="158">
        <f>1.159</f>
        <v>1.159</v>
      </c>
      <c r="L144" s="118">
        <v>1.22</v>
      </c>
      <c r="M144" s="158">
        <v>1.25</v>
      </c>
      <c r="N144" s="118">
        <v>1.3</v>
      </c>
      <c r="O144" s="158">
        <v>1.15</v>
      </c>
      <c r="P144" s="161">
        <f t="shared" si="43"/>
        <v>1826.594653</v>
      </c>
      <c r="Q144" s="162">
        <v>1.0616299917184724E7</v>
      </c>
      <c r="R144" s="162">
        <v>84964.3850915144</v>
      </c>
      <c r="S144" s="162">
        <f t="shared" si="48"/>
        <v>195445.6278</v>
      </c>
      <c r="T144" s="162">
        <f t="shared" si="3"/>
        <v>2096.65116</v>
      </c>
      <c r="U144" s="164">
        <f t="shared" si="49"/>
        <v>0.9443891318</v>
      </c>
      <c r="V144" s="163">
        <f t="shared" si="50"/>
        <v>1.265865198</v>
      </c>
    </row>
    <row r="145" ht="37.5" customHeight="1">
      <c r="A145" s="117" t="s">
        <v>2482</v>
      </c>
      <c r="B145" s="117" t="s">
        <v>1771</v>
      </c>
      <c r="C145" s="117" t="s">
        <v>1793</v>
      </c>
      <c r="D145" s="156"/>
      <c r="E145" s="111">
        <v>19.0</v>
      </c>
      <c r="F145" s="117" t="s">
        <v>2021</v>
      </c>
      <c r="G145" s="157" t="s">
        <v>2022</v>
      </c>
      <c r="H145" s="158">
        <v>1.08333</v>
      </c>
      <c r="I145" s="159">
        <f>H145*(E145-1)+0.6+1.757</f>
        <v>21.85694</v>
      </c>
      <c r="J145" s="168">
        <v>831.194</v>
      </c>
      <c r="K145" s="158">
        <f>(17*1.3+2*1)/19</f>
        <v>1.268421053</v>
      </c>
      <c r="L145" s="118">
        <v>1.22</v>
      </c>
      <c r="M145" s="158">
        <v>1.25</v>
      </c>
      <c r="N145" s="118">
        <v>1.3</v>
      </c>
      <c r="O145" s="158">
        <v>1.15</v>
      </c>
      <c r="P145" s="161">
        <f t="shared" si="43"/>
        <v>2403.68126</v>
      </c>
      <c r="Q145" s="162">
        <v>2941791.1087499997</v>
      </c>
      <c r="R145" s="162">
        <v>100629.0999777656</v>
      </c>
      <c r="S145" s="162">
        <f t="shared" si="48"/>
        <v>45669.94394</v>
      </c>
      <c r="T145" s="162">
        <f t="shared" si="3"/>
        <v>2089.493952</v>
      </c>
      <c r="U145" s="164">
        <f t="shared" si="49"/>
        <v>0.796373587</v>
      </c>
      <c r="V145" s="163">
        <f t="shared" si="50"/>
        <v>1.065162161</v>
      </c>
    </row>
    <row r="146" ht="37.5" customHeight="1">
      <c r="A146" s="117" t="s">
        <v>472</v>
      </c>
      <c r="B146" s="117" t="s">
        <v>1771</v>
      </c>
      <c r="C146" s="117" t="s">
        <v>1777</v>
      </c>
      <c r="D146" s="167"/>
      <c r="E146" s="111">
        <v>10.0</v>
      </c>
      <c r="F146" s="50"/>
      <c r="G146" s="157" t="s">
        <v>2023</v>
      </c>
      <c r="H146" s="158">
        <v>1.233</v>
      </c>
      <c r="I146" s="159">
        <f>H146*9</f>
        <v>11.097</v>
      </c>
      <c r="J146" s="168">
        <v>1016.191</v>
      </c>
      <c r="K146" s="118"/>
      <c r="L146" s="118">
        <v>1.22</v>
      </c>
      <c r="M146" s="158">
        <v>1.25</v>
      </c>
      <c r="N146" s="118">
        <v>1.3</v>
      </c>
      <c r="O146" s="158">
        <v>1.15</v>
      </c>
      <c r="P146" s="161">
        <f t="shared" si="43"/>
        <v>2316.788456</v>
      </c>
      <c r="Q146" s="162">
        <v>1033510.0992736325</v>
      </c>
      <c r="R146" s="162">
        <v>93134.1893551079</v>
      </c>
      <c r="S146" s="162">
        <f t="shared" si="48"/>
        <v>23167.88456</v>
      </c>
      <c r="T146" s="162">
        <f t="shared" si="3"/>
        <v>2087.761067</v>
      </c>
      <c r="U146" s="164">
        <f t="shared" si="49"/>
        <v>1.1499259</v>
      </c>
      <c r="V146" s="163">
        <f t="shared" si="50"/>
        <v>1.1499259</v>
      </c>
    </row>
    <row r="147" ht="37.5" customHeight="1">
      <c r="A147" s="50" t="s">
        <v>2483</v>
      </c>
      <c r="B147" s="117" t="s">
        <v>1751</v>
      </c>
      <c r="C147" s="117" t="s">
        <v>1898</v>
      </c>
      <c r="D147" s="167"/>
      <c r="E147" s="111">
        <v>1162.0</v>
      </c>
      <c r="F147" s="117" t="s">
        <v>2025</v>
      </c>
      <c r="G147" s="157" t="s">
        <v>2026</v>
      </c>
      <c r="H147" s="118">
        <v>0.067</v>
      </c>
      <c r="I147" s="159">
        <f>H147*(E147-7)+2.25*6</f>
        <v>90.885</v>
      </c>
      <c r="J147" s="160">
        <v>54.536</v>
      </c>
      <c r="K147" s="158">
        <v>1.3662</v>
      </c>
      <c r="L147" s="118">
        <v>1.22</v>
      </c>
      <c r="M147" s="158">
        <v>1.25</v>
      </c>
      <c r="N147" s="118">
        <v>1.3</v>
      </c>
      <c r="O147" s="158">
        <v>1.1</v>
      </c>
      <c r="P147" s="161">
        <f t="shared" si="43"/>
        <v>162.4813217</v>
      </c>
      <c r="Q147" s="162">
        <v>1.0836537748446826E7</v>
      </c>
      <c r="R147" s="162">
        <v>116779.32807206019</v>
      </c>
      <c r="S147" s="162">
        <f t="shared" si="48"/>
        <v>188803.2958</v>
      </c>
      <c r="T147" s="162">
        <f t="shared" si="3"/>
        <v>2077.386761</v>
      </c>
      <c r="U147" s="164">
        <f t="shared" si="49"/>
        <v>0.8937524042</v>
      </c>
      <c r="V147" s="163">
        <f t="shared" si="50"/>
        <v>0.9125351196</v>
      </c>
    </row>
    <row r="148" ht="37.5" customHeight="1">
      <c r="A148" s="50" t="s">
        <v>2484</v>
      </c>
      <c r="B148" s="117" t="s">
        <v>1751</v>
      </c>
      <c r="C148" s="117" t="s">
        <v>1805</v>
      </c>
      <c r="D148" s="167"/>
      <c r="E148" s="111">
        <v>25.0</v>
      </c>
      <c r="F148" s="117" t="s">
        <v>2034</v>
      </c>
      <c r="G148" s="157" t="s">
        <v>1925</v>
      </c>
      <c r="H148" s="118">
        <v>0.617</v>
      </c>
      <c r="I148" s="159">
        <f>H148*(E148-4)+2.117*3</f>
        <v>19.308</v>
      </c>
      <c r="J148" s="160">
        <v>720.681</v>
      </c>
      <c r="K148" s="118"/>
      <c r="L148" s="118">
        <v>1.22</v>
      </c>
      <c r="M148" s="158">
        <v>1.25</v>
      </c>
      <c r="N148" s="118">
        <v>1.3</v>
      </c>
      <c r="O148" s="158">
        <v>1.1</v>
      </c>
      <c r="P148" s="161">
        <f t="shared" si="43"/>
        <v>1571.625091</v>
      </c>
      <c r="Q148" s="162">
        <v>2198850.225</v>
      </c>
      <c r="R148" s="162">
        <v>119561.21064651187</v>
      </c>
      <c r="S148" s="162">
        <f t="shared" si="48"/>
        <v>39290.62727</v>
      </c>
      <c r="T148" s="162">
        <f t="shared" si="3"/>
        <v>2034.940298</v>
      </c>
      <c r="U148" s="164">
        <f t="shared" si="49"/>
        <v>0.9166246117</v>
      </c>
      <c r="V148" s="163">
        <f t="shared" si="50"/>
        <v>0.8730911142</v>
      </c>
    </row>
    <row r="149" ht="37.5" customHeight="1">
      <c r="A149" s="50" t="s">
        <v>2485</v>
      </c>
      <c r="B149" s="117" t="s">
        <v>1751</v>
      </c>
      <c r="C149" s="117" t="s">
        <v>1898</v>
      </c>
      <c r="D149" s="167"/>
      <c r="E149" s="111">
        <v>455.0</v>
      </c>
      <c r="F149" s="117" t="s">
        <v>2036</v>
      </c>
      <c r="G149" s="157" t="s">
        <v>2037</v>
      </c>
      <c r="H149" s="118">
        <v>0.1</v>
      </c>
      <c r="I149" s="159">
        <f>H149*(E149-3)+2.817*2</f>
        <v>50.834</v>
      </c>
      <c r="J149" s="160">
        <v>76.988</v>
      </c>
      <c r="K149" s="158">
        <f>(1.3948*273+1.2848*91*2)/455</f>
        <v>1.3508</v>
      </c>
      <c r="L149" s="118">
        <v>1.22</v>
      </c>
      <c r="M149" s="158">
        <v>1.25</v>
      </c>
      <c r="N149" s="118">
        <v>1.3</v>
      </c>
      <c r="O149" s="158">
        <v>1.1</v>
      </c>
      <c r="P149" s="161">
        <f t="shared" si="43"/>
        <v>226.7879476</v>
      </c>
      <c r="Q149" s="162">
        <v>6553259.251199085</v>
      </c>
      <c r="R149" s="162">
        <v>111260.76827163131</v>
      </c>
      <c r="S149" s="162">
        <f t="shared" si="48"/>
        <v>103188.5162</v>
      </c>
      <c r="T149" s="162">
        <f t="shared" si="3"/>
        <v>2029.911401</v>
      </c>
      <c r="U149" s="164">
        <f t="shared" si="49"/>
        <v>0.8077411682</v>
      </c>
      <c r="V149" s="163">
        <f t="shared" si="50"/>
        <v>0.9359081482</v>
      </c>
    </row>
    <row r="150" ht="37.5" customHeight="1">
      <c r="A150" s="169" t="s">
        <v>2486</v>
      </c>
      <c r="B150" s="170" t="s">
        <v>1751</v>
      </c>
      <c r="C150" s="170" t="s">
        <v>1779</v>
      </c>
      <c r="D150" s="210"/>
      <c r="E150" s="130">
        <v>68.0</v>
      </c>
      <c r="F150" s="169" t="s">
        <v>1810</v>
      </c>
      <c r="G150" s="183" t="s">
        <v>1811</v>
      </c>
      <c r="H150" s="175">
        <v>2.75</v>
      </c>
      <c r="I150" s="173">
        <f>H150*13+0.716</f>
        <v>36.466</v>
      </c>
      <c r="J150" s="184">
        <v>1877.93</v>
      </c>
      <c r="K150" s="172">
        <v>1.3</v>
      </c>
      <c r="L150" s="175">
        <v>1.22</v>
      </c>
      <c r="M150" s="172">
        <v>1.25</v>
      </c>
      <c r="N150" s="175">
        <v>1.3</v>
      </c>
      <c r="O150" s="172">
        <v>1.1</v>
      </c>
      <c r="P150" s="176">
        <f t="shared" si="43"/>
        <v>5323.884602</v>
      </c>
      <c r="Q150" s="177">
        <v>4260723.442450029</v>
      </c>
      <c r="R150" s="177">
        <v>140850.36173388525</v>
      </c>
      <c r="S150" s="177">
        <f>IFERROR(P150*13.645,"INF")</f>
        <v>72644.40539</v>
      </c>
      <c r="T150" s="177">
        <f t="shared" si="3"/>
        <v>1992.113349</v>
      </c>
      <c r="U150" s="178">
        <f t="shared" si="49"/>
        <v>0.8746152141</v>
      </c>
      <c r="V150" s="179">
        <f t="shared" si="50"/>
        <v>0.7255281694</v>
      </c>
    </row>
    <row r="151" ht="37.5" customHeight="1">
      <c r="A151" s="50" t="s">
        <v>2487</v>
      </c>
      <c r="B151" s="117" t="s">
        <v>1859</v>
      </c>
      <c r="C151" s="117" t="s">
        <v>1103</v>
      </c>
      <c r="D151" s="167"/>
      <c r="E151" s="49" t="s">
        <v>1757</v>
      </c>
      <c r="F151" s="50"/>
      <c r="G151" s="157" t="s">
        <v>2003</v>
      </c>
      <c r="H151" s="118">
        <v>3.233</v>
      </c>
      <c r="I151" s="159" t="s">
        <v>582</v>
      </c>
      <c r="J151" s="168">
        <f>80.081*35</f>
        <v>2802.835</v>
      </c>
      <c r="K151" s="118"/>
      <c r="L151" s="118">
        <v>1.22</v>
      </c>
      <c r="M151" s="158">
        <v>1.25</v>
      </c>
      <c r="N151" s="118">
        <v>1.3</v>
      </c>
      <c r="O151" s="158">
        <v>1.15</v>
      </c>
      <c r="P151" s="161">
        <f t="shared" si="43"/>
        <v>6390.113446</v>
      </c>
      <c r="Q151" s="162"/>
      <c r="R151" s="162"/>
      <c r="S151" s="162" t="str">
        <f t="shared" ref="S151:S157" si="51">IFERROR(P151*E151,"INF")</f>
        <v>INF</v>
      </c>
      <c r="T151" s="162">
        <f t="shared" si="3"/>
        <v>1976.527512</v>
      </c>
      <c r="U151" s="164" t="str">
        <f t="shared" si="49"/>
        <v>N/A</v>
      </c>
      <c r="V151" s="163" t="str">
        <f t="shared" si="50"/>
        <v>N/A</v>
      </c>
    </row>
    <row r="152" ht="37.5" customHeight="1">
      <c r="A152" s="50" t="s">
        <v>2488</v>
      </c>
      <c r="B152" s="117" t="s">
        <v>1751</v>
      </c>
      <c r="C152" s="117" t="s">
        <v>1761</v>
      </c>
      <c r="D152" s="156"/>
      <c r="E152" s="111">
        <v>7.0</v>
      </c>
      <c r="F152" s="50"/>
      <c r="G152" s="157" t="s">
        <v>1753</v>
      </c>
      <c r="H152" s="118">
        <v>6.983</v>
      </c>
      <c r="I152" s="159">
        <f>H152*(E152-1)</f>
        <v>41.898</v>
      </c>
      <c r="J152" s="168">
        <v>5750.584</v>
      </c>
      <c r="K152" s="118"/>
      <c r="L152" s="118">
        <f>(1.1+1.17)/2</f>
        <v>1.135</v>
      </c>
      <c r="M152" s="158">
        <v>1.25</v>
      </c>
      <c r="N152" s="118">
        <v>1.3</v>
      </c>
      <c r="O152" s="158">
        <v>1.1</v>
      </c>
      <c r="P152" s="161">
        <f t="shared" si="43"/>
        <v>11666.8567</v>
      </c>
      <c r="Q152" s="162"/>
      <c r="R152" s="162"/>
      <c r="S152" s="162">
        <f t="shared" si="51"/>
        <v>81667.99691</v>
      </c>
      <c r="T152" s="162">
        <f t="shared" si="3"/>
        <v>1949.209912</v>
      </c>
      <c r="U152" s="164" t="str">
        <f t="shared" si="49"/>
        <v>N/A</v>
      </c>
      <c r="V152" s="163" t="str">
        <f t="shared" si="50"/>
        <v>N/A</v>
      </c>
    </row>
    <row r="153" ht="37.5" customHeight="1">
      <c r="A153" s="50" t="s">
        <v>2489</v>
      </c>
      <c r="B153" s="117" t="s">
        <v>1859</v>
      </c>
      <c r="C153" s="117" t="s">
        <v>1103</v>
      </c>
      <c r="D153" s="167"/>
      <c r="E153" s="49" t="s">
        <v>1757</v>
      </c>
      <c r="F153" s="50"/>
      <c r="G153" s="157" t="s">
        <v>2042</v>
      </c>
      <c r="H153" s="118">
        <v>6.5</v>
      </c>
      <c r="I153" s="159" t="s">
        <v>582</v>
      </c>
      <c r="J153" s="168">
        <f>66.62*83</f>
        <v>5529.46</v>
      </c>
      <c r="K153" s="118"/>
      <c r="L153" s="118">
        <v>1.22</v>
      </c>
      <c r="M153" s="158">
        <v>1.25</v>
      </c>
      <c r="N153" s="118">
        <v>1.3</v>
      </c>
      <c r="O153" s="158">
        <v>1.15</v>
      </c>
      <c r="P153" s="161">
        <f t="shared" si="43"/>
        <v>12606.47762</v>
      </c>
      <c r="Q153" s="162"/>
      <c r="R153" s="162"/>
      <c r="S153" s="162" t="str">
        <f t="shared" si="51"/>
        <v>INF</v>
      </c>
      <c r="T153" s="162">
        <f t="shared" si="3"/>
        <v>1939.458095</v>
      </c>
      <c r="U153" s="164" t="str">
        <f t="shared" si="49"/>
        <v>N/A</v>
      </c>
      <c r="V153" s="163" t="str">
        <f t="shared" si="50"/>
        <v>N/A</v>
      </c>
    </row>
    <row r="154" ht="37.5" customHeight="1">
      <c r="A154" s="50" t="s">
        <v>2490</v>
      </c>
      <c r="B154" s="117" t="s">
        <v>1771</v>
      </c>
      <c r="C154" s="117" t="s">
        <v>1879</v>
      </c>
      <c r="D154" s="167"/>
      <c r="E154" s="111">
        <v>225.0</v>
      </c>
      <c r="F154" s="50" t="s">
        <v>1880</v>
      </c>
      <c r="G154" s="157" t="s">
        <v>1881</v>
      </c>
      <c r="H154" s="118">
        <v>0.267</v>
      </c>
      <c r="I154" s="159">
        <f>H154*(E154-9)+1.017*8</f>
        <v>65.808</v>
      </c>
      <c r="J154" s="168">
        <v>248.744</v>
      </c>
      <c r="K154" s="118"/>
      <c r="L154" s="118">
        <v>1.22</v>
      </c>
      <c r="M154" s="158">
        <v>1.25</v>
      </c>
      <c r="N154" s="118">
        <v>1.3</v>
      </c>
      <c r="O154" s="158">
        <v>1.15</v>
      </c>
      <c r="P154" s="161">
        <f t="shared" si="43"/>
        <v>567.105227</v>
      </c>
      <c r="Q154" s="162">
        <v>6665401.783612651</v>
      </c>
      <c r="R154" s="162">
        <v>83491.81145156328</v>
      </c>
      <c r="S154" s="162">
        <f t="shared" si="51"/>
        <v>127598.6761</v>
      </c>
      <c r="T154" s="162">
        <f t="shared" si="3"/>
        <v>1938.953867</v>
      </c>
      <c r="U154" s="164">
        <f t="shared" si="49"/>
        <v>0.9820148042</v>
      </c>
      <c r="V154" s="163">
        <f t="shared" si="50"/>
        <v>1.191301785</v>
      </c>
    </row>
    <row r="155" ht="37.5" customHeight="1">
      <c r="A155" s="50" t="s">
        <v>2491</v>
      </c>
      <c r="B155" s="117" t="s">
        <v>1751</v>
      </c>
      <c r="C155" s="117" t="s">
        <v>1898</v>
      </c>
      <c r="D155" s="167"/>
      <c r="E155" s="111">
        <v>747.0</v>
      </c>
      <c r="F155" s="117" t="s">
        <v>2047</v>
      </c>
      <c r="G155" s="157" t="s">
        <v>2048</v>
      </c>
      <c r="H155" s="118">
        <v>0.133</v>
      </c>
      <c r="I155" s="159">
        <f>H155*(E155-6)+2.75*5</f>
        <v>112.303</v>
      </c>
      <c r="J155" s="168">
        <v>95.421</v>
      </c>
      <c r="K155" s="158">
        <v>1.3652</v>
      </c>
      <c r="L155" s="118">
        <v>1.22</v>
      </c>
      <c r="M155" s="158">
        <v>1.25</v>
      </c>
      <c r="N155" s="118">
        <v>1.3</v>
      </c>
      <c r="O155" s="158">
        <v>1.1</v>
      </c>
      <c r="P155" s="161">
        <f t="shared" si="43"/>
        <v>284.0835748</v>
      </c>
      <c r="Q155" s="162">
        <v>1.2910721977881916E7</v>
      </c>
      <c r="R155" s="162">
        <v>102614.26805291703</v>
      </c>
      <c r="S155" s="162">
        <f t="shared" si="51"/>
        <v>212210.4304</v>
      </c>
      <c r="T155" s="162">
        <f t="shared" si="3"/>
        <v>1889.623878</v>
      </c>
      <c r="U155" s="164">
        <f t="shared" si="49"/>
        <v>0.8431685463</v>
      </c>
      <c r="V155" s="163">
        <f t="shared" si="50"/>
        <v>0.9446388801</v>
      </c>
    </row>
    <row r="156" ht="37.5" customHeight="1">
      <c r="A156" s="50" t="s">
        <v>1092</v>
      </c>
      <c r="B156" s="117" t="s">
        <v>1771</v>
      </c>
      <c r="C156" s="117" t="s">
        <v>2010</v>
      </c>
      <c r="D156" s="167"/>
      <c r="E156" s="111">
        <v>70.0</v>
      </c>
      <c r="F156" s="117" t="s">
        <v>2052</v>
      </c>
      <c r="G156" s="165" t="s">
        <v>2053</v>
      </c>
      <c r="H156" s="118">
        <v>0.283</v>
      </c>
      <c r="I156" s="159">
        <f>H156*(E156-6)+1.333*5</f>
        <v>24.777</v>
      </c>
      <c r="J156" s="160">
        <v>283.627</v>
      </c>
      <c r="K156" s="118"/>
      <c r="L156" s="118">
        <v>1.22</v>
      </c>
      <c r="M156" s="158">
        <v>1.25</v>
      </c>
      <c r="N156" s="118">
        <v>1.3</v>
      </c>
      <c r="O156" s="158">
        <v>1.15</v>
      </c>
      <c r="P156" s="161">
        <f t="shared" si="43"/>
        <v>646.6341066</v>
      </c>
      <c r="Q156" s="162">
        <v>2530191.323117431</v>
      </c>
      <c r="R156" s="162">
        <v>90889.83846244094</v>
      </c>
      <c r="S156" s="162">
        <f t="shared" si="51"/>
        <v>45264.38746</v>
      </c>
      <c r="T156" s="162">
        <f t="shared" si="3"/>
        <v>1826.87119</v>
      </c>
      <c r="U156" s="164">
        <f t="shared" si="49"/>
        <v>0.9177015932</v>
      </c>
      <c r="V156" s="163">
        <f t="shared" si="50"/>
        <v>1.031076278</v>
      </c>
    </row>
    <row r="157" ht="37.5" customHeight="1">
      <c r="A157" s="50" t="s">
        <v>2492</v>
      </c>
      <c r="B157" s="117" t="s">
        <v>1751</v>
      </c>
      <c r="C157" s="117" t="s">
        <v>1761</v>
      </c>
      <c r="D157" s="167"/>
      <c r="E157" s="49">
        <v>8.0</v>
      </c>
      <c r="F157" s="50"/>
      <c r="G157" s="165" t="s">
        <v>1753</v>
      </c>
      <c r="H157" s="158">
        <v>3.117</v>
      </c>
      <c r="I157" s="159">
        <f>H157*(E157-1)</f>
        <v>21.819</v>
      </c>
      <c r="J157" s="160">
        <v>2275.829</v>
      </c>
      <c r="K157" s="118"/>
      <c r="L157" s="118">
        <v>1.22</v>
      </c>
      <c r="M157" s="158">
        <v>1.25</v>
      </c>
      <c r="N157" s="118">
        <v>1.3</v>
      </c>
      <c r="O157" s="158">
        <v>1.1</v>
      </c>
      <c r="P157" s="161">
        <f t="shared" si="43"/>
        <v>4963.014092</v>
      </c>
      <c r="Q157" s="162">
        <v>1771320.7616896108</v>
      </c>
      <c r="R157" s="162">
        <v>81182.49056737755</v>
      </c>
      <c r="S157" s="162">
        <f t="shared" si="51"/>
        <v>39704.11273</v>
      </c>
      <c r="T157" s="162">
        <f t="shared" si="3"/>
        <v>1819.703595</v>
      </c>
      <c r="U157" s="164">
        <f t="shared" si="49"/>
        <v>1.149837537</v>
      </c>
      <c r="V157" s="163">
        <f t="shared" si="50"/>
        <v>1.149837537</v>
      </c>
    </row>
    <row r="158" ht="37.5" customHeight="1">
      <c r="A158" s="50" t="s">
        <v>2493</v>
      </c>
      <c r="B158" s="117" t="s">
        <v>1771</v>
      </c>
      <c r="C158" s="117" t="s">
        <v>1942</v>
      </c>
      <c r="D158" s="167"/>
      <c r="E158" s="111">
        <v>520.0</v>
      </c>
      <c r="F158" s="50"/>
      <c r="G158" s="157" t="s">
        <v>2056</v>
      </c>
      <c r="H158" s="118">
        <v>0.067</v>
      </c>
      <c r="I158" s="159">
        <f>H158*E158-1</f>
        <v>33.84</v>
      </c>
      <c r="J158" s="160">
        <v>27.242</v>
      </c>
      <c r="K158" s="118">
        <v>1.45</v>
      </c>
      <c r="L158" s="118">
        <v>1.22</v>
      </c>
      <c r="M158" s="158">
        <v>1.25</v>
      </c>
      <c r="N158" s="118">
        <v>1.3</v>
      </c>
      <c r="O158" s="158">
        <v>1.15</v>
      </c>
      <c r="P158" s="161">
        <f t="shared" si="43"/>
        <v>90.05711439</v>
      </c>
      <c r="Q158" s="162">
        <v>2701208.411303063</v>
      </c>
      <c r="R158" s="162">
        <v>60257.169878269444</v>
      </c>
      <c r="S158" s="162">
        <f>IFERROR(P158/1.45*1.285*104+P158*580,"INF")</f>
        <v>60533.28687</v>
      </c>
      <c r="T158" s="162">
        <f t="shared" si="3"/>
        <v>1788.808714</v>
      </c>
      <c r="U158" s="164">
        <f t="shared" si="49"/>
        <v>1.149567197</v>
      </c>
      <c r="V158" s="163">
        <f t="shared" si="50"/>
        <v>1.52283683</v>
      </c>
    </row>
    <row r="159" ht="37.5" customHeight="1">
      <c r="A159" s="50" t="s">
        <v>2494</v>
      </c>
      <c r="B159" s="117" t="s">
        <v>1771</v>
      </c>
      <c r="C159" s="117" t="s">
        <v>1863</v>
      </c>
      <c r="D159" s="167"/>
      <c r="E159" s="111">
        <v>20.0</v>
      </c>
      <c r="F159" s="50"/>
      <c r="G159" s="157" t="s">
        <v>2058</v>
      </c>
      <c r="H159" s="118">
        <v>0.667</v>
      </c>
      <c r="I159" s="159">
        <f>H159+1.5*(E159-2)</f>
        <v>27.667</v>
      </c>
      <c r="J159" s="160">
        <v>800.505</v>
      </c>
      <c r="K159" s="158">
        <v>1.35</v>
      </c>
      <c r="L159" s="118">
        <v>1.22</v>
      </c>
      <c r="M159" s="158">
        <v>1.25</v>
      </c>
      <c r="N159" s="118">
        <v>1.3</v>
      </c>
      <c r="O159" s="158">
        <v>1.15</v>
      </c>
      <c r="P159" s="161">
        <f t="shared" si="43"/>
        <v>2463.819305</v>
      </c>
      <c r="Q159" s="162">
        <v>2313323.459722404</v>
      </c>
      <c r="R159" s="162">
        <v>67377.04490366411</v>
      </c>
      <c r="S159" s="162">
        <f t="shared" ref="S159:S170" si="52">IFERROR(P159*E159,"INF")</f>
        <v>49276.3861</v>
      </c>
      <c r="T159" s="162">
        <f t="shared" si="3"/>
        <v>1781.052738</v>
      </c>
      <c r="U159" s="164">
        <f t="shared" si="49"/>
        <v>1.092699357</v>
      </c>
      <c r="V159" s="163">
        <f t="shared" si="50"/>
        <v>1.356010399</v>
      </c>
    </row>
    <row r="160" ht="37.5" customHeight="1">
      <c r="A160" s="50" t="s">
        <v>2495</v>
      </c>
      <c r="B160" s="117" t="s">
        <v>1751</v>
      </c>
      <c r="C160" s="117" t="s">
        <v>1898</v>
      </c>
      <c r="D160" s="167"/>
      <c r="E160" s="111">
        <v>755.0</v>
      </c>
      <c r="F160" s="117" t="s">
        <v>2060</v>
      </c>
      <c r="G160" s="157" t="s">
        <v>2061</v>
      </c>
      <c r="H160" s="118">
        <v>0.167</v>
      </c>
      <c r="I160" s="159">
        <f>H160*(E160-7)+2.8*6</f>
        <v>141.716</v>
      </c>
      <c r="J160" s="168">
        <v>112.26</v>
      </c>
      <c r="K160" s="158">
        <v>1.3636</v>
      </c>
      <c r="L160" s="118">
        <v>1.22</v>
      </c>
      <c r="M160" s="158">
        <v>1.25</v>
      </c>
      <c r="N160" s="118">
        <v>1.3</v>
      </c>
      <c r="O160" s="158">
        <v>1.1</v>
      </c>
      <c r="P160" s="161">
        <f t="shared" si="43"/>
        <v>333.8242728</v>
      </c>
      <c r="Q160" s="162">
        <v>1.1558925109770015E7</v>
      </c>
      <c r="R160" s="162">
        <v>95733.22326111274</v>
      </c>
      <c r="S160" s="162">
        <f t="shared" si="52"/>
        <v>252037.326</v>
      </c>
      <c r="T160" s="162">
        <f t="shared" si="3"/>
        <v>1778.467681</v>
      </c>
      <c r="U160" s="164">
        <f t="shared" si="49"/>
        <v>1.118524789</v>
      </c>
      <c r="V160" s="163">
        <f t="shared" si="50"/>
        <v>0.9529749746</v>
      </c>
    </row>
    <row r="161" ht="37.5" customHeight="1">
      <c r="A161" s="169" t="s">
        <v>2496</v>
      </c>
      <c r="B161" s="170" t="s">
        <v>1771</v>
      </c>
      <c r="C161" s="170" t="s">
        <v>1988</v>
      </c>
      <c r="D161" s="182"/>
      <c r="E161" s="130">
        <v>33.0</v>
      </c>
      <c r="F161" s="169" t="s">
        <v>2071</v>
      </c>
      <c r="G161" s="171" t="s">
        <v>2072</v>
      </c>
      <c r="H161" s="175">
        <v>0.714</v>
      </c>
      <c r="I161" s="173">
        <f>H161*(E161-5)+1.183*4</f>
        <v>24.724</v>
      </c>
      <c r="J161" s="184">
        <f>361.841*1.1</f>
        <v>398.0251</v>
      </c>
      <c r="K161" s="172">
        <f>(2*15+1*18)/33</f>
        <v>1.454545455</v>
      </c>
      <c r="L161" s="175">
        <v>1.22</v>
      </c>
      <c r="M161" s="172">
        <v>1.25</v>
      </c>
      <c r="N161" s="175">
        <v>1.3</v>
      </c>
      <c r="O161" s="172">
        <v>1.15</v>
      </c>
      <c r="P161" s="176">
        <f t="shared" si="43"/>
        <v>1319.9236</v>
      </c>
      <c r="Q161" s="177"/>
      <c r="R161" s="177"/>
      <c r="S161" s="177">
        <f t="shared" si="52"/>
        <v>43557.47879</v>
      </c>
      <c r="T161" s="177">
        <f t="shared" si="3"/>
        <v>1761.748859</v>
      </c>
      <c r="U161" s="178" t="str">
        <f t="shared" si="49"/>
        <v>N/A</v>
      </c>
      <c r="V161" s="179" t="str">
        <f t="shared" si="50"/>
        <v>N/A</v>
      </c>
    </row>
    <row r="162" ht="37.5" customHeight="1">
      <c r="A162" s="170" t="s">
        <v>2497</v>
      </c>
      <c r="B162" s="170" t="s">
        <v>1771</v>
      </c>
      <c r="C162" s="170" t="s">
        <v>1752</v>
      </c>
      <c r="D162" s="180"/>
      <c r="E162" s="130">
        <v>20.0</v>
      </c>
      <c r="F162" s="169"/>
      <c r="G162" s="171" t="s">
        <v>1982</v>
      </c>
      <c r="H162" s="172">
        <v>3.017</v>
      </c>
      <c r="I162" s="173">
        <f>(7.333-0.6034)*9+2.4136</f>
        <v>62.98</v>
      </c>
      <c r="J162" s="174">
        <v>2009.758</v>
      </c>
      <c r="K162" s="175">
        <f>1.08015*1.1</f>
        <v>1.188165</v>
      </c>
      <c r="L162" s="175">
        <v>1.22</v>
      </c>
      <c r="M162" s="172">
        <v>1.25</v>
      </c>
      <c r="N162" s="175">
        <v>1.3</v>
      </c>
      <c r="O162" s="172">
        <v>1.15</v>
      </c>
      <c r="P162" s="176">
        <f t="shared" si="43"/>
        <v>5444.16849</v>
      </c>
      <c r="Q162" s="177"/>
      <c r="R162" s="177"/>
      <c r="S162" s="177">
        <f t="shared" si="52"/>
        <v>108883.3698</v>
      </c>
      <c r="T162" s="177">
        <f t="shared" si="3"/>
        <v>1728.8563</v>
      </c>
      <c r="U162" s="178"/>
      <c r="V162" s="179"/>
    </row>
    <row r="163" ht="37.5" customHeight="1">
      <c r="A163" s="50" t="s">
        <v>911</v>
      </c>
      <c r="B163" s="117" t="s">
        <v>1771</v>
      </c>
      <c r="C163" s="117" t="s">
        <v>1841</v>
      </c>
      <c r="D163" s="167"/>
      <c r="E163" s="111">
        <v>22.0</v>
      </c>
      <c r="F163" s="50" t="s">
        <v>2062</v>
      </c>
      <c r="G163" s="157" t="s">
        <v>2017</v>
      </c>
      <c r="H163" s="118">
        <v>1.05</v>
      </c>
      <c r="I163" s="159">
        <f>0.533+H163*(E163-4)+1.733*3</f>
        <v>24.632</v>
      </c>
      <c r="J163" s="168">
        <v>847.644</v>
      </c>
      <c r="K163" s="118"/>
      <c r="L163" s="118">
        <v>1.22</v>
      </c>
      <c r="M163" s="158">
        <v>1.25</v>
      </c>
      <c r="N163" s="118">
        <v>1.3</v>
      </c>
      <c r="O163" s="158">
        <v>1.15</v>
      </c>
      <c r="P163" s="161">
        <f t="shared" si="43"/>
        <v>1932.522365</v>
      </c>
      <c r="Q163" s="162">
        <v>2329409.745</v>
      </c>
      <c r="R163" s="162">
        <v>81172.58755270585</v>
      </c>
      <c r="S163" s="162">
        <f t="shared" si="52"/>
        <v>42515.49202</v>
      </c>
      <c r="T163" s="162">
        <f t="shared" si="3"/>
        <v>1726.026795</v>
      </c>
      <c r="U163" s="164">
        <f t="shared" ref="U163:U166" si="53">IFERROR(IF(ISBLANK(Q163),"N/A",(S163/Q163)*(104237/2032)),"N/A")</f>
        <v>0.9362665798</v>
      </c>
      <c r="V163" s="163">
        <f t="shared" ref="V163:V166" si="54">IF(ISBLANK(R163),"N/A",(T163/R163)*(104237/2032))</f>
        <v>1.090777933</v>
      </c>
    </row>
    <row r="164" ht="37.5" customHeight="1">
      <c r="A164" s="117" t="s">
        <v>773</v>
      </c>
      <c r="B164" s="117" t="s">
        <v>1771</v>
      </c>
      <c r="C164" s="117" t="s">
        <v>1793</v>
      </c>
      <c r="D164" s="156"/>
      <c r="E164" s="111">
        <v>19.0</v>
      </c>
      <c r="F164" s="117" t="s">
        <v>2063</v>
      </c>
      <c r="G164" s="157" t="s">
        <v>2064</v>
      </c>
      <c r="H164" s="158">
        <v>1.356</v>
      </c>
      <c r="I164" s="159">
        <f>0.817+H164*(E164-3)+2.133*2</f>
        <v>26.779</v>
      </c>
      <c r="J164" s="168">
        <v>1034.684</v>
      </c>
      <c r="K164" s="158"/>
      <c r="L164" s="118">
        <v>1.22</v>
      </c>
      <c r="M164" s="158">
        <v>1.25</v>
      </c>
      <c r="N164" s="118">
        <v>1.3</v>
      </c>
      <c r="O164" s="158">
        <v>1.15</v>
      </c>
      <c r="P164" s="161">
        <f t="shared" si="43"/>
        <v>2358.950185</v>
      </c>
      <c r="Q164" s="162">
        <v>2302265.3410181347</v>
      </c>
      <c r="R164" s="162">
        <v>69907.54990490191</v>
      </c>
      <c r="S164" s="162">
        <f t="shared" si="52"/>
        <v>44820.05351</v>
      </c>
      <c r="T164" s="162">
        <f t="shared" si="3"/>
        <v>1673.701539</v>
      </c>
      <c r="U164" s="164">
        <f t="shared" si="53"/>
        <v>0.9986543432</v>
      </c>
      <c r="V164" s="163">
        <f t="shared" si="54"/>
        <v>1.22815204</v>
      </c>
    </row>
    <row r="165" ht="37.5" customHeight="1">
      <c r="A165" s="50" t="s">
        <v>2498</v>
      </c>
      <c r="B165" s="117" t="s">
        <v>1771</v>
      </c>
      <c r="C165" s="117" t="s">
        <v>1863</v>
      </c>
      <c r="D165" s="156"/>
      <c r="E165" s="111">
        <v>20.0</v>
      </c>
      <c r="F165" s="50"/>
      <c r="G165" s="165" t="s">
        <v>2066</v>
      </c>
      <c r="H165" s="118">
        <v>0.667</v>
      </c>
      <c r="I165" s="159">
        <f>H165*2+1.5*(E165-3)</f>
        <v>26.834</v>
      </c>
      <c r="J165" s="160">
        <v>783.868</v>
      </c>
      <c r="K165" s="118">
        <f>(1.3*17+1*3)/20</f>
        <v>1.255</v>
      </c>
      <c r="L165" s="118">
        <v>1.22</v>
      </c>
      <c r="M165" s="158">
        <v>1.25</v>
      </c>
      <c r="N165" s="118">
        <v>1.3</v>
      </c>
      <c r="O165" s="158">
        <v>1.15</v>
      </c>
      <c r="P165" s="161">
        <f t="shared" si="43"/>
        <v>2242.836926</v>
      </c>
      <c r="Q165" s="162">
        <v>2558309.7666038657</v>
      </c>
      <c r="R165" s="162">
        <v>74512.42985390183</v>
      </c>
      <c r="S165" s="162">
        <f t="shared" si="52"/>
        <v>44856.73852</v>
      </c>
      <c r="T165" s="162">
        <f t="shared" si="3"/>
        <v>1671.638165</v>
      </c>
      <c r="U165" s="164">
        <f t="shared" si="53"/>
        <v>0.8994411741</v>
      </c>
      <c r="V165" s="163">
        <f t="shared" si="54"/>
        <v>1.15083153</v>
      </c>
    </row>
    <row r="166" ht="37.5" customHeight="1">
      <c r="A166" s="50" t="s">
        <v>2499</v>
      </c>
      <c r="B166" s="117" t="s">
        <v>1751</v>
      </c>
      <c r="C166" s="117" t="s">
        <v>1761</v>
      </c>
      <c r="D166" s="167"/>
      <c r="E166" s="111">
        <v>11.0</v>
      </c>
      <c r="F166" s="50"/>
      <c r="G166" s="165" t="s">
        <v>1753</v>
      </c>
      <c r="H166" s="158">
        <v>5.1</v>
      </c>
      <c r="I166" s="159">
        <f>H166*(E166-1)</f>
        <v>51</v>
      </c>
      <c r="J166" s="160">
        <v>3539.585</v>
      </c>
      <c r="K166" s="118"/>
      <c r="L166" s="118">
        <v>1.22</v>
      </c>
      <c r="M166" s="158">
        <v>1.25</v>
      </c>
      <c r="N166" s="118">
        <v>1.3</v>
      </c>
      <c r="O166" s="158">
        <v>1.1</v>
      </c>
      <c r="P166" s="161">
        <f t="shared" si="43"/>
        <v>7718.949989</v>
      </c>
      <c r="Q166" s="162"/>
      <c r="R166" s="162"/>
      <c r="S166" s="162">
        <f t="shared" si="52"/>
        <v>84908.44988</v>
      </c>
      <c r="T166" s="162">
        <f t="shared" si="3"/>
        <v>1664.871566</v>
      </c>
      <c r="U166" s="164" t="str">
        <f t="shared" si="53"/>
        <v>N/A</v>
      </c>
      <c r="V166" s="163" t="str">
        <f t="shared" si="54"/>
        <v>N/A</v>
      </c>
    </row>
    <row r="167" ht="37.5" customHeight="1">
      <c r="A167" s="117" t="s">
        <v>2500</v>
      </c>
      <c r="B167" s="117" t="s">
        <v>1771</v>
      </c>
      <c r="C167" s="117" t="s">
        <v>1752</v>
      </c>
      <c r="D167" s="188"/>
      <c r="E167" s="111">
        <v>20.0</v>
      </c>
      <c r="F167" s="50"/>
      <c r="G167" s="157" t="s">
        <v>1816</v>
      </c>
      <c r="H167" s="158">
        <v>1.35</v>
      </c>
      <c r="I167" s="186">
        <f>8.717*3+1.35*4</f>
        <v>31.551</v>
      </c>
      <c r="J167" s="168">
        <v>1134.4171392564585</v>
      </c>
      <c r="K167" s="118"/>
      <c r="L167" s="118">
        <v>1.22</v>
      </c>
      <c r="M167" s="158">
        <v>1.25</v>
      </c>
      <c r="N167" s="118">
        <v>1.3</v>
      </c>
      <c r="O167" s="158">
        <v>1.15</v>
      </c>
      <c r="P167" s="161">
        <f t="shared" si="43"/>
        <v>2586.329275</v>
      </c>
      <c r="Q167" s="162"/>
      <c r="R167" s="162"/>
      <c r="S167" s="162">
        <f t="shared" si="52"/>
        <v>51726.58551</v>
      </c>
      <c r="T167" s="162">
        <f t="shared" si="3"/>
        <v>1639.459463</v>
      </c>
      <c r="U167" s="178"/>
      <c r="V167" s="179"/>
    </row>
    <row r="168" ht="37.5" customHeight="1">
      <c r="A168" s="169" t="s">
        <v>2501</v>
      </c>
      <c r="B168" s="170" t="s">
        <v>1771</v>
      </c>
      <c r="C168" s="170" t="s">
        <v>1988</v>
      </c>
      <c r="D168" s="182"/>
      <c r="E168" s="204">
        <v>33.0</v>
      </c>
      <c r="F168" s="169" t="s">
        <v>2071</v>
      </c>
      <c r="G168" s="171" t="s">
        <v>2072</v>
      </c>
      <c r="H168" s="175">
        <v>0.714</v>
      </c>
      <c r="I168" s="173">
        <f>H168*(E168-5)+1.183*4</f>
        <v>24.724</v>
      </c>
      <c r="J168" s="184">
        <f>361.841*1.1</f>
        <v>398.0251</v>
      </c>
      <c r="K168" s="175">
        <v>1.35</v>
      </c>
      <c r="L168" s="175">
        <v>1.22</v>
      </c>
      <c r="M168" s="172">
        <v>1.25</v>
      </c>
      <c r="N168" s="175">
        <v>1.3</v>
      </c>
      <c r="O168" s="172">
        <v>1.15</v>
      </c>
      <c r="P168" s="176">
        <f t="shared" si="43"/>
        <v>1225.054091</v>
      </c>
      <c r="Q168" s="177">
        <v>1656318.400442636</v>
      </c>
      <c r="R168" s="177">
        <v>69869.1639434167</v>
      </c>
      <c r="S168" s="177">
        <f t="shared" si="52"/>
        <v>40426.78501</v>
      </c>
      <c r="T168" s="177">
        <f t="shared" si="3"/>
        <v>1635.12316</v>
      </c>
      <c r="U168" s="178">
        <f t="shared" ref="U168:U174" si="55">IFERROR(IF(ISBLANK(Q168),"N/A",(S168/Q168)*(104237/2032)),"N/A")</f>
        <v>1.252055494</v>
      </c>
      <c r="V168" s="179">
        <f t="shared" ref="V168:V174" si="56">IF(ISBLANK(R168),"N/A",(T168/R168)*(104237/2032))</f>
        <v>1.200502651</v>
      </c>
    </row>
    <row r="169" ht="37.5" customHeight="1">
      <c r="A169" s="50" t="s">
        <v>2502</v>
      </c>
      <c r="B169" s="50" t="s">
        <v>1859</v>
      </c>
      <c r="C169" s="50" t="s">
        <v>1103</v>
      </c>
      <c r="D169" s="167"/>
      <c r="E169" s="49" t="s">
        <v>1757</v>
      </c>
      <c r="F169" s="50"/>
      <c r="G169" s="165" t="s">
        <v>582</v>
      </c>
      <c r="H169" s="118">
        <v>3.95</v>
      </c>
      <c r="I169" s="159" t="s">
        <v>582</v>
      </c>
      <c r="J169" s="160">
        <f>93.644*30</f>
        <v>2809.32</v>
      </c>
      <c r="K169" s="118"/>
      <c r="L169" s="118">
        <v>1.22</v>
      </c>
      <c r="M169" s="158">
        <v>1.25</v>
      </c>
      <c r="N169" s="118">
        <v>1.3</v>
      </c>
      <c r="O169" s="158">
        <v>1.15</v>
      </c>
      <c r="P169" s="161">
        <f t="shared" si="43"/>
        <v>6404.898435</v>
      </c>
      <c r="Q169" s="162"/>
      <c r="R169" s="162"/>
      <c r="S169" s="162" t="str">
        <f t="shared" si="52"/>
        <v>INF</v>
      </c>
      <c r="T169" s="162">
        <f t="shared" si="3"/>
        <v>1621.493275</v>
      </c>
      <c r="U169" s="164" t="str">
        <f t="shared" si="55"/>
        <v>N/A</v>
      </c>
      <c r="V169" s="163" t="str">
        <f t="shared" si="56"/>
        <v>N/A</v>
      </c>
    </row>
    <row r="170" ht="37.5" customHeight="1">
      <c r="A170" s="50" t="s">
        <v>2503</v>
      </c>
      <c r="B170" s="50" t="s">
        <v>1859</v>
      </c>
      <c r="C170" s="50" t="s">
        <v>1752</v>
      </c>
      <c r="D170" s="167"/>
      <c r="E170" s="49" t="s">
        <v>1757</v>
      </c>
      <c r="F170" s="50"/>
      <c r="G170" s="165" t="s">
        <v>582</v>
      </c>
      <c r="H170" s="158">
        <v>1.783</v>
      </c>
      <c r="I170" s="159" t="s">
        <v>582</v>
      </c>
      <c r="J170" s="160">
        <f>355.113*2+99.823*5</f>
        <v>1209.341</v>
      </c>
      <c r="K170" s="118"/>
      <c r="L170" s="118">
        <v>1.22</v>
      </c>
      <c r="M170" s="158">
        <v>1.25</v>
      </c>
      <c r="N170" s="118">
        <v>1.3</v>
      </c>
      <c r="O170" s="158">
        <v>1.15</v>
      </c>
      <c r="P170" s="161">
        <f t="shared" si="43"/>
        <v>2757.146312</v>
      </c>
      <c r="Q170" s="162"/>
      <c r="R170" s="162"/>
      <c r="S170" s="162" t="str">
        <f t="shared" si="52"/>
        <v>INF</v>
      </c>
      <c r="T170" s="162">
        <f t="shared" si="3"/>
        <v>1546.352391</v>
      </c>
      <c r="U170" s="164" t="str">
        <f t="shared" si="55"/>
        <v>N/A</v>
      </c>
      <c r="V170" s="163" t="str">
        <f t="shared" si="56"/>
        <v>N/A</v>
      </c>
    </row>
    <row r="171" ht="37.5" customHeight="1">
      <c r="A171" s="169" t="s">
        <v>2504</v>
      </c>
      <c r="B171" s="170" t="s">
        <v>1751</v>
      </c>
      <c r="C171" s="170" t="s">
        <v>1779</v>
      </c>
      <c r="D171" s="210"/>
      <c r="E171" s="130">
        <v>68.0</v>
      </c>
      <c r="F171" s="169" t="s">
        <v>2505</v>
      </c>
      <c r="G171" s="183" t="s">
        <v>1811</v>
      </c>
      <c r="H171" s="175">
        <v>2.75</v>
      </c>
      <c r="I171" s="173">
        <f>H171*11+0.716</f>
        <v>30.966</v>
      </c>
      <c r="J171" s="184">
        <v>1877.93</v>
      </c>
      <c r="K171" s="175"/>
      <c r="L171" s="175">
        <v>1.22</v>
      </c>
      <c r="M171" s="172">
        <v>1.25</v>
      </c>
      <c r="N171" s="175">
        <v>1.3</v>
      </c>
      <c r="O171" s="172">
        <v>1.1</v>
      </c>
      <c r="P171" s="176">
        <f t="shared" si="43"/>
        <v>4095.295848</v>
      </c>
      <c r="Q171" s="177">
        <v>3886130.3263740106</v>
      </c>
      <c r="R171" s="177">
        <v>152600.73534807234</v>
      </c>
      <c r="S171" s="177">
        <f>IFERROR(P171*11.645,"INF")</f>
        <v>47689.72014</v>
      </c>
      <c r="T171" s="177">
        <f t="shared" si="3"/>
        <v>1540.067175</v>
      </c>
      <c r="U171" s="178">
        <f t="shared" si="55"/>
        <v>0.6295143186</v>
      </c>
      <c r="V171" s="179">
        <f t="shared" si="56"/>
        <v>0.5177036633</v>
      </c>
    </row>
    <row r="172" ht="37.5" customHeight="1">
      <c r="A172" s="50" t="s">
        <v>2506</v>
      </c>
      <c r="B172" s="117" t="s">
        <v>1771</v>
      </c>
      <c r="C172" s="117" t="s">
        <v>1988</v>
      </c>
      <c r="D172" s="167"/>
      <c r="E172" s="111">
        <v>29.0</v>
      </c>
      <c r="F172" s="50"/>
      <c r="G172" s="157" t="s">
        <v>2075</v>
      </c>
      <c r="H172" s="118">
        <v>2.917</v>
      </c>
      <c r="I172" s="159">
        <v>28.3</v>
      </c>
      <c r="J172" s="160">
        <f>((1300.613+388.355*6)*4+1300.613+388.355*5+1300.613)/29</f>
        <v>657.4473448</v>
      </c>
      <c r="K172" s="118"/>
      <c r="L172" s="118">
        <v>1.22</v>
      </c>
      <c r="M172" s="158">
        <v>1.25</v>
      </c>
      <c r="N172" s="118">
        <v>1.3</v>
      </c>
      <c r="O172" s="158">
        <v>1.15</v>
      </c>
      <c r="P172" s="161">
        <f t="shared" si="43"/>
        <v>1498.897765</v>
      </c>
      <c r="Q172" s="162">
        <v>3363105.684035</v>
      </c>
      <c r="R172" s="162">
        <v>65273.87155318984</v>
      </c>
      <c r="S172" s="162">
        <f t="shared" ref="S172:S190" si="57">IFERROR(P172*E172,"INF")</f>
        <v>43468.03519</v>
      </c>
      <c r="T172" s="162">
        <f t="shared" si="3"/>
        <v>1535.972975</v>
      </c>
      <c r="U172" s="164">
        <f t="shared" si="55"/>
        <v>0.6630216273</v>
      </c>
      <c r="V172" s="163">
        <f t="shared" si="56"/>
        <v>1.207097643</v>
      </c>
    </row>
    <row r="173" ht="37.5" customHeight="1">
      <c r="A173" s="50" t="s">
        <v>2507</v>
      </c>
      <c r="B173" s="117" t="s">
        <v>1771</v>
      </c>
      <c r="C173" s="117" t="s">
        <v>1988</v>
      </c>
      <c r="D173" s="167"/>
      <c r="E173" s="111">
        <v>32.0</v>
      </c>
      <c r="F173" s="117" t="s">
        <v>2077</v>
      </c>
      <c r="G173" s="157" t="s">
        <v>2078</v>
      </c>
      <c r="H173" s="118">
        <v>0.714</v>
      </c>
      <c r="I173" s="159">
        <f>H173*(E173-5)+1.083*4</f>
        <v>23.61</v>
      </c>
      <c r="J173" s="168">
        <v>493.48</v>
      </c>
      <c r="K173" s="166"/>
      <c r="L173" s="118">
        <v>1.22</v>
      </c>
      <c r="M173" s="158">
        <v>1.25</v>
      </c>
      <c r="N173" s="118">
        <v>1.3</v>
      </c>
      <c r="O173" s="158">
        <v>1.15</v>
      </c>
      <c r="P173" s="161">
        <f t="shared" si="43"/>
        <v>1125.072715</v>
      </c>
      <c r="Q173" s="162"/>
      <c r="R173" s="162"/>
      <c r="S173" s="162">
        <f t="shared" si="57"/>
        <v>36002.32688</v>
      </c>
      <c r="T173" s="162">
        <f t="shared" si="3"/>
        <v>1524.876191</v>
      </c>
      <c r="U173" s="164" t="str">
        <f t="shared" si="55"/>
        <v>N/A</v>
      </c>
      <c r="V173" s="163" t="str">
        <f t="shared" si="56"/>
        <v>N/A</v>
      </c>
    </row>
    <row r="174" ht="37.5" customHeight="1">
      <c r="A174" s="50" t="s">
        <v>328</v>
      </c>
      <c r="B174" s="117" t="s">
        <v>1751</v>
      </c>
      <c r="C174" s="117" t="s">
        <v>1772</v>
      </c>
      <c r="D174" s="167"/>
      <c r="E174" s="111">
        <v>18.0</v>
      </c>
      <c r="F174" s="117" t="s">
        <v>2079</v>
      </c>
      <c r="G174" s="157" t="s">
        <v>1871</v>
      </c>
      <c r="H174" s="118">
        <v>0.733</v>
      </c>
      <c r="I174" s="159">
        <f>H174*(E174-3)+1.583*2</f>
        <v>14.161</v>
      </c>
      <c r="J174" s="160">
        <v>548.544</v>
      </c>
      <c r="K174" s="118"/>
      <c r="L174" s="118">
        <v>1.22</v>
      </c>
      <c r="M174" s="158">
        <v>1.25</v>
      </c>
      <c r="N174" s="118">
        <v>1.3</v>
      </c>
      <c r="O174" s="158">
        <v>1.1</v>
      </c>
      <c r="P174" s="161">
        <f t="shared" si="43"/>
        <v>1196.237328</v>
      </c>
      <c r="Q174" s="162">
        <v>778473.270774308</v>
      </c>
      <c r="R174" s="162">
        <v>48274.41837866228</v>
      </c>
      <c r="S174" s="162">
        <f t="shared" si="57"/>
        <v>21532.2719</v>
      </c>
      <c r="T174" s="162">
        <f t="shared" si="3"/>
        <v>1520.533289</v>
      </c>
      <c r="U174" s="164">
        <f t="shared" si="55"/>
        <v>1.418875697</v>
      </c>
      <c r="V174" s="163">
        <f t="shared" si="56"/>
        <v>1.615760856</v>
      </c>
    </row>
    <row r="175" ht="37.5" customHeight="1">
      <c r="A175" s="117" t="s">
        <v>2508</v>
      </c>
      <c r="B175" s="117" t="s">
        <v>1771</v>
      </c>
      <c r="C175" s="117" t="s">
        <v>1752</v>
      </c>
      <c r="D175" s="188"/>
      <c r="E175" s="111">
        <v>20.0</v>
      </c>
      <c r="F175" s="50"/>
      <c r="G175" s="157" t="s">
        <v>2081</v>
      </c>
      <c r="H175" s="158">
        <v>1.083</v>
      </c>
      <c r="I175" s="186">
        <f>10.7*2+1.083</f>
        <v>22.483</v>
      </c>
      <c r="J175" s="168">
        <v>738.8603834728598</v>
      </c>
      <c r="K175" s="118"/>
      <c r="L175" s="118">
        <v>1.22</v>
      </c>
      <c r="M175" s="158">
        <v>1.25</v>
      </c>
      <c r="N175" s="118">
        <v>1.3</v>
      </c>
      <c r="O175" s="158">
        <v>1.15</v>
      </c>
      <c r="P175" s="161">
        <f t="shared" si="43"/>
        <v>1684.509317</v>
      </c>
      <c r="Q175" s="162"/>
      <c r="R175" s="162"/>
      <c r="S175" s="162">
        <f t="shared" si="57"/>
        <v>33690.18634</v>
      </c>
      <c r="T175" s="162">
        <f t="shared" si="3"/>
        <v>1498.473795</v>
      </c>
      <c r="U175" s="178"/>
      <c r="V175" s="179"/>
    </row>
    <row r="176" ht="37.5" customHeight="1">
      <c r="A176" s="117" t="s">
        <v>2509</v>
      </c>
      <c r="B176" s="117" t="s">
        <v>1771</v>
      </c>
      <c r="C176" s="117" t="s">
        <v>1752</v>
      </c>
      <c r="D176" s="188"/>
      <c r="E176" s="111">
        <v>20.0</v>
      </c>
      <c r="F176" s="50"/>
      <c r="G176" s="157" t="s">
        <v>1791</v>
      </c>
      <c r="H176" s="158">
        <v>2.0</v>
      </c>
      <c r="I176" s="159">
        <f>8.033*6+2</f>
        <v>50.198</v>
      </c>
      <c r="J176" s="168">
        <v>1646.617</v>
      </c>
      <c r="K176" s="118"/>
      <c r="L176" s="118">
        <v>1.22</v>
      </c>
      <c r="M176" s="158">
        <v>1.25</v>
      </c>
      <c r="N176" s="118">
        <v>1.3</v>
      </c>
      <c r="O176" s="158">
        <v>1.15</v>
      </c>
      <c r="P176" s="161">
        <f t="shared" si="43"/>
        <v>3754.080933</v>
      </c>
      <c r="Q176" s="162"/>
      <c r="R176" s="162"/>
      <c r="S176" s="162">
        <f t="shared" si="57"/>
        <v>75081.61866</v>
      </c>
      <c r="T176" s="162">
        <f t="shared" si="3"/>
        <v>1495.709364</v>
      </c>
      <c r="U176" s="178"/>
      <c r="V176" s="179"/>
    </row>
    <row r="177" ht="37.5" customHeight="1">
      <c r="A177" s="50" t="s">
        <v>2510</v>
      </c>
      <c r="B177" s="50" t="s">
        <v>1859</v>
      </c>
      <c r="C177" s="50" t="s">
        <v>1834</v>
      </c>
      <c r="D177" s="167"/>
      <c r="E177" s="49" t="s">
        <v>1757</v>
      </c>
      <c r="F177" s="50"/>
      <c r="G177" s="165" t="s">
        <v>582</v>
      </c>
      <c r="H177" s="158">
        <v>12.667</v>
      </c>
      <c r="I177" s="159" t="s">
        <v>582</v>
      </c>
      <c r="J177" s="160">
        <f>146.884*12+1089.434*6</f>
        <v>8299.212</v>
      </c>
      <c r="K177" s="158"/>
      <c r="L177" s="118">
        <v>1.22</v>
      </c>
      <c r="M177" s="158">
        <v>1.25</v>
      </c>
      <c r="N177" s="118">
        <v>1.3</v>
      </c>
      <c r="O177" s="158">
        <v>1.15</v>
      </c>
      <c r="P177" s="161">
        <f t="shared" si="43"/>
        <v>18921.16596</v>
      </c>
      <c r="Q177" s="162" t="s">
        <v>1757</v>
      </c>
      <c r="R177" s="162">
        <v>56683.17044641036</v>
      </c>
      <c r="S177" s="162" t="str">
        <f t="shared" si="57"/>
        <v>INF</v>
      </c>
      <c r="T177" s="162">
        <f t="shared" si="3"/>
        <v>1493.736951</v>
      </c>
      <c r="U177" s="164" t="str">
        <f>IFERROR(IF(ISBLANK(Q177),"N/A",(S177/Q177)*(104237/2032)),"N/A")</f>
        <v>N/A</v>
      </c>
      <c r="V177" s="163">
        <f>IF(ISBLANK(R177),"N/A",(T177/R177)*(104237/2032))</f>
        <v>1.351817894</v>
      </c>
    </row>
    <row r="178" ht="37.5" customHeight="1">
      <c r="A178" s="117" t="s">
        <v>940</v>
      </c>
      <c r="B178" s="117" t="s">
        <v>1751</v>
      </c>
      <c r="C178" s="117" t="s">
        <v>1898</v>
      </c>
      <c r="D178" s="167"/>
      <c r="E178" s="111">
        <v>300.0</v>
      </c>
      <c r="F178" s="50"/>
      <c r="G178" s="117" t="s">
        <v>2084</v>
      </c>
      <c r="H178" s="158">
        <v>10.45</v>
      </c>
      <c r="I178" s="159">
        <f>H178*6+3</f>
        <v>65.7</v>
      </c>
      <c r="J178" s="168">
        <v>149.284</v>
      </c>
      <c r="K178" s="118"/>
      <c r="L178" s="158">
        <v>1.22</v>
      </c>
      <c r="M178" s="158">
        <v>1.25</v>
      </c>
      <c r="N178" s="118">
        <v>1.3</v>
      </c>
      <c r="O178" s="158">
        <v>1.1</v>
      </c>
      <c r="P178" s="161">
        <f t="shared" si="43"/>
        <v>325.551083</v>
      </c>
      <c r="Q178" s="162"/>
      <c r="R178" s="162"/>
      <c r="S178" s="162">
        <f t="shared" si="57"/>
        <v>97665.3249</v>
      </c>
      <c r="T178" s="162">
        <f t="shared" si="3"/>
        <v>1486.534626</v>
      </c>
      <c r="U178" s="164"/>
      <c r="V178" s="163"/>
    </row>
    <row r="179" ht="37.5" customHeight="1">
      <c r="A179" s="50" t="s">
        <v>2511</v>
      </c>
      <c r="B179" s="117" t="s">
        <v>1751</v>
      </c>
      <c r="C179" s="117" t="s">
        <v>1805</v>
      </c>
      <c r="D179" s="167"/>
      <c r="E179" s="111">
        <v>25.0</v>
      </c>
      <c r="F179" s="117" t="s">
        <v>2087</v>
      </c>
      <c r="G179" s="157" t="s">
        <v>1925</v>
      </c>
      <c r="H179" s="118">
        <v>1.283</v>
      </c>
      <c r="I179" s="159">
        <f>H179*(E179-4)+2.867*3</f>
        <v>35.544</v>
      </c>
      <c r="J179" s="160">
        <v>950.82</v>
      </c>
      <c r="K179" s="118"/>
      <c r="L179" s="118">
        <v>1.22</v>
      </c>
      <c r="M179" s="158">
        <v>1.25</v>
      </c>
      <c r="N179" s="118">
        <v>1.3</v>
      </c>
      <c r="O179" s="158">
        <v>1.1</v>
      </c>
      <c r="P179" s="161">
        <f t="shared" si="43"/>
        <v>2073.500715</v>
      </c>
      <c r="Q179" s="162">
        <v>3834650.625</v>
      </c>
      <c r="R179" s="162">
        <v>102284.62590024008</v>
      </c>
      <c r="S179" s="162">
        <f t="shared" si="57"/>
        <v>51837.51788</v>
      </c>
      <c r="T179" s="162">
        <f t="shared" si="3"/>
        <v>1458.404172</v>
      </c>
      <c r="U179" s="164">
        <f t="shared" ref="U179:U233" si="58">IFERROR(IF(ISBLANK(Q179),"N/A",(S179/Q179)*(104237/2032)),"N/A")</f>
        <v>0.6934523059</v>
      </c>
      <c r="V179" s="163">
        <f t="shared" ref="V179:V233" si="59">IF(ISBLANK(R179),"N/A",(T179/R179)*(104237/2032))</f>
        <v>0.7314181563</v>
      </c>
    </row>
    <row r="180" ht="37.5" customHeight="1">
      <c r="A180" s="50" t="s">
        <v>2512</v>
      </c>
      <c r="B180" s="50" t="s">
        <v>1859</v>
      </c>
      <c r="C180" s="50" t="s">
        <v>1834</v>
      </c>
      <c r="D180" s="167"/>
      <c r="E180" s="49" t="s">
        <v>1757</v>
      </c>
      <c r="F180" s="50"/>
      <c r="G180" s="165" t="s">
        <v>582</v>
      </c>
      <c r="H180" s="158">
        <v>15.717</v>
      </c>
      <c r="I180" s="159" t="s">
        <v>582</v>
      </c>
      <c r="J180" s="160">
        <f>145.028*24+1089.434*6</f>
        <v>10017.276</v>
      </c>
      <c r="K180" s="158"/>
      <c r="L180" s="118">
        <v>1.22</v>
      </c>
      <c r="M180" s="158">
        <v>1.25</v>
      </c>
      <c r="N180" s="118">
        <v>1.3</v>
      </c>
      <c r="O180" s="158">
        <v>1.15</v>
      </c>
      <c r="P180" s="161">
        <f t="shared" si="43"/>
        <v>22838.13712</v>
      </c>
      <c r="Q180" s="162" t="s">
        <v>1757</v>
      </c>
      <c r="R180" s="162">
        <v>57093.451193149274</v>
      </c>
      <c r="S180" s="162" t="str">
        <f t="shared" si="57"/>
        <v>INF</v>
      </c>
      <c r="T180" s="162">
        <f t="shared" si="3"/>
        <v>1453.085011</v>
      </c>
      <c r="U180" s="164" t="str">
        <f t="shared" si="58"/>
        <v>N/A</v>
      </c>
      <c r="V180" s="163">
        <f t="shared" si="59"/>
        <v>1.305578312</v>
      </c>
    </row>
    <row r="181" ht="37.5" customHeight="1">
      <c r="A181" s="117" t="s">
        <v>763</v>
      </c>
      <c r="B181" s="117" t="s">
        <v>1771</v>
      </c>
      <c r="C181" s="117" t="s">
        <v>1793</v>
      </c>
      <c r="D181" s="167"/>
      <c r="E181" s="111">
        <v>24.0</v>
      </c>
      <c r="F181" s="117" t="s">
        <v>2089</v>
      </c>
      <c r="G181" s="157" t="s">
        <v>1915</v>
      </c>
      <c r="H181" s="118">
        <v>1.189</v>
      </c>
      <c r="I181" s="159">
        <f>0.817+H181*(E181-5)+2.067*4</f>
        <v>31.676</v>
      </c>
      <c r="J181" s="160">
        <v>832.4</v>
      </c>
      <c r="K181" s="118"/>
      <c r="L181" s="118">
        <v>1.22</v>
      </c>
      <c r="M181" s="158">
        <v>1.25</v>
      </c>
      <c r="N181" s="118">
        <v>1.3</v>
      </c>
      <c r="O181" s="158">
        <v>1.15</v>
      </c>
      <c r="P181" s="161">
        <f t="shared" si="43"/>
        <v>1897.76795</v>
      </c>
      <c r="Q181" s="162"/>
      <c r="R181" s="162"/>
      <c r="S181" s="162">
        <f t="shared" si="57"/>
        <v>45546.4308</v>
      </c>
      <c r="T181" s="162">
        <f t="shared" si="3"/>
        <v>1437.884544</v>
      </c>
      <c r="U181" s="164" t="str">
        <f t="shared" si="58"/>
        <v>N/A</v>
      </c>
      <c r="V181" s="163" t="str">
        <f t="shared" si="59"/>
        <v>N/A</v>
      </c>
    </row>
    <row r="182" ht="37.5" customHeight="1">
      <c r="A182" s="50" t="s">
        <v>2513</v>
      </c>
      <c r="B182" s="50" t="s">
        <v>1859</v>
      </c>
      <c r="C182" s="50" t="s">
        <v>1752</v>
      </c>
      <c r="D182" s="167"/>
      <c r="E182" s="49" t="s">
        <v>1757</v>
      </c>
      <c r="F182" s="50"/>
      <c r="G182" s="165" t="s">
        <v>582</v>
      </c>
      <c r="H182" s="158">
        <v>1.017</v>
      </c>
      <c r="I182" s="159" t="s">
        <v>582</v>
      </c>
      <c r="J182" s="160">
        <f>211.384+3*139.557</f>
        <v>630.055</v>
      </c>
      <c r="K182" s="118"/>
      <c r="L182" s="118">
        <v>1.22</v>
      </c>
      <c r="M182" s="158">
        <v>1.25</v>
      </c>
      <c r="N182" s="118">
        <v>1.3</v>
      </c>
      <c r="O182" s="158">
        <v>1.15</v>
      </c>
      <c r="P182" s="161">
        <f t="shared" si="43"/>
        <v>1436.446643</v>
      </c>
      <c r="Q182" s="162" t="s">
        <v>1757</v>
      </c>
      <c r="R182" s="162">
        <v>64667.2425515122</v>
      </c>
      <c r="S182" s="162" t="str">
        <f t="shared" si="57"/>
        <v>INF</v>
      </c>
      <c r="T182" s="162">
        <f t="shared" si="3"/>
        <v>1412.435244</v>
      </c>
      <c r="U182" s="164" t="str">
        <f t="shared" si="58"/>
        <v>N/A</v>
      </c>
      <c r="V182" s="163">
        <f t="shared" si="59"/>
        <v>1.120424</v>
      </c>
    </row>
    <row r="183" ht="37.5" customHeight="1">
      <c r="A183" s="50" t="s">
        <v>2514</v>
      </c>
      <c r="B183" s="117" t="s">
        <v>1771</v>
      </c>
      <c r="C183" s="117" t="s">
        <v>2010</v>
      </c>
      <c r="D183" s="167"/>
      <c r="E183" s="111">
        <v>44.0</v>
      </c>
      <c r="F183" s="117" t="s">
        <v>2092</v>
      </c>
      <c r="G183" s="165" t="s">
        <v>2053</v>
      </c>
      <c r="H183" s="118">
        <v>0.616</v>
      </c>
      <c r="I183" s="159">
        <f>H183*(E183-4)+0.817*3</f>
        <v>27.091</v>
      </c>
      <c r="J183" s="160">
        <v>282.831</v>
      </c>
      <c r="K183" s="158">
        <f>(2*15+1*29)/44</f>
        <v>1.340909091</v>
      </c>
      <c r="L183" s="118">
        <v>1.22</v>
      </c>
      <c r="M183" s="158">
        <v>1.25</v>
      </c>
      <c r="N183" s="118">
        <v>1.3</v>
      </c>
      <c r="O183" s="158">
        <v>1.15</v>
      </c>
      <c r="P183" s="161">
        <f t="shared" si="43"/>
        <v>864.6440964</v>
      </c>
      <c r="Q183" s="162">
        <v>2214682.4699999993</v>
      </c>
      <c r="R183" s="162">
        <v>65268.256218318966</v>
      </c>
      <c r="S183" s="162">
        <f t="shared" si="57"/>
        <v>38044.34024</v>
      </c>
      <c r="T183" s="162">
        <f t="shared" si="3"/>
        <v>1404.316572</v>
      </c>
      <c r="U183" s="164">
        <f t="shared" si="58"/>
        <v>0.8812046679</v>
      </c>
      <c r="V183" s="163">
        <f t="shared" si="59"/>
        <v>1.103725842</v>
      </c>
    </row>
    <row r="184" ht="37.5" customHeight="1">
      <c r="A184" s="50" t="s">
        <v>2515</v>
      </c>
      <c r="B184" s="117" t="s">
        <v>1771</v>
      </c>
      <c r="C184" s="117" t="s">
        <v>1988</v>
      </c>
      <c r="D184" s="167"/>
      <c r="E184" s="111">
        <v>34.0</v>
      </c>
      <c r="F184" s="117" t="s">
        <v>2094</v>
      </c>
      <c r="G184" s="157" t="s">
        <v>2095</v>
      </c>
      <c r="H184" s="118">
        <v>1.0</v>
      </c>
      <c r="I184" s="159">
        <f>H184*(E184-7)+1.183*6</f>
        <v>34.098</v>
      </c>
      <c r="J184" s="160">
        <v>527.351</v>
      </c>
      <c r="K184" s="158">
        <v>1.15</v>
      </c>
      <c r="L184" s="118">
        <v>1.22</v>
      </c>
      <c r="M184" s="158">
        <v>1.25</v>
      </c>
      <c r="N184" s="118">
        <v>1.3</v>
      </c>
      <c r="O184" s="158">
        <v>1.15</v>
      </c>
      <c r="P184" s="161">
        <f t="shared" si="43"/>
        <v>1382.638515</v>
      </c>
      <c r="Q184" s="162"/>
      <c r="R184" s="162"/>
      <c r="S184" s="162">
        <f t="shared" si="57"/>
        <v>47009.70952</v>
      </c>
      <c r="T184" s="162">
        <f t="shared" si="3"/>
        <v>1378.664717</v>
      </c>
      <c r="U184" s="164" t="str">
        <f t="shared" si="58"/>
        <v>N/A</v>
      </c>
      <c r="V184" s="163" t="str">
        <f t="shared" si="59"/>
        <v>N/A</v>
      </c>
    </row>
    <row r="185" ht="37.5" customHeight="1">
      <c r="A185" s="50" t="s">
        <v>936</v>
      </c>
      <c r="B185" s="117" t="s">
        <v>1751</v>
      </c>
      <c r="C185" s="117" t="s">
        <v>1898</v>
      </c>
      <c r="D185" s="167"/>
      <c r="E185" s="111">
        <v>440.0</v>
      </c>
      <c r="F185" s="117" t="s">
        <v>2096</v>
      </c>
      <c r="G185" s="157" t="s">
        <v>2097</v>
      </c>
      <c r="H185" s="118">
        <v>0.067</v>
      </c>
      <c r="I185" s="159">
        <f>H185*(E185-3)+4.25*2</f>
        <v>37.779</v>
      </c>
      <c r="J185" s="160">
        <v>53.427</v>
      </c>
      <c r="K185" s="118"/>
      <c r="L185" s="118">
        <v>1.22</v>
      </c>
      <c r="M185" s="158">
        <v>1.25</v>
      </c>
      <c r="N185" s="118">
        <v>1.3</v>
      </c>
      <c r="O185" s="158">
        <v>1.1</v>
      </c>
      <c r="P185" s="161">
        <f t="shared" si="43"/>
        <v>116.5109303</v>
      </c>
      <c r="Q185" s="162">
        <v>4251799.421662026</v>
      </c>
      <c r="R185" s="162">
        <v>96296.95426498824</v>
      </c>
      <c r="S185" s="162">
        <f t="shared" si="57"/>
        <v>51264.80931</v>
      </c>
      <c r="T185" s="162">
        <f t="shared" si="3"/>
        <v>1356.965756</v>
      </c>
      <c r="U185" s="164">
        <f t="shared" si="58"/>
        <v>0.6185072259</v>
      </c>
      <c r="V185" s="163">
        <f t="shared" si="59"/>
        <v>0.7228605719</v>
      </c>
    </row>
    <row r="186" ht="37.5" customHeight="1">
      <c r="A186" s="50" t="s">
        <v>2516</v>
      </c>
      <c r="B186" s="117" t="s">
        <v>1771</v>
      </c>
      <c r="C186" s="117" t="s">
        <v>2010</v>
      </c>
      <c r="D186" s="167"/>
      <c r="E186" s="111">
        <v>44.0</v>
      </c>
      <c r="F186" s="117" t="s">
        <v>2092</v>
      </c>
      <c r="G186" s="157" t="s">
        <v>2053</v>
      </c>
      <c r="H186" s="118">
        <v>0.616</v>
      </c>
      <c r="I186" s="159">
        <f>H186*(E186-4)+0.817*3</f>
        <v>27.091</v>
      </c>
      <c r="J186" s="160">
        <v>282.831</v>
      </c>
      <c r="K186" s="118">
        <f>(1.3*41+1*3)/44</f>
        <v>1.279545455</v>
      </c>
      <c r="L186" s="118">
        <v>1.22</v>
      </c>
      <c r="M186" s="158">
        <v>1.25</v>
      </c>
      <c r="N186" s="118">
        <v>1.3</v>
      </c>
      <c r="O186" s="158">
        <v>1.15</v>
      </c>
      <c r="P186" s="161">
        <f t="shared" si="43"/>
        <v>825.0756377</v>
      </c>
      <c r="Q186" s="162">
        <v>1719974.1779999994</v>
      </c>
      <c r="R186" s="162">
        <v>53888.96757214022</v>
      </c>
      <c r="S186" s="162">
        <f t="shared" si="57"/>
        <v>36303.32806</v>
      </c>
      <c r="T186" s="162">
        <f t="shared" si="3"/>
        <v>1340.051237</v>
      </c>
      <c r="U186" s="164">
        <f t="shared" si="58"/>
        <v>1.08273634</v>
      </c>
      <c r="V186" s="163">
        <f t="shared" si="59"/>
        <v>1.275615362</v>
      </c>
    </row>
    <row r="187" ht="37.5" customHeight="1">
      <c r="A187" s="50" t="s">
        <v>2517</v>
      </c>
      <c r="B187" s="50" t="s">
        <v>1859</v>
      </c>
      <c r="C187" s="50" t="s">
        <v>2045</v>
      </c>
      <c r="D187" s="167"/>
      <c r="E187" s="49" t="s">
        <v>1757</v>
      </c>
      <c r="F187" s="50"/>
      <c r="G187" s="165" t="s">
        <v>582</v>
      </c>
      <c r="H187" s="118">
        <v>5.383</v>
      </c>
      <c r="I187" s="159" t="s">
        <v>582</v>
      </c>
      <c r="J187" s="160">
        <f>196.464
*15+216.15</f>
        <v>3163.11</v>
      </c>
      <c r="K187" s="118"/>
      <c r="L187" s="118">
        <v>1.22</v>
      </c>
      <c r="M187" s="158">
        <v>1.25</v>
      </c>
      <c r="N187" s="118">
        <v>1.3</v>
      </c>
      <c r="O187" s="158">
        <v>1.15</v>
      </c>
      <c r="P187" s="161">
        <f t="shared" si="43"/>
        <v>7211.495411</v>
      </c>
      <c r="Q187" s="162"/>
      <c r="R187" s="162"/>
      <c r="S187" s="162" t="str">
        <f t="shared" si="57"/>
        <v>INF</v>
      </c>
      <c r="T187" s="162">
        <f t="shared" si="3"/>
        <v>1339.679623</v>
      </c>
      <c r="U187" s="164" t="str">
        <f t="shared" si="58"/>
        <v>N/A</v>
      </c>
      <c r="V187" s="163" t="str">
        <f t="shared" si="59"/>
        <v>N/A</v>
      </c>
    </row>
    <row r="188" ht="37.5" customHeight="1">
      <c r="A188" s="50" t="s">
        <v>2518</v>
      </c>
      <c r="B188" s="117" t="s">
        <v>1859</v>
      </c>
      <c r="C188" s="117" t="s">
        <v>1103</v>
      </c>
      <c r="D188" s="167"/>
      <c r="E188" s="49" t="s">
        <v>1757</v>
      </c>
      <c r="F188" s="50"/>
      <c r="G188" s="157" t="s">
        <v>2003</v>
      </c>
      <c r="H188" s="118">
        <v>3.233</v>
      </c>
      <c r="I188" s="159" t="s">
        <v>582</v>
      </c>
      <c r="J188" s="168">
        <f>53.424*35</f>
        <v>1869.84</v>
      </c>
      <c r="K188" s="118"/>
      <c r="L188" s="118">
        <v>1.22</v>
      </c>
      <c r="M188" s="158">
        <v>1.25</v>
      </c>
      <c r="N188" s="118">
        <v>1.3</v>
      </c>
      <c r="O188" s="158">
        <v>1.15</v>
      </c>
      <c r="P188" s="161">
        <f t="shared" si="43"/>
        <v>4263.00147</v>
      </c>
      <c r="Q188" s="162"/>
      <c r="R188" s="162"/>
      <c r="S188" s="162" t="str">
        <f t="shared" si="57"/>
        <v>INF</v>
      </c>
      <c r="T188" s="162">
        <f t="shared" si="3"/>
        <v>1318.59</v>
      </c>
      <c r="U188" s="164" t="str">
        <f t="shared" si="58"/>
        <v>N/A</v>
      </c>
      <c r="V188" s="163" t="str">
        <f t="shared" si="59"/>
        <v>N/A</v>
      </c>
    </row>
    <row r="189" ht="37.5" customHeight="1">
      <c r="A189" s="50" t="s">
        <v>2519</v>
      </c>
      <c r="B189" s="117" t="s">
        <v>1771</v>
      </c>
      <c r="C189" s="117" t="s">
        <v>1988</v>
      </c>
      <c r="D189" s="167"/>
      <c r="E189" s="111">
        <v>33.0</v>
      </c>
      <c r="F189" s="117" t="s">
        <v>2077</v>
      </c>
      <c r="G189" s="157" t="s">
        <v>2103</v>
      </c>
      <c r="H189" s="118">
        <v>0.91</v>
      </c>
      <c r="I189" s="159">
        <f>H189*(E189-6)+1.183*5</f>
        <v>30.485</v>
      </c>
      <c r="J189" s="160">
        <v>459.477</v>
      </c>
      <c r="K189" s="158">
        <v>1.15</v>
      </c>
      <c r="L189" s="118">
        <v>1.22</v>
      </c>
      <c r="M189" s="158">
        <v>1.25</v>
      </c>
      <c r="N189" s="118">
        <v>1.3</v>
      </c>
      <c r="O189" s="158">
        <v>1.15</v>
      </c>
      <c r="P189" s="161">
        <f t="shared" si="43"/>
        <v>1204.682644</v>
      </c>
      <c r="Q189" s="162"/>
      <c r="R189" s="162"/>
      <c r="S189" s="162">
        <f t="shared" si="57"/>
        <v>39754.52726</v>
      </c>
      <c r="T189" s="162">
        <f t="shared" si="3"/>
        <v>1304.068468</v>
      </c>
      <c r="U189" s="164" t="str">
        <f t="shared" si="58"/>
        <v>N/A</v>
      </c>
      <c r="V189" s="163" t="str">
        <f t="shared" si="59"/>
        <v>N/A</v>
      </c>
    </row>
    <row r="190" ht="37.5" customHeight="1">
      <c r="A190" s="117" t="s">
        <v>533</v>
      </c>
      <c r="B190" s="117" t="s">
        <v>1859</v>
      </c>
      <c r="C190" s="117" t="s">
        <v>1863</v>
      </c>
      <c r="D190" s="156"/>
      <c r="E190" s="111" t="s">
        <v>1757</v>
      </c>
      <c r="F190" s="50"/>
      <c r="G190" s="165" t="s">
        <v>582</v>
      </c>
      <c r="H190" s="158">
        <v>1.517</v>
      </c>
      <c r="I190" s="186" t="s">
        <v>582</v>
      </c>
      <c r="J190" s="168">
        <v>867.028</v>
      </c>
      <c r="K190" s="118"/>
      <c r="L190" s="158">
        <v>1.22</v>
      </c>
      <c r="M190" s="158">
        <v>1.25</v>
      </c>
      <c r="N190" s="158">
        <v>1.3</v>
      </c>
      <c r="O190" s="158">
        <v>1.15</v>
      </c>
      <c r="P190" s="161">
        <f t="shared" si="43"/>
        <v>1976.715462</v>
      </c>
      <c r="Q190" s="162" t="s">
        <v>1757</v>
      </c>
      <c r="R190" s="162">
        <v>61751.88243336981</v>
      </c>
      <c r="S190" s="162" t="str">
        <f t="shared" si="57"/>
        <v>INF</v>
      </c>
      <c r="T190" s="162">
        <f t="shared" si="3"/>
        <v>1303.042493</v>
      </c>
      <c r="U190" s="164" t="str">
        <f t="shared" si="58"/>
        <v>N/A</v>
      </c>
      <c r="V190" s="163">
        <f t="shared" si="59"/>
        <v>1.082446841</v>
      </c>
    </row>
    <row r="191" ht="37.5" customHeight="1">
      <c r="A191" s="169" t="s">
        <v>2520</v>
      </c>
      <c r="B191" s="169" t="s">
        <v>2118</v>
      </c>
      <c r="C191" s="169" t="s">
        <v>1805</v>
      </c>
      <c r="D191" s="182"/>
      <c r="E191" s="130">
        <v>29.0</v>
      </c>
      <c r="F191" s="169"/>
      <c r="G191" s="183" t="s">
        <v>1982</v>
      </c>
      <c r="H191" s="175">
        <f>10.05+5</f>
        <v>15.05</v>
      </c>
      <c r="I191" s="173">
        <f>H191*15</f>
        <v>225.75</v>
      </c>
      <c r="J191" s="184">
        <f>2091.813*2*1.5+2091.813*2*0.0852</f>
        <v>6631.883935</v>
      </c>
      <c r="K191" s="175">
        <v>1.3</v>
      </c>
      <c r="L191" s="175">
        <v>1.22</v>
      </c>
      <c r="M191" s="172">
        <v>1.25</v>
      </c>
      <c r="N191" s="175">
        <v>1.3</v>
      </c>
      <c r="O191" s="172">
        <v>1.1</v>
      </c>
      <c r="P191" s="176">
        <f t="shared" si="43"/>
        <v>18801.22516</v>
      </c>
      <c r="Q191" s="177">
        <v>6175880.73905574</v>
      </c>
      <c r="R191" s="177">
        <v>45519.66640173753</v>
      </c>
      <c r="S191" s="177">
        <f>IFERROR(P191*E191/2,"INF")</f>
        <v>272617.7648</v>
      </c>
      <c r="T191" s="177">
        <f t="shared" si="3"/>
        <v>1207.609146</v>
      </c>
      <c r="U191" s="178">
        <f t="shared" si="58"/>
        <v>2.264401594</v>
      </c>
      <c r="V191" s="179">
        <f t="shared" si="59"/>
        <v>1.360897835</v>
      </c>
    </row>
    <row r="192" ht="37.5" customHeight="1">
      <c r="A192" s="117" t="s">
        <v>2521</v>
      </c>
      <c r="B192" s="50" t="s">
        <v>1859</v>
      </c>
      <c r="C192" s="50" t="s">
        <v>1879</v>
      </c>
      <c r="D192" s="167"/>
      <c r="E192" s="49" t="s">
        <v>1757</v>
      </c>
      <c r="F192" s="50"/>
      <c r="G192" s="165" t="s">
        <v>582</v>
      </c>
      <c r="H192" s="118">
        <v>10.4</v>
      </c>
      <c r="I192" s="159" t="s">
        <v>582</v>
      </c>
      <c r="J192" s="168">
        <f>54.483*100</f>
        <v>5448.3</v>
      </c>
      <c r="K192" s="118"/>
      <c r="L192" s="118">
        <v>1.22</v>
      </c>
      <c r="M192" s="158">
        <v>1.25</v>
      </c>
      <c r="N192" s="118">
        <v>1.3</v>
      </c>
      <c r="O192" s="158">
        <v>1.15</v>
      </c>
      <c r="P192" s="161">
        <f t="shared" si="43"/>
        <v>12421.44296</v>
      </c>
      <c r="Q192" s="162"/>
      <c r="R192" s="162"/>
      <c r="S192" s="162" t="str">
        <f t="shared" ref="S192:S204" si="60">IFERROR(P192*E192,"INF")</f>
        <v>INF</v>
      </c>
      <c r="T192" s="162">
        <f t="shared" si="3"/>
        <v>1194.369516</v>
      </c>
      <c r="U192" s="164" t="str">
        <f t="shared" si="58"/>
        <v>N/A</v>
      </c>
      <c r="V192" s="163" t="str">
        <f t="shared" si="59"/>
        <v>N/A</v>
      </c>
    </row>
    <row r="193" ht="37.5" customHeight="1">
      <c r="A193" s="50" t="s">
        <v>2522</v>
      </c>
      <c r="B193" s="50" t="s">
        <v>1859</v>
      </c>
      <c r="C193" s="50" t="s">
        <v>1834</v>
      </c>
      <c r="D193" s="167"/>
      <c r="E193" s="49" t="s">
        <v>1757</v>
      </c>
      <c r="F193" s="50"/>
      <c r="G193" s="165" t="s">
        <v>582</v>
      </c>
      <c r="H193" s="158">
        <v>15.517</v>
      </c>
      <c r="I193" s="159" t="s">
        <v>582</v>
      </c>
      <c r="J193" s="160">
        <f>305.639*26</f>
        <v>7946.614</v>
      </c>
      <c r="K193" s="118"/>
      <c r="L193" s="118">
        <v>1.22</v>
      </c>
      <c r="M193" s="158">
        <v>1.25</v>
      </c>
      <c r="N193" s="118">
        <v>1.3</v>
      </c>
      <c r="O193" s="158">
        <v>1.15</v>
      </c>
      <c r="P193" s="161">
        <f t="shared" si="43"/>
        <v>18117.28659</v>
      </c>
      <c r="Q193" s="162" t="s">
        <v>1757</v>
      </c>
      <c r="R193" s="162">
        <v>59410.23443062794</v>
      </c>
      <c r="S193" s="162" t="str">
        <f t="shared" si="60"/>
        <v>INF</v>
      </c>
      <c r="T193" s="162">
        <f t="shared" si="3"/>
        <v>1167.576632</v>
      </c>
      <c r="U193" s="164" t="str">
        <f t="shared" si="58"/>
        <v>N/A</v>
      </c>
      <c r="V193" s="163">
        <f t="shared" si="59"/>
        <v>1.008143439</v>
      </c>
    </row>
    <row r="194" ht="37.5" customHeight="1">
      <c r="A194" s="117" t="s">
        <v>2523</v>
      </c>
      <c r="B194" s="50" t="s">
        <v>1859</v>
      </c>
      <c r="C194" s="50" t="s">
        <v>1752</v>
      </c>
      <c r="D194" s="156"/>
      <c r="E194" s="111" t="s">
        <v>1757</v>
      </c>
      <c r="F194" s="50"/>
      <c r="G194" s="165" t="s">
        <v>582</v>
      </c>
      <c r="H194" s="158">
        <v>1.067</v>
      </c>
      <c r="I194" s="159" t="s">
        <v>582</v>
      </c>
      <c r="J194" s="160">
        <f>203.556+99.823*2</f>
        <v>403.202</v>
      </c>
      <c r="K194" s="158">
        <v>1.35</v>
      </c>
      <c r="L194" s="118">
        <v>1.22</v>
      </c>
      <c r="M194" s="158">
        <v>1.25</v>
      </c>
      <c r="N194" s="118">
        <v>1.3</v>
      </c>
      <c r="O194" s="158">
        <v>1.15</v>
      </c>
      <c r="P194" s="161">
        <f t="shared" si="43"/>
        <v>1240.987716</v>
      </c>
      <c r="Q194" s="162"/>
      <c r="R194" s="162"/>
      <c r="S194" s="162" t="str">
        <f t="shared" si="60"/>
        <v>INF</v>
      </c>
      <c r="T194" s="162">
        <f t="shared" si="3"/>
        <v>1163.062526</v>
      </c>
      <c r="U194" s="164" t="str">
        <f t="shared" si="58"/>
        <v>N/A</v>
      </c>
      <c r="V194" s="163" t="str">
        <f t="shared" si="59"/>
        <v>N/A</v>
      </c>
    </row>
    <row r="195" ht="37.5" customHeight="1">
      <c r="A195" s="117" t="s">
        <v>780</v>
      </c>
      <c r="B195" s="117" t="s">
        <v>1859</v>
      </c>
      <c r="C195" s="117" t="s">
        <v>1793</v>
      </c>
      <c r="D195" s="167"/>
      <c r="E195" s="111" t="s">
        <v>1757</v>
      </c>
      <c r="F195" s="50"/>
      <c r="G195" s="165" t="s">
        <v>582</v>
      </c>
      <c r="H195" s="158">
        <v>6.367</v>
      </c>
      <c r="I195" s="186" t="s">
        <v>582</v>
      </c>
      <c r="J195" s="160">
        <f>96.973*33</f>
        <v>3200.109</v>
      </c>
      <c r="K195" s="166"/>
      <c r="L195" s="118">
        <v>1.22</v>
      </c>
      <c r="M195" s="158">
        <v>1.25</v>
      </c>
      <c r="N195" s="118">
        <v>1.3</v>
      </c>
      <c r="O195" s="158">
        <v>1.15</v>
      </c>
      <c r="P195" s="161">
        <f t="shared" si="43"/>
        <v>7295.848506</v>
      </c>
      <c r="Q195" s="162"/>
      <c r="R195" s="162"/>
      <c r="S195" s="162" t="str">
        <f t="shared" si="60"/>
        <v>INF</v>
      </c>
      <c r="T195" s="162">
        <f t="shared" si="3"/>
        <v>1145.884798</v>
      </c>
      <c r="U195" s="164" t="str">
        <f t="shared" si="58"/>
        <v>N/A</v>
      </c>
      <c r="V195" s="163" t="str">
        <f t="shared" si="59"/>
        <v>N/A</v>
      </c>
    </row>
    <row r="196" ht="37.5" customHeight="1">
      <c r="A196" s="50" t="s">
        <v>2524</v>
      </c>
      <c r="B196" s="117" t="s">
        <v>1859</v>
      </c>
      <c r="C196" s="117" t="s">
        <v>1103</v>
      </c>
      <c r="D196" s="167"/>
      <c r="E196" s="49" t="s">
        <v>1757</v>
      </c>
      <c r="F196" s="50"/>
      <c r="G196" s="165" t="s">
        <v>2003</v>
      </c>
      <c r="H196" s="118">
        <v>4.083</v>
      </c>
      <c r="I196" s="159" t="s">
        <v>582</v>
      </c>
      <c r="J196" s="168">
        <f>57.559*35</f>
        <v>2014.565</v>
      </c>
      <c r="K196" s="118"/>
      <c r="L196" s="118">
        <v>1.22</v>
      </c>
      <c r="M196" s="158">
        <v>1.25</v>
      </c>
      <c r="N196" s="118">
        <v>1.3</v>
      </c>
      <c r="O196" s="158">
        <v>1.15</v>
      </c>
      <c r="P196" s="161">
        <f t="shared" si="43"/>
        <v>4592.956379</v>
      </c>
      <c r="Q196" s="162"/>
      <c r="R196" s="162"/>
      <c r="S196" s="162" t="str">
        <f t="shared" si="60"/>
        <v>INF</v>
      </c>
      <c r="T196" s="162">
        <f t="shared" si="3"/>
        <v>1124.897472</v>
      </c>
      <c r="U196" s="164" t="str">
        <f t="shared" si="58"/>
        <v>N/A</v>
      </c>
      <c r="V196" s="163" t="str">
        <f t="shared" si="59"/>
        <v>N/A</v>
      </c>
    </row>
    <row r="197" ht="37.5" customHeight="1">
      <c r="A197" s="50" t="s">
        <v>2525</v>
      </c>
      <c r="B197" s="117" t="s">
        <v>1859</v>
      </c>
      <c r="C197" s="117" t="s">
        <v>2010</v>
      </c>
      <c r="D197" s="167"/>
      <c r="E197" s="111" t="s">
        <v>1757</v>
      </c>
      <c r="F197" s="50"/>
      <c r="G197" s="157" t="s">
        <v>1881</v>
      </c>
      <c r="H197" s="158">
        <v>3.35</v>
      </c>
      <c r="I197" s="186" t="s">
        <v>582</v>
      </c>
      <c r="J197" s="168">
        <f>74.768*25</f>
        <v>1869.2</v>
      </c>
      <c r="K197" s="118"/>
      <c r="L197" s="118">
        <v>1.22</v>
      </c>
      <c r="M197" s="158">
        <v>1.25</v>
      </c>
      <c r="N197" s="118">
        <v>1.3</v>
      </c>
      <c r="O197" s="118"/>
      <c r="P197" s="161">
        <f t="shared" si="43"/>
        <v>3705.689</v>
      </c>
      <c r="Q197" s="190" t="s">
        <v>1757</v>
      </c>
      <c r="R197" s="190">
        <v>56710.82882463059</v>
      </c>
      <c r="S197" s="162" t="str">
        <f t="shared" si="60"/>
        <v>INF</v>
      </c>
      <c r="T197" s="162">
        <f t="shared" si="3"/>
        <v>1106.175821</v>
      </c>
      <c r="U197" s="164" t="str">
        <f t="shared" si="58"/>
        <v>N/A</v>
      </c>
      <c r="V197" s="163">
        <f t="shared" si="59"/>
        <v>1.000590481</v>
      </c>
    </row>
    <row r="198" ht="37.5" customHeight="1">
      <c r="A198" s="50" t="s">
        <v>2526</v>
      </c>
      <c r="B198" s="117" t="s">
        <v>1771</v>
      </c>
      <c r="C198" s="117" t="s">
        <v>1863</v>
      </c>
      <c r="D198" s="167"/>
      <c r="E198" s="111">
        <v>20.0</v>
      </c>
      <c r="F198" s="50"/>
      <c r="G198" s="165" t="s">
        <v>1753</v>
      </c>
      <c r="H198" s="118">
        <v>1.5</v>
      </c>
      <c r="I198" s="159">
        <f>H198*(E198-1)</f>
        <v>28.5</v>
      </c>
      <c r="J198" s="160">
        <v>599.069</v>
      </c>
      <c r="K198" s="118">
        <v>1.15</v>
      </c>
      <c r="L198" s="118">
        <v>1.22</v>
      </c>
      <c r="M198" s="158">
        <v>1.25</v>
      </c>
      <c r="N198" s="118">
        <v>1.3</v>
      </c>
      <c r="O198" s="158">
        <v>1.15</v>
      </c>
      <c r="P198" s="161">
        <f t="shared" si="43"/>
        <v>1570.672802</v>
      </c>
      <c r="Q198" s="162">
        <v>1710999.2259896502</v>
      </c>
      <c r="R198" s="162">
        <v>47527.75627749028</v>
      </c>
      <c r="S198" s="162">
        <f t="shared" si="60"/>
        <v>31413.45604</v>
      </c>
      <c r="T198" s="162">
        <f t="shared" si="3"/>
        <v>1102.226528</v>
      </c>
      <c r="U198" s="164">
        <f t="shared" si="58"/>
        <v>0.9418117537</v>
      </c>
      <c r="V198" s="163">
        <f t="shared" si="59"/>
        <v>1.189656952</v>
      </c>
    </row>
    <row r="199" ht="37.5" customHeight="1">
      <c r="A199" s="50" t="s">
        <v>1118</v>
      </c>
      <c r="B199" s="50" t="s">
        <v>1859</v>
      </c>
      <c r="C199" s="50" t="s">
        <v>1103</v>
      </c>
      <c r="D199" s="167"/>
      <c r="E199" s="49" t="s">
        <v>1757</v>
      </c>
      <c r="F199" s="50"/>
      <c r="G199" s="165" t="s">
        <v>582</v>
      </c>
      <c r="H199" s="118">
        <v>3.95</v>
      </c>
      <c r="I199" s="159" t="s">
        <v>582</v>
      </c>
      <c r="J199" s="160">
        <f>62.789*30</f>
        <v>1883.67</v>
      </c>
      <c r="K199" s="118"/>
      <c r="L199" s="118">
        <v>1.22</v>
      </c>
      <c r="M199" s="158">
        <v>1.25</v>
      </c>
      <c r="N199" s="118">
        <v>1.3</v>
      </c>
      <c r="O199" s="158">
        <v>1.15</v>
      </c>
      <c r="P199" s="161">
        <f t="shared" si="43"/>
        <v>4294.532141</v>
      </c>
      <c r="Q199" s="162" t="s">
        <v>1757</v>
      </c>
      <c r="R199" s="162">
        <v>46856.205418052574</v>
      </c>
      <c r="S199" s="162" t="str">
        <f t="shared" si="60"/>
        <v>INF</v>
      </c>
      <c r="T199" s="162">
        <f t="shared" si="3"/>
        <v>1087.223327</v>
      </c>
      <c r="U199" s="164" t="str">
        <f t="shared" si="58"/>
        <v>N/A</v>
      </c>
      <c r="V199" s="163">
        <f t="shared" si="59"/>
        <v>1.190281947</v>
      </c>
    </row>
    <row r="200" ht="37.5" customHeight="1">
      <c r="A200" s="117" t="s">
        <v>2527</v>
      </c>
      <c r="B200" s="117" t="s">
        <v>1859</v>
      </c>
      <c r="C200" s="117" t="s">
        <v>2111</v>
      </c>
      <c r="D200" s="167"/>
      <c r="E200" s="49" t="s">
        <v>1757</v>
      </c>
      <c r="F200" s="50"/>
      <c r="G200" s="165" t="s">
        <v>582</v>
      </c>
      <c r="H200" s="158">
        <v>5.1</v>
      </c>
      <c r="I200" s="159" t="s">
        <v>582</v>
      </c>
      <c r="J200" s="168">
        <f>91.67*8+1682.538</f>
        <v>2415.898</v>
      </c>
      <c r="K200" s="166"/>
      <c r="L200" s="158">
        <v>1.22</v>
      </c>
      <c r="M200" s="158">
        <v>1.25</v>
      </c>
      <c r="N200" s="118">
        <v>1.3</v>
      </c>
      <c r="O200" s="158">
        <v>1.15</v>
      </c>
      <c r="P200" s="161">
        <f t="shared" si="43"/>
        <v>5507.945453</v>
      </c>
      <c r="Q200" s="162"/>
      <c r="R200" s="162"/>
      <c r="S200" s="162" t="str">
        <f t="shared" si="60"/>
        <v>INF</v>
      </c>
      <c r="T200" s="162">
        <f t="shared" si="3"/>
        <v>1079.989304</v>
      </c>
      <c r="U200" s="164" t="str">
        <f t="shared" si="58"/>
        <v>N/A</v>
      </c>
      <c r="V200" s="163" t="str">
        <f t="shared" si="59"/>
        <v>N/A</v>
      </c>
    </row>
    <row r="201" ht="37.5" customHeight="1">
      <c r="A201" s="50" t="s">
        <v>931</v>
      </c>
      <c r="B201" s="117" t="s">
        <v>1751</v>
      </c>
      <c r="C201" s="117" t="s">
        <v>1898</v>
      </c>
      <c r="D201" s="167"/>
      <c r="E201" s="111">
        <v>376.0</v>
      </c>
      <c r="F201" s="117" t="s">
        <v>2112</v>
      </c>
      <c r="G201" s="157" t="s">
        <v>2113</v>
      </c>
      <c r="H201" s="118">
        <v>0.167</v>
      </c>
      <c r="I201" s="159">
        <f>H201*(E201-8)+2.783*7</f>
        <v>80.937</v>
      </c>
      <c r="J201" s="160">
        <v>106.136</v>
      </c>
      <c r="K201" s="118"/>
      <c r="L201" s="118">
        <v>1.22</v>
      </c>
      <c r="M201" s="158">
        <v>1.25</v>
      </c>
      <c r="N201" s="118">
        <v>1.3</v>
      </c>
      <c r="O201" s="158">
        <v>1.1</v>
      </c>
      <c r="P201" s="161">
        <f t="shared" si="43"/>
        <v>231.456082</v>
      </c>
      <c r="Q201" s="162">
        <v>6260004.777970501</v>
      </c>
      <c r="R201" s="162">
        <v>79417.49692949484</v>
      </c>
      <c r="S201" s="162">
        <f t="shared" si="60"/>
        <v>87027.48683</v>
      </c>
      <c r="T201" s="162">
        <f t="shared" si="3"/>
        <v>1075.249723</v>
      </c>
      <c r="U201" s="164">
        <f t="shared" si="58"/>
        <v>0.7131485074</v>
      </c>
      <c r="V201" s="163">
        <f t="shared" si="59"/>
        <v>0.6945305354</v>
      </c>
    </row>
    <row r="202" ht="37.5" customHeight="1">
      <c r="A202" s="117" t="s">
        <v>2528</v>
      </c>
      <c r="B202" s="50" t="s">
        <v>1859</v>
      </c>
      <c r="C202" s="50" t="s">
        <v>2045</v>
      </c>
      <c r="D202" s="167"/>
      <c r="E202" s="49" t="s">
        <v>1757</v>
      </c>
      <c r="F202" s="50"/>
      <c r="G202" s="165" t="s">
        <v>582</v>
      </c>
      <c r="H202" s="158">
        <v>0.4</v>
      </c>
      <c r="I202" s="159" t="s">
        <v>582</v>
      </c>
      <c r="J202" s="160">
        <v>182.803</v>
      </c>
      <c r="K202" s="118"/>
      <c r="L202" s="118">
        <v>1.22</v>
      </c>
      <c r="M202" s="158">
        <v>1.25</v>
      </c>
      <c r="N202" s="118">
        <v>1.3</v>
      </c>
      <c r="O202" s="158">
        <v>1.15</v>
      </c>
      <c r="P202" s="161">
        <f t="shared" si="43"/>
        <v>416.7679896</v>
      </c>
      <c r="Q202" s="162"/>
      <c r="R202" s="162"/>
      <c r="S202" s="162" t="str">
        <f t="shared" si="60"/>
        <v>INF</v>
      </c>
      <c r="T202" s="162">
        <f t="shared" si="3"/>
        <v>1041.919974</v>
      </c>
      <c r="U202" s="164" t="str">
        <f t="shared" si="58"/>
        <v>N/A</v>
      </c>
      <c r="V202" s="163" t="str">
        <f t="shared" si="59"/>
        <v>N/A</v>
      </c>
    </row>
    <row r="203" ht="37.5" customHeight="1">
      <c r="A203" s="50" t="s">
        <v>2529</v>
      </c>
      <c r="B203" s="117" t="s">
        <v>1859</v>
      </c>
      <c r="C203" s="117" t="s">
        <v>1879</v>
      </c>
      <c r="D203" s="167"/>
      <c r="E203" s="49" t="s">
        <v>1757</v>
      </c>
      <c r="F203" s="50"/>
      <c r="G203" s="165" t="s">
        <v>582</v>
      </c>
      <c r="H203" s="118">
        <v>6.167</v>
      </c>
      <c r="I203" s="159" t="s">
        <v>582</v>
      </c>
      <c r="J203" s="160">
        <f>88.157*31</f>
        <v>2732.867</v>
      </c>
      <c r="K203" s="118"/>
      <c r="L203" s="118">
        <v>1.22</v>
      </c>
      <c r="M203" s="158">
        <v>1.25</v>
      </c>
      <c r="N203" s="118">
        <v>1.3</v>
      </c>
      <c r="O203" s="158">
        <v>1.15</v>
      </c>
      <c r="P203" s="161">
        <f t="shared" si="43"/>
        <v>6230.595152</v>
      </c>
      <c r="Q203" s="162"/>
      <c r="R203" s="162"/>
      <c r="S203" s="162" t="str">
        <f t="shared" si="60"/>
        <v>INF</v>
      </c>
      <c r="T203" s="162">
        <f t="shared" si="3"/>
        <v>1010.31217</v>
      </c>
      <c r="U203" s="164" t="str">
        <f t="shared" si="58"/>
        <v>N/A</v>
      </c>
      <c r="V203" s="163" t="str">
        <f t="shared" si="59"/>
        <v>N/A</v>
      </c>
    </row>
    <row r="204" ht="37.5" customHeight="1">
      <c r="A204" s="117" t="s">
        <v>2530</v>
      </c>
      <c r="B204" s="50" t="s">
        <v>1859</v>
      </c>
      <c r="C204" s="50" t="s">
        <v>2045</v>
      </c>
      <c r="D204" s="167"/>
      <c r="E204" s="49" t="s">
        <v>1757</v>
      </c>
      <c r="F204" s="50"/>
      <c r="G204" s="165" t="s">
        <v>582</v>
      </c>
      <c r="H204" s="158">
        <v>7.667</v>
      </c>
      <c r="I204" s="159" t="s">
        <v>582</v>
      </c>
      <c r="J204" s="160">
        <f>107.138*16*1.937</f>
        <v>3320.420896</v>
      </c>
      <c r="K204" s="118"/>
      <c r="L204" s="118">
        <v>1.22</v>
      </c>
      <c r="M204" s="158">
        <v>1.25</v>
      </c>
      <c r="N204" s="118">
        <v>1.3</v>
      </c>
      <c r="O204" s="158">
        <v>1.15</v>
      </c>
      <c r="P204" s="161">
        <f t="shared" si="43"/>
        <v>7570.14459</v>
      </c>
      <c r="Q204" s="162"/>
      <c r="R204" s="162"/>
      <c r="S204" s="162" t="str">
        <f t="shared" si="60"/>
        <v>INF</v>
      </c>
      <c r="T204" s="162">
        <f t="shared" si="3"/>
        <v>987.3672349</v>
      </c>
      <c r="U204" s="164" t="str">
        <f t="shared" si="58"/>
        <v>N/A</v>
      </c>
      <c r="V204" s="163" t="str">
        <f t="shared" si="59"/>
        <v>N/A</v>
      </c>
    </row>
    <row r="205" ht="37.5" customHeight="1">
      <c r="A205" s="117" t="s">
        <v>2531</v>
      </c>
      <c r="B205" s="117" t="s">
        <v>2118</v>
      </c>
      <c r="C205" s="117" t="s">
        <v>1841</v>
      </c>
      <c r="D205" s="167"/>
      <c r="E205" s="111">
        <v>21.0</v>
      </c>
      <c r="F205" s="50"/>
      <c r="G205" s="157" t="s">
        <v>1791</v>
      </c>
      <c r="H205" s="158">
        <v>1.692</v>
      </c>
      <c r="I205" s="159">
        <f>H205*7*14</f>
        <v>165.816</v>
      </c>
      <c r="J205" s="168">
        <v>588.893</v>
      </c>
      <c r="K205" s="158">
        <v>1.3</v>
      </c>
      <c r="L205" s="118">
        <v>1.22</v>
      </c>
      <c r="M205" s="158">
        <v>1.25</v>
      </c>
      <c r="N205" s="118">
        <v>1.3</v>
      </c>
      <c r="O205" s="158">
        <v>1.1</v>
      </c>
      <c r="P205" s="161">
        <f t="shared" si="43"/>
        <v>1669.496933</v>
      </c>
      <c r="Q205" s="162">
        <v>9696542.31</v>
      </c>
      <c r="R205" s="162">
        <v>45482.674349881796</v>
      </c>
      <c r="S205" s="162">
        <f>IFERROR(P205*7*14,"INF")</f>
        <v>163610.6994</v>
      </c>
      <c r="T205" s="162">
        <f t="shared" si="3"/>
        <v>986.7003148</v>
      </c>
      <c r="U205" s="164">
        <f t="shared" si="58"/>
        <v>0.8655516815</v>
      </c>
      <c r="V205" s="163">
        <f t="shared" si="59"/>
        <v>1.112852162</v>
      </c>
    </row>
    <row r="206" ht="37.5" customHeight="1">
      <c r="A206" s="169" t="s">
        <v>2532</v>
      </c>
      <c r="B206" s="170" t="s">
        <v>1771</v>
      </c>
      <c r="C206" s="170" t="s">
        <v>1942</v>
      </c>
      <c r="D206" s="182"/>
      <c r="E206" s="130">
        <v>470.0</v>
      </c>
      <c r="F206" s="170" t="s">
        <v>2077</v>
      </c>
      <c r="G206" s="171" t="s">
        <v>2129</v>
      </c>
      <c r="H206" s="175">
        <v>0.067</v>
      </c>
      <c r="I206" s="173">
        <f>H206*(E206-3)+1.083*2</f>
        <v>33.455</v>
      </c>
      <c r="J206" s="184">
        <v>25.029</v>
      </c>
      <c r="K206" s="175">
        <v>1.2295</v>
      </c>
      <c r="L206" s="175">
        <v>1.22</v>
      </c>
      <c r="M206" s="172">
        <v>1.25</v>
      </c>
      <c r="N206" s="175">
        <v>1.3</v>
      </c>
      <c r="O206" s="172">
        <v>1.15</v>
      </c>
      <c r="P206" s="176">
        <f t="shared" si="43"/>
        <v>70.1589479</v>
      </c>
      <c r="Q206" s="177">
        <v>1283025.2619401412</v>
      </c>
      <c r="R206" s="177">
        <v>34138.447221885996</v>
      </c>
      <c r="S206" s="177">
        <f t="shared" ref="S206:S214" si="61">IFERROR(P206*E206,"INF")</f>
        <v>32974.70551</v>
      </c>
      <c r="T206" s="177">
        <f t="shared" si="3"/>
        <v>985.6435663</v>
      </c>
      <c r="U206" s="178">
        <f t="shared" si="58"/>
        <v>1.318390055</v>
      </c>
      <c r="V206" s="179">
        <f t="shared" si="59"/>
        <v>1.481065713</v>
      </c>
    </row>
    <row r="207" ht="37.5" customHeight="1">
      <c r="A207" s="50" t="s">
        <v>2533</v>
      </c>
      <c r="B207" s="117" t="s">
        <v>1859</v>
      </c>
      <c r="C207" s="117" t="s">
        <v>1103</v>
      </c>
      <c r="D207" s="167"/>
      <c r="E207" s="49" t="s">
        <v>1757</v>
      </c>
      <c r="F207" s="50"/>
      <c r="G207" s="157" t="s">
        <v>582</v>
      </c>
      <c r="H207" s="118">
        <v>0.067</v>
      </c>
      <c r="I207" s="159" t="s">
        <v>582</v>
      </c>
      <c r="J207" s="168">
        <v>28.369</v>
      </c>
      <c r="K207" s="118"/>
      <c r="L207" s="118">
        <v>1.22</v>
      </c>
      <c r="M207" s="158">
        <v>1.25</v>
      </c>
      <c r="N207" s="118">
        <v>1.3</v>
      </c>
      <c r="O207" s="158">
        <v>1.15</v>
      </c>
      <c r="P207" s="161">
        <f t="shared" si="43"/>
        <v>64.67777388</v>
      </c>
      <c r="Q207" s="162"/>
      <c r="R207" s="162"/>
      <c r="S207" s="162" t="str">
        <f t="shared" si="61"/>
        <v>INF</v>
      </c>
      <c r="T207" s="162">
        <f t="shared" si="3"/>
        <v>965.3399086</v>
      </c>
      <c r="U207" s="164" t="str">
        <f t="shared" si="58"/>
        <v>N/A</v>
      </c>
      <c r="V207" s="163" t="str">
        <f t="shared" si="59"/>
        <v>N/A</v>
      </c>
    </row>
    <row r="208" ht="37.5" customHeight="1">
      <c r="A208" s="50" t="s">
        <v>2534</v>
      </c>
      <c r="B208" s="117" t="s">
        <v>1859</v>
      </c>
      <c r="C208" s="117" t="s">
        <v>2111</v>
      </c>
      <c r="D208" s="167"/>
      <c r="E208" s="49" t="s">
        <v>1757</v>
      </c>
      <c r="F208" s="50"/>
      <c r="G208" s="165" t="s">
        <v>582</v>
      </c>
      <c r="H208" s="158">
        <v>5.683</v>
      </c>
      <c r="I208" s="159" t="s">
        <v>582</v>
      </c>
      <c r="J208" s="160">
        <f>426.1*6</f>
        <v>2556.6</v>
      </c>
      <c r="K208" s="166"/>
      <c r="L208" s="118">
        <f>(1.1+1.17)/2</f>
        <v>1.135</v>
      </c>
      <c r="M208" s="158">
        <v>1.25</v>
      </c>
      <c r="N208" s="118">
        <v>1.3</v>
      </c>
      <c r="O208" s="158">
        <v>1.15</v>
      </c>
      <c r="P208" s="161">
        <f t="shared" si="43"/>
        <v>5422.628494</v>
      </c>
      <c r="Q208" s="162"/>
      <c r="R208" s="162"/>
      <c r="S208" s="162" t="str">
        <f t="shared" si="61"/>
        <v>INF</v>
      </c>
      <c r="T208" s="162">
        <f t="shared" si="3"/>
        <v>954.1841446</v>
      </c>
      <c r="U208" s="164" t="str">
        <f t="shared" si="58"/>
        <v>N/A</v>
      </c>
      <c r="V208" s="163" t="str">
        <f t="shared" si="59"/>
        <v>N/A</v>
      </c>
    </row>
    <row r="209" ht="37.5" customHeight="1">
      <c r="A209" s="50" t="s">
        <v>2535</v>
      </c>
      <c r="B209" s="117" t="s">
        <v>1771</v>
      </c>
      <c r="C209" s="117" t="s">
        <v>1863</v>
      </c>
      <c r="D209" s="167"/>
      <c r="E209" s="111">
        <v>20.0</v>
      </c>
      <c r="F209" s="50"/>
      <c r="G209" s="165" t="s">
        <v>1753</v>
      </c>
      <c r="H209" s="158">
        <v>1.5</v>
      </c>
      <c r="I209" s="159">
        <f>H209*(E209-1)</f>
        <v>28.5</v>
      </c>
      <c r="J209" s="160">
        <v>439.061</v>
      </c>
      <c r="K209" s="158">
        <v>1.35</v>
      </c>
      <c r="L209" s="118">
        <v>1.22</v>
      </c>
      <c r="M209" s="158">
        <v>1.25</v>
      </c>
      <c r="N209" s="118">
        <v>1.3</v>
      </c>
      <c r="O209" s="158">
        <v>1.15</v>
      </c>
      <c r="P209" s="161">
        <f t="shared" si="43"/>
        <v>1351.355666</v>
      </c>
      <c r="Q209" s="162">
        <v>1451394.492483472</v>
      </c>
      <c r="R209" s="162">
        <v>42272.80516349601</v>
      </c>
      <c r="S209" s="162">
        <f t="shared" si="61"/>
        <v>27027.11333</v>
      </c>
      <c r="T209" s="162">
        <f t="shared" si="3"/>
        <v>948.3197659</v>
      </c>
      <c r="U209" s="164">
        <f t="shared" si="58"/>
        <v>0.9552397625</v>
      </c>
      <c r="V209" s="163">
        <f t="shared" si="59"/>
        <v>1.150779018</v>
      </c>
    </row>
    <row r="210" ht="37.5" customHeight="1">
      <c r="A210" s="117" t="s">
        <v>1021</v>
      </c>
      <c r="B210" s="50" t="s">
        <v>1859</v>
      </c>
      <c r="C210" s="50" t="s">
        <v>2045</v>
      </c>
      <c r="D210" s="167"/>
      <c r="E210" s="49" t="s">
        <v>1757</v>
      </c>
      <c r="F210" s="50"/>
      <c r="G210" s="165" t="s">
        <v>582</v>
      </c>
      <c r="H210" s="158">
        <v>0.4</v>
      </c>
      <c r="I210" s="159" t="s">
        <v>582</v>
      </c>
      <c r="J210" s="160">
        <v>162.82</v>
      </c>
      <c r="K210" s="118"/>
      <c r="L210" s="118">
        <v>1.22</v>
      </c>
      <c r="M210" s="158">
        <v>1.25</v>
      </c>
      <c r="N210" s="118">
        <v>1.3</v>
      </c>
      <c r="O210" s="158">
        <v>1.15</v>
      </c>
      <c r="P210" s="161">
        <f t="shared" si="43"/>
        <v>371.2092475</v>
      </c>
      <c r="Q210" s="162"/>
      <c r="R210" s="162"/>
      <c r="S210" s="162" t="str">
        <f t="shared" si="61"/>
        <v>INF</v>
      </c>
      <c r="T210" s="162">
        <f t="shared" si="3"/>
        <v>928.0231188</v>
      </c>
      <c r="U210" s="164" t="str">
        <f t="shared" si="58"/>
        <v>N/A</v>
      </c>
      <c r="V210" s="163" t="str">
        <f t="shared" si="59"/>
        <v>N/A</v>
      </c>
    </row>
    <row r="211" ht="37.5" customHeight="1">
      <c r="A211" s="50" t="s">
        <v>2536</v>
      </c>
      <c r="B211" s="50" t="s">
        <v>1859</v>
      </c>
      <c r="C211" s="50" t="s">
        <v>1752</v>
      </c>
      <c r="D211" s="167"/>
      <c r="E211" s="49" t="s">
        <v>1757</v>
      </c>
      <c r="F211" s="50"/>
      <c r="G211" s="165" t="s">
        <v>582</v>
      </c>
      <c r="H211" s="158">
        <v>1.25</v>
      </c>
      <c r="I211" s="159" t="s">
        <v>582</v>
      </c>
      <c r="J211" s="160">
        <f>207.6+99.823*3</f>
        <v>507.069</v>
      </c>
      <c r="K211" s="118"/>
      <c r="L211" s="118">
        <v>1.22</v>
      </c>
      <c r="M211" s="158">
        <v>1.25</v>
      </c>
      <c r="N211" s="118">
        <v>1.3</v>
      </c>
      <c r="O211" s="158">
        <v>1.15</v>
      </c>
      <c r="P211" s="161">
        <f t="shared" si="43"/>
        <v>1156.053936</v>
      </c>
      <c r="Q211" s="162"/>
      <c r="R211" s="162"/>
      <c r="S211" s="162" t="str">
        <f t="shared" si="61"/>
        <v>INF</v>
      </c>
      <c r="T211" s="162">
        <f t="shared" si="3"/>
        <v>924.8431491</v>
      </c>
      <c r="U211" s="164" t="str">
        <f t="shared" si="58"/>
        <v>N/A</v>
      </c>
      <c r="V211" s="163" t="str">
        <f t="shared" si="59"/>
        <v>N/A</v>
      </c>
    </row>
    <row r="212" ht="37.5" customHeight="1">
      <c r="A212" s="117" t="s">
        <v>2537</v>
      </c>
      <c r="B212" s="50" t="s">
        <v>1859</v>
      </c>
      <c r="C212" s="50" t="s">
        <v>2045</v>
      </c>
      <c r="D212" s="167"/>
      <c r="E212" s="49" t="s">
        <v>1757</v>
      </c>
      <c r="F212" s="50"/>
      <c r="G212" s="165" t="s">
        <v>582</v>
      </c>
      <c r="H212" s="158">
        <v>9.05</v>
      </c>
      <c r="I212" s="159" t="s">
        <v>582</v>
      </c>
      <c r="J212" s="160">
        <f>417.766*1.27+107.138*15*1.937</f>
        <v>3643.45741</v>
      </c>
      <c r="K212" s="118"/>
      <c r="L212" s="118">
        <v>1.22</v>
      </c>
      <c r="M212" s="158">
        <v>1.25</v>
      </c>
      <c r="N212" s="118">
        <v>1.3</v>
      </c>
      <c r="O212" s="158">
        <v>1.15</v>
      </c>
      <c r="P212" s="161">
        <f t="shared" si="43"/>
        <v>8306.627463</v>
      </c>
      <c r="Q212" s="162"/>
      <c r="R212" s="162"/>
      <c r="S212" s="162" t="str">
        <f t="shared" si="61"/>
        <v>INF</v>
      </c>
      <c r="T212" s="162">
        <f t="shared" si="3"/>
        <v>917.8593881</v>
      </c>
      <c r="U212" s="164" t="str">
        <f t="shared" si="58"/>
        <v>N/A</v>
      </c>
      <c r="V212" s="163" t="str">
        <f t="shared" si="59"/>
        <v>N/A</v>
      </c>
    </row>
    <row r="213" ht="37.5" customHeight="1">
      <c r="A213" s="50" t="s">
        <v>817</v>
      </c>
      <c r="B213" s="117" t="s">
        <v>1859</v>
      </c>
      <c r="C213" s="117" t="s">
        <v>1863</v>
      </c>
      <c r="D213" s="167"/>
      <c r="E213" s="111" t="s">
        <v>1757</v>
      </c>
      <c r="F213" s="50"/>
      <c r="G213" s="165" t="s">
        <v>582</v>
      </c>
      <c r="H213" s="118">
        <v>1.517</v>
      </c>
      <c r="I213" s="186" t="s">
        <v>582</v>
      </c>
      <c r="J213" s="160">
        <v>584.62</v>
      </c>
      <c r="K213" s="158"/>
      <c r="L213" s="118">
        <v>1.22</v>
      </c>
      <c r="M213" s="158">
        <v>1.25</v>
      </c>
      <c r="N213" s="118">
        <v>1.3</v>
      </c>
      <c r="O213" s="158">
        <v>1.15</v>
      </c>
      <c r="P213" s="161">
        <f t="shared" si="43"/>
        <v>1332.860523</v>
      </c>
      <c r="Q213" s="162"/>
      <c r="R213" s="162"/>
      <c r="S213" s="162" t="str">
        <f t="shared" si="61"/>
        <v>INF</v>
      </c>
      <c r="T213" s="162">
        <f t="shared" si="3"/>
        <v>878.6160333</v>
      </c>
      <c r="U213" s="164" t="str">
        <f t="shared" si="58"/>
        <v>N/A</v>
      </c>
      <c r="V213" s="163" t="str">
        <f t="shared" si="59"/>
        <v>N/A</v>
      </c>
    </row>
    <row r="214" ht="37.5" customHeight="1">
      <c r="A214" s="117" t="s">
        <v>701</v>
      </c>
      <c r="B214" s="50" t="s">
        <v>1859</v>
      </c>
      <c r="C214" s="50" t="s">
        <v>1879</v>
      </c>
      <c r="D214" s="167"/>
      <c r="E214" s="49" t="s">
        <v>1757</v>
      </c>
      <c r="F214" s="50"/>
      <c r="G214" s="165" t="s">
        <v>582</v>
      </c>
      <c r="H214" s="118">
        <v>12.65</v>
      </c>
      <c r="I214" s="159" t="s">
        <v>582</v>
      </c>
      <c r="J214" s="168">
        <f>31.133*150</f>
        <v>4669.95</v>
      </c>
      <c r="K214" s="118"/>
      <c r="L214" s="118">
        <v>1.22</v>
      </c>
      <c r="M214" s="158">
        <v>1.25</v>
      </c>
      <c r="N214" s="118">
        <v>1.3</v>
      </c>
      <c r="O214" s="158">
        <v>1.15</v>
      </c>
      <c r="P214" s="161">
        <f t="shared" si="43"/>
        <v>10646.90226</v>
      </c>
      <c r="Q214" s="162"/>
      <c r="R214" s="162"/>
      <c r="S214" s="162" t="str">
        <f t="shared" si="61"/>
        <v>INF</v>
      </c>
      <c r="T214" s="162">
        <f t="shared" si="3"/>
        <v>841.6523523</v>
      </c>
      <c r="U214" s="164" t="str">
        <f t="shared" si="58"/>
        <v>N/A</v>
      </c>
      <c r="V214" s="163" t="str">
        <f t="shared" si="59"/>
        <v>N/A</v>
      </c>
    </row>
    <row r="215" ht="37.5" customHeight="1">
      <c r="A215" s="117" t="s">
        <v>2538</v>
      </c>
      <c r="B215" s="117" t="s">
        <v>1859</v>
      </c>
      <c r="C215" s="117" t="s">
        <v>1942</v>
      </c>
      <c r="D215" s="167"/>
      <c r="E215" s="111" t="s">
        <v>1757</v>
      </c>
      <c r="F215" s="117" t="s">
        <v>1953</v>
      </c>
      <c r="G215" s="157" t="s">
        <v>2126</v>
      </c>
      <c r="H215" s="158">
        <v>9.483</v>
      </c>
      <c r="I215" s="186" t="s">
        <v>582</v>
      </c>
      <c r="J215" s="160">
        <f>135.218*25</f>
        <v>3380.45</v>
      </c>
      <c r="K215" s="118"/>
      <c r="L215" s="118">
        <v>1.22</v>
      </c>
      <c r="M215" s="158">
        <v>1.25</v>
      </c>
      <c r="N215" s="118">
        <v>1.3</v>
      </c>
      <c r="O215" s="158">
        <v>1.15</v>
      </c>
      <c r="P215" s="161">
        <f t="shared" si="43"/>
        <v>7707.003444</v>
      </c>
      <c r="Q215" s="162"/>
      <c r="R215" s="162"/>
      <c r="S215" s="162" t="str">
        <f>IFERROR(P215*E215/1.2*(1+0.2*2/3),"INF")</f>
        <v>INF</v>
      </c>
      <c r="T215" s="162">
        <f t="shared" si="3"/>
        <v>812.7178576</v>
      </c>
      <c r="U215" s="164" t="str">
        <f t="shared" si="58"/>
        <v>N/A</v>
      </c>
      <c r="V215" s="163" t="str">
        <f t="shared" si="59"/>
        <v>N/A</v>
      </c>
    </row>
    <row r="216" ht="37.5" customHeight="1">
      <c r="A216" s="117" t="s">
        <v>2539</v>
      </c>
      <c r="B216" s="117" t="s">
        <v>1859</v>
      </c>
      <c r="C216" s="117" t="s">
        <v>2111</v>
      </c>
      <c r="D216" s="167"/>
      <c r="E216" s="49" t="s">
        <v>1757</v>
      </c>
      <c r="F216" s="50"/>
      <c r="G216" s="165" t="s">
        <v>582</v>
      </c>
      <c r="H216" s="158">
        <v>8.217</v>
      </c>
      <c r="I216" s="159" t="s">
        <v>582</v>
      </c>
      <c r="J216" s="168">
        <f>177.838*20</f>
        <v>3556.76</v>
      </c>
      <c r="K216" s="166"/>
      <c r="L216" s="158"/>
      <c r="M216" s="158">
        <v>1.25</v>
      </c>
      <c r="N216" s="118">
        <v>1.3</v>
      </c>
      <c r="O216" s="158">
        <v>1.15</v>
      </c>
      <c r="P216" s="161">
        <f t="shared" si="43"/>
        <v>6646.69525</v>
      </c>
      <c r="Q216" s="162"/>
      <c r="R216" s="162"/>
      <c r="S216" s="162" t="str">
        <f t="shared" ref="S216:S220" si="62">IFERROR(P216*E216,"INF")</f>
        <v>INF</v>
      </c>
      <c r="T216" s="162">
        <f t="shared" si="3"/>
        <v>808.8956128</v>
      </c>
      <c r="U216" s="164" t="str">
        <f t="shared" si="58"/>
        <v>N/A</v>
      </c>
      <c r="V216" s="163" t="str">
        <f t="shared" si="59"/>
        <v>N/A</v>
      </c>
    </row>
    <row r="217" ht="37.5" customHeight="1">
      <c r="A217" s="50" t="s">
        <v>2540</v>
      </c>
      <c r="B217" s="117" t="s">
        <v>2118</v>
      </c>
      <c r="C217" s="117" t="s">
        <v>2131</v>
      </c>
      <c r="D217" s="167"/>
      <c r="E217" s="49" t="s">
        <v>1757</v>
      </c>
      <c r="F217" s="50"/>
      <c r="G217" s="165" t="s">
        <v>582</v>
      </c>
      <c r="H217" s="118">
        <v>1.317</v>
      </c>
      <c r="I217" s="159" t="s">
        <v>582</v>
      </c>
      <c r="J217" s="168">
        <v>615.6</v>
      </c>
      <c r="K217" s="166"/>
      <c r="L217" s="118"/>
      <c r="M217" s="118"/>
      <c r="N217" s="118">
        <v>1.3</v>
      </c>
      <c r="O217" s="118">
        <f>1+0.65*((5444+182*8)/(5444+7090+182*8+103+143))</f>
        <v>1.315046361</v>
      </c>
      <c r="P217" s="161">
        <f t="shared" si="43"/>
        <v>1052.405302</v>
      </c>
      <c r="Q217" s="162"/>
      <c r="R217" s="162"/>
      <c r="S217" s="162" t="str">
        <f t="shared" si="62"/>
        <v>INF</v>
      </c>
      <c r="T217" s="162">
        <f t="shared" si="3"/>
        <v>799.0928641</v>
      </c>
      <c r="U217" s="164" t="str">
        <f t="shared" si="58"/>
        <v>N/A</v>
      </c>
      <c r="V217" s="163" t="str">
        <f t="shared" si="59"/>
        <v>N/A</v>
      </c>
    </row>
    <row r="218" ht="37.5" customHeight="1">
      <c r="A218" s="50" t="s">
        <v>2541</v>
      </c>
      <c r="B218" s="117" t="s">
        <v>1859</v>
      </c>
      <c r="C218" s="117" t="s">
        <v>1879</v>
      </c>
      <c r="D218" s="167"/>
      <c r="E218" s="49" t="s">
        <v>1757</v>
      </c>
      <c r="F218" s="50"/>
      <c r="G218" s="165" t="s">
        <v>582</v>
      </c>
      <c r="H218" s="118">
        <v>7.567</v>
      </c>
      <c r="I218" s="159" t="s">
        <v>582</v>
      </c>
      <c r="J218" s="160">
        <f>27.67*42+475.849*3</f>
        <v>2589.687</v>
      </c>
      <c r="K218" s="118"/>
      <c r="L218" s="118">
        <v>1.22</v>
      </c>
      <c r="M218" s="158">
        <v>1.25</v>
      </c>
      <c r="N218" s="118">
        <v>1.3</v>
      </c>
      <c r="O218" s="158">
        <v>1.15</v>
      </c>
      <c r="P218" s="161">
        <f t="shared" si="43"/>
        <v>5904.162649</v>
      </c>
      <c r="Q218" s="162"/>
      <c r="R218" s="162"/>
      <c r="S218" s="162" t="str">
        <f t="shared" si="62"/>
        <v>INF</v>
      </c>
      <c r="T218" s="162">
        <f t="shared" si="3"/>
        <v>780.2514403</v>
      </c>
      <c r="U218" s="164" t="str">
        <f t="shared" si="58"/>
        <v>N/A</v>
      </c>
      <c r="V218" s="163" t="str">
        <f t="shared" si="59"/>
        <v>N/A</v>
      </c>
    </row>
    <row r="219" ht="37.5" customHeight="1">
      <c r="A219" s="117" t="s">
        <v>2542</v>
      </c>
      <c r="B219" s="117" t="s">
        <v>1859</v>
      </c>
      <c r="C219" s="117" t="s">
        <v>2111</v>
      </c>
      <c r="D219" s="167"/>
      <c r="E219" s="49" t="s">
        <v>1757</v>
      </c>
      <c r="F219" s="50"/>
      <c r="G219" s="165" t="s">
        <v>582</v>
      </c>
      <c r="H219" s="158">
        <v>3.433</v>
      </c>
      <c r="I219" s="159" t="s">
        <v>582</v>
      </c>
      <c r="J219" s="168">
        <f>158.086*8</f>
        <v>1264.688</v>
      </c>
      <c r="K219" s="166"/>
      <c r="L219" s="158"/>
      <c r="M219" s="158">
        <v>1.25</v>
      </c>
      <c r="N219" s="118">
        <v>1.3</v>
      </c>
      <c r="O219" s="158">
        <v>1.15</v>
      </c>
      <c r="P219" s="161">
        <f t="shared" si="43"/>
        <v>2363.3857</v>
      </c>
      <c r="Q219" s="162"/>
      <c r="R219" s="162"/>
      <c r="S219" s="162" t="str">
        <f t="shared" si="62"/>
        <v>INF</v>
      </c>
      <c r="T219" s="162">
        <f t="shared" si="3"/>
        <v>688.431605</v>
      </c>
      <c r="U219" s="164" t="str">
        <f t="shared" si="58"/>
        <v>N/A</v>
      </c>
      <c r="V219" s="163" t="str">
        <f t="shared" si="59"/>
        <v>N/A</v>
      </c>
    </row>
    <row r="220" ht="37.5" customHeight="1">
      <c r="A220" s="117" t="s">
        <v>2543</v>
      </c>
      <c r="B220" s="50" t="s">
        <v>1859</v>
      </c>
      <c r="C220" s="50" t="s">
        <v>1879</v>
      </c>
      <c r="D220" s="167"/>
      <c r="E220" s="49" t="s">
        <v>1757</v>
      </c>
      <c r="F220" s="50"/>
      <c r="G220" s="165" t="s">
        <v>582</v>
      </c>
      <c r="H220" s="118">
        <v>5.167</v>
      </c>
      <c r="I220" s="159" t="s">
        <v>582</v>
      </c>
      <c r="J220" s="160">
        <f>36.032*43</f>
        <v>1549.376</v>
      </c>
      <c r="K220" s="118"/>
      <c r="L220" s="118">
        <v>1.22</v>
      </c>
      <c r="M220" s="158">
        <v>1.25</v>
      </c>
      <c r="N220" s="118">
        <v>1.3</v>
      </c>
      <c r="O220" s="158">
        <v>1.15</v>
      </c>
      <c r="P220" s="161">
        <f t="shared" si="43"/>
        <v>3532.383608</v>
      </c>
      <c r="Q220" s="162"/>
      <c r="R220" s="162"/>
      <c r="S220" s="162" t="str">
        <f t="shared" si="62"/>
        <v>INF</v>
      </c>
      <c r="T220" s="162">
        <f t="shared" si="3"/>
        <v>683.6430439</v>
      </c>
      <c r="U220" s="164" t="str">
        <f t="shared" si="58"/>
        <v>N/A</v>
      </c>
      <c r="V220" s="163" t="str">
        <f t="shared" si="59"/>
        <v>N/A</v>
      </c>
    </row>
    <row r="221" ht="37.5" customHeight="1">
      <c r="A221" s="117" t="s">
        <v>2544</v>
      </c>
      <c r="B221" s="117" t="s">
        <v>1859</v>
      </c>
      <c r="C221" s="117" t="s">
        <v>1942</v>
      </c>
      <c r="D221" s="167"/>
      <c r="E221" s="111" t="s">
        <v>1757</v>
      </c>
      <c r="F221" s="117" t="s">
        <v>1953</v>
      </c>
      <c r="G221" s="157" t="s">
        <v>2126</v>
      </c>
      <c r="H221" s="158">
        <v>6.133</v>
      </c>
      <c r="I221" s="186" t="s">
        <v>582</v>
      </c>
      <c r="J221" s="160">
        <f>23.139*75</f>
        <v>1735.425</v>
      </c>
      <c r="K221" s="118"/>
      <c r="L221" s="118">
        <v>1.22</v>
      </c>
      <c r="M221" s="158">
        <v>1.25</v>
      </c>
      <c r="N221" s="118">
        <v>1.3</v>
      </c>
      <c r="O221" s="158">
        <v>1.15</v>
      </c>
      <c r="P221" s="161">
        <f t="shared" si="43"/>
        <v>3956.552072</v>
      </c>
      <c r="Q221" s="162"/>
      <c r="R221" s="162"/>
      <c r="S221" s="162" t="str">
        <f>IFERROR(P221*E221/1.2*(1+0.2*2/3),"INF")</f>
        <v>INF</v>
      </c>
      <c r="T221" s="162">
        <f t="shared" si="3"/>
        <v>645.1250729</v>
      </c>
      <c r="U221" s="164" t="str">
        <f t="shared" si="58"/>
        <v>N/A</v>
      </c>
      <c r="V221" s="163" t="str">
        <f t="shared" si="59"/>
        <v>N/A</v>
      </c>
    </row>
    <row r="222" ht="37.5" customHeight="1">
      <c r="A222" s="50" t="s">
        <v>2545</v>
      </c>
      <c r="B222" s="50" t="s">
        <v>2118</v>
      </c>
      <c r="C222" s="50" t="s">
        <v>2137</v>
      </c>
      <c r="D222" s="167"/>
      <c r="E222" s="49" t="s">
        <v>1757</v>
      </c>
      <c r="F222" s="50"/>
      <c r="G222" s="165" t="s">
        <v>582</v>
      </c>
      <c r="H222" s="158">
        <v>1.46</v>
      </c>
      <c r="I222" s="159" t="s">
        <v>582</v>
      </c>
      <c r="J222" s="160">
        <v>675.457</v>
      </c>
      <c r="K222" s="166"/>
      <c r="L222" s="118"/>
      <c r="M222" s="118"/>
      <c r="N222" s="118">
        <v>1.3</v>
      </c>
      <c r="O222" s="118"/>
      <c r="P222" s="161">
        <f t="shared" si="43"/>
        <v>878.0941</v>
      </c>
      <c r="Q222" s="162"/>
      <c r="R222" s="162"/>
      <c r="S222" s="162" t="str">
        <f t="shared" ref="S222:S233" si="63">IFERROR(P222*E222,"INF")</f>
        <v>INF</v>
      </c>
      <c r="T222" s="162">
        <f t="shared" si="3"/>
        <v>601.4343151</v>
      </c>
      <c r="U222" s="164" t="str">
        <f t="shared" si="58"/>
        <v>N/A</v>
      </c>
      <c r="V222" s="163" t="str">
        <f t="shared" si="59"/>
        <v>N/A</v>
      </c>
    </row>
    <row r="223" ht="37.5" customHeight="1">
      <c r="A223" s="117" t="s">
        <v>2546</v>
      </c>
      <c r="B223" s="117" t="s">
        <v>2118</v>
      </c>
      <c r="C223" s="117" t="s">
        <v>2131</v>
      </c>
      <c r="D223" s="167"/>
      <c r="E223" s="49" t="s">
        <v>1757</v>
      </c>
      <c r="F223" s="50"/>
      <c r="G223" s="165" t="s">
        <v>582</v>
      </c>
      <c r="H223" s="158">
        <v>1.0</v>
      </c>
      <c r="I223" s="159" t="s">
        <v>582</v>
      </c>
      <c r="J223" s="168">
        <v>277.816</v>
      </c>
      <c r="K223" s="166"/>
      <c r="L223" s="118"/>
      <c r="M223" s="118"/>
      <c r="N223" s="118">
        <v>1.3</v>
      </c>
      <c r="O223" s="118">
        <v>1.65</v>
      </c>
      <c r="P223" s="161">
        <f t="shared" si="43"/>
        <v>595.91532</v>
      </c>
      <c r="Q223" s="162" t="s">
        <v>1757</v>
      </c>
      <c r="R223" s="162">
        <v>12092.6</v>
      </c>
      <c r="S223" s="162" t="str">
        <f t="shared" si="63"/>
        <v>INF</v>
      </c>
      <c r="T223" s="162">
        <f t="shared" si="3"/>
        <v>595.91532</v>
      </c>
      <c r="U223" s="164" t="str">
        <f t="shared" si="58"/>
        <v>N/A</v>
      </c>
      <c r="V223" s="163">
        <f t="shared" si="59"/>
        <v>2.52791847</v>
      </c>
    </row>
    <row r="224" ht="37.5" customHeight="1">
      <c r="A224" s="50" t="s">
        <v>2547</v>
      </c>
      <c r="B224" s="117" t="s">
        <v>1859</v>
      </c>
      <c r="C224" s="117" t="s">
        <v>2045</v>
      </c>
      <c r="D224" s="167"/>
      <c r="E224" s="111" t="s">
        <v>1757</v>
      </c>
      <c r="F224" s="117" t="s">
        <v>1953</v>
      </c>
      <c r="G224" s="157" t="s">
        <v>2140</v>
      </c>
      <c r="H224" s="158">
        <v>5.617</v>
      </c>
      <c r="I224" s="186" t="s">
        <v>582</v>
      </c>
      <c r="J224" s="168">
        <f>91.29*16</f>
        <v>1460.64</v>
      </c>
      <c r="K224" s="158"/>
      <c r="L224" s="118">
        <v>1.22</v>
      </c>
      <c r="M224" s="158">
        <v>1.25</v>
      </c>
      <c r="N224" s="118">
        <v>1.3</v>
      </c>
      <c r="O224" s="158">
        <v>1.15</v>
      </c>
      <c r="P224" s="161">
        <f t="shared" si="43"/>
        <v>3330.07662</v>
      </c>
      <c r="Q224" s="162"/>
      <c r="R224" s="162"/>
      <c r="S224" s="162" t="str">
        <f t="shared" si="63"/>
        <v>INF</v>
      </c>
      <c r="T224" s="162">
        <f t="shared" si="3"/>
        <v>592.8567954</v>
      </c>
      <c r="U224" s="164" t="str">
        <f t="shared" si="58"/>
        <v>N/A</v>
      </c>
      <c r="V224" s="163" t="str">
        <f t="shared" si="59"/>
        <v>N/A</v>
      </c>
    </row>
    <row r="225" ht="37.5" customHeight="1">
      <c r="A225" s="50" t="s">
        <v>2548</v>
      </c>
      <c r="B225" s="117" t="s">
        <v>2118</v>
      </c>
      <c r="C225" s="117" t="s">
        <v>2131</v>
      </c>
      <c r="D225" s="167"/>
      <c r="E225" s="49" t="s">
        <v>1757</v>
      </c>
      <c r="F225" s="50"/>
      <c r="G225" s="165" t="s">
        <v>582</v>
      </c>
      <c r="H225" s="118">
        <v>1.317</v>
      </c>
      <c r="I225" s="159" t="s">
        <v>582</v>
      </c>
      <c r="J225" s="168">
        <v>459.42</v>
      </c>
      <c r="K225" s="166"/>
      <c r="L225" s="118"/>
      <c r="M225" s="118"/>
      <c r="N225" s="118">
        <v>1.3</v>
      </c>
      <c r="O225" s="118">
        <f>1+0.65*(6807/(6807+7090+103*2+181*2))</f>
        <v>1.30587971</v>
      </c>
      <c r="P225" s="161">
        <f t="shared" si="43"/>
        <v>779.9314331</v>
      </c>
      <c r="Q225" s="162" t="s">
        <v>1757</v>
      </c>
      <c r="R225" s="162">
        <v>23513.712533262806</v>
      </c>
      <c r="S225" s="162" t="str">
        <f t="shared" si="63"/>
        <v>INF</v>
      </c>
      <c r="T225" s="162">
        <f t="shared" si="3"/>
        <v>592.2030623</v>
      </c>
      <c r="U225" s="164" t="str">
        <f t="shared" si="58"/>
        <v>N/A</v>
      </c>
      <c r="V225" s="163">
        <f t="shared" si="59"/>
        <v>1.291955766</v>
      </c>
    </row>
    <row r="226" ht="37.5" customHeight="1">
      <c r="A226" s="50" t="s">
        <v>2549</v>
      </c>
      <c r="B226" s="50" t="s">
        <v>2118</v>
      </c>
      <c r="C226" s="50" t="s">
        <v>1863</v>
      </c>
      <c r="D226" s="167"/>
      <c r="E226" s="111">
        <v>20.0</v>
      </c>
      <c r="F226" s="50"/>
      <c r="G226" s="165" t="s">
        <v>1753</v>
      </c>
      <c r="H226" s="118">
        <v>6.0</v>
      </c>
      <c r="I226" s="159">
        <f>H226*E226</f>
        <v>120</v>
      </c>
      <c r="J226" s="160">
        <v>1079.425</v>
      </c>
      <c r="K226" s="158">
        <v>1.35</v>
      </c>
      <c r="L226" s="118">
        <v>1.22</v>
      </c>
      <c r="M226" s="158">
        <v>1.25</v>
      </c>
      <c r="N226" s="118">
        <v>1.3</v>
      </c>
      <c r="O226" s="158">
        <v>1.15</v>
      </c>
      <c r="P226" s="161">
        <f t="shared" si="43"/>
        <v>3322.287997</v>
      </c>
      <c r="Q226" s="162">
        <v>3142541.1942332876</v>
      </c>
      <c r="R226" s="162">
        <v>20950.274628221916</v>
      </c>
      <c r="S226" s="162">
        <f t="shared" si="63"/>
        <v>66445.75994</v>
      </c>
      <c r="T226" s="162">
        <f t="shared" si="3"/>
        <v>553.7146662</v>
      </c>
      <c r="U226" s="164">
        <f t="shared" si="58"/>
        <v>1.084637195</v>
      </c>
      <c r="V226" s="163">
        <f t="shared" si="59"/>
        <v>1.355796494</v>
      </c>
    </row>
    <row r="227" ht="37.5" customHeight="1">
      <c r="A227" s="50" t="s">
        <v>2550</v>
      </c>
      <c r="B227" s="117" t="s">
        <v>2118</v>
      </c>
      <c r="C227" s="117" t="s">
        <v>2131</v>
      </c>
      <c r="D227" s="167"/>
      <c r="E227" s="49" t="s">
        <v>1757</v>
      </c>
      <c r="F227" s="50"/>
      <c r="G227" s="165" t="s">
        <v>582</v>
      </c>
      <c r="H227" s="118">
        <v>1.35</v>
      </c>
      <c r="I227" s="159" t="s">
        <v>582</v>
      </c>
      <c r="J227" s="168">
        <v>272.031</v>
      </c>
      <c r="K227" s="166"/>
      <c r="L227" s="118"/>
      <c r="M227" s="118">
        <v>1.1</v>
      </c>
      <c r="N227" s="118">
        <v>1.3</v>
      </c>
      <c r="O227" s="118">
        <v>1.65</v>
      </c>
      <c r="P227" s="161">
        <f t="shared" si="43"/>
        <v>641.8571445</v>
      </c>
      <c r="Q227" s="162" t="s">
        <v>1757</v>
      </c>
      <c r="R227" s="162">
        <v>14905.588837476804</v>
      </c>
      <c r="S227" s="162" t="str">
        <f t="shared" si="63"/>
        <v>INF</v>
      </c>
      <c r="T227" s="162">
        <f t="shared" si="3"/>
        <v>475.4497367</v>
      </c>
      <c r="U227" s="164" t="str">
        <f t="shared" si="58"/>
        <v>N/A</v>
      </c>
      <c r="V227" s="163">
        <f t="shared" si="59"/>
        <v>1.636265125</v>
      </c>
    </row>
    <row r="228" ht="37.5" customHeight="1">
      <c r="A228" s="50" t="s">
        <v>2551</v>
      </c>
      <c r="B228" s="50" t="s">
        <v>2118</v>
      </c>
      <c r="C228" s="50" t="s">
        <v>1863</v>
      </c>
      <c r="D228" s="167"/>
      <c r="E228" s="111">
        <v>20.0</v>
      </c>
      <c r="F228" s="50"/>
      <c r="G228" s="165" t="s">
        <v>1753</v>
      </c>
      <c r="H228" s="118">
        <v>4.65</v>
      </c>
      <c r="I228" s="159">
        <f t="shared" ref="I228:I229" si="64">H228*E228</f>
        <v>93</v>
      </c>
      <c r="J228" s="160">
        <v>951.485</v>
      </c>
      <c r="K228" s="118"/>
      <c r="L228" s="118">
        <v>1.22</v>
      </c>
      <c r="M228" s="158">
        <v>1.25</v>
      </c>
      <c r="N228" s="118">
        <v>1.3</v>
      </c>
      <c r="O228" s="158">
        <v>1.15</v>
      </c>
      <c r="P228" s="161">
        <f t="shared" si="43"/>
        <v>2169.266864</v>
      </c>
      <c r="Q228" s="162">
        <v>2412941.5289662206</v>
      </c>
      <c r="R228" s="162">
        <v>20756.486270677164</v>
      </c>
      <c r="S228" s="162">
        <f t="shared" si="63"/>
        <v>43385.33729</v>
      </c>
      <c r="T228" s="162">
        <f t="shared" si="3"/>
        <v>466.5090031</v>
      </c>
      <c r="U228" s="164">
        <f t="shared" si="58"/>
        <v>0.922347086</v>
      </c>
      <c r="V228" s="163">
        <f t="shared" si="59"/>
        <v>1.152933858</v>
      </c>
    </row>
    <row r="229" ht="37.5" customHeight="1">
      <c r="A229" s="50" t="s">
        <v>2552</v>
      </c>
      <c r="B229" s="50" t="s">
        <v>2118</v>
      </c>
      <c r="C229" s="50" t="s">
        <v>1863</v>
      </c>
      <c r="D229" s="167"/>
      <c r="E229" s="111">
        <v>20.0</v>
      </c>
      <c r="F229" s="50"/>
      <c r="G229" s="165" t="s">
        <v>1753</v>
      </c>
      <c r="H229" s="118">
        <v>9.783</v>
      </c>
      <c r="I229" s="159">
        <f t="shared" si="64"/>
        <v>195.66</v>
      </c>
      <c r="J229" s="160">
        <v>1948.335</v>
      </c>
      <c r="K229" s="118"/>
      <c r="L229" s="118">
        <v>1.22</v>
      </c>
      <c r="M229" s="158">
        <v>1.25</v>
      </c>
      <c r="N229" s="118">
        <v>1.3</v>
      </c>
      <c r="O229" s="158">
        <v>1.15</v>
      </c>
      <c r="P229" s="161">
        <f t="shared" si="43"/>
        <v>4441.960258</v>
      </c>
      <c r="Q229" s="162">
        <v>4955947.004408523</v>
      </c>
      <c r="R229" s="162">
        <v>20263.506100004186</v>
      </c>
      <c r="S229" s="162">
        <f t="shared" si="63"/>
        <v>88839.20516</v>
      </c>
      <c r="T229" s="162">
        <f t="shared" si="3"/>
        <v>454.0488867</v>
      </c>
      <c r="U229" s="164">
        <f t="shared" si="58"/>
        <v>0.919551825</v>
      </c>
      <c r="V229" s="163">
        <f t="shared" si="59"/>
        <v>1.149439781</v>
      </c>
    </row>
    <row r="230" ht="37.5" customHeight="1">
      <c r="A230" s="50" t="s">
        <v>2553</v>
      </c>
      <c r="B230" s="50" t="s">
        <v>2118</v>
      </c>
      <c r="C230" s="50" t="s">
        <v>2137</v>
      </c>
      <c r="D230" s="167"/>
      <c r="E230" s="49" t="s">
        <v>1757</v>
      </c>
      <c r="F230" s="50"/>
      <c r="G230" s="165" t="s">
        <v>582</v>
      </c>
      <c r="H230" s="158">
        <v>2.15</v>
      </c>
      <c r="I230" s="159" t="s">
        <v>582</v>
      </c>
      <c r="J230" s="168">
        <v>373.698</v>
      </c>
      <c r="K230" s="118"/>
      <c r="L230" s="118"/>
      <c r="M230" s="158"/>
      <c r="N230" s="118">
        <v>1.3</v>
      </c>
      <c r="O230" s="158"/>
      <c r="P230" s="161">
        <f t="shared" si="43"/>
        <v>485.8074</v>
      </c>
      <c r="Q230" s="162"/>
      <c r="R230" s="162"/>
      <c r="S230" s="162" t="str">
        <f t="shared" si="63"/>
        <v>INF</v>
      </c>
      <c r="T230" s="162">
        <f t="shared" si="3"/>
        <v>225.9569302</v>
      </c>
      <c r="U230" s="164" t="str">
        <f t="shared" si="58"/>
        <v>N/A</v>
      </c>
      <c r="V230" s="163" t="str">
        <f t="shared" si="59"/>
        <v>N/A</v>
      </c>
    </row>
    <row r="231" ht="37.5" customHeight="1">
      <c r="A231" s="50" t="s">
        <v>2554</v>
      </c>
      <c r="B231" s="117" t="s">
        <v>2118</v>
      </c>
      <c r="C231" s="117" t="s">
        <v>2131</v>
      </c>
      <c r="D231" s="167"/>
      <c r="E231" s="49" t="s">
        <v>1757</v>
      </c>
      <c r="F231" s="50"/>
      <c r="G231" s="165" t="s">
        <v>582</v>
      </c>
      <c r="H231" s="118">
        <v>1.833</v>
      </c>
      <c r="I231" s="159" t="s">
        <v>582</v>
      </c>
      <c r="J231" s="168">
        <v>163.219</v>
      </c>
      <c r="K231" s="166"/>
      <c r="L231" s="118"/>
      <c r="M231" s="118">
        <v>1.1</v>
      </c>
      <c r="N231" s="118">
        <v>1.3</v>
      </c>
      <c r="O231" s="118">
        <v>1.65</v>
      </c>
      <c r="P231" s="161">
        <f t="shared" si="43"/>
        <v>385.1152305</v>
      </c>
      <c r="Q231" s="162" t="s">
        <v>1757</v>
      </c>
      <c r="R231" s="162">
        <v>6533.487487981047</v>
      </c>
      <c r="S231" s="162" t="str">
        <f t="shared" si="63"/>
        <v>INF</v>
      </c>
      <c r="T231" s="162">
        <f t="shared" si="3"/>
        <v>210.1010532</v>
      </c>
      <c r="U231" s="164" t="str">
        <f t="shared" si="58"/>
        <v>N/A</v>
      </c>
      <c r="V231" s="163">
        <f t="shared" si="59"/>
        <v>1.649610323</v>
      </c>
    </row>
    <row r="232" ht="37.5" customHeight="1">
      <c r="A232" s="50" t="s">
        <v>1440</v>
      </c>
      <c r="B232" s="117" t="s">
        <v>2118</v>
      </c>
      <c r="C232" s="117" t="s">
        <v>2137</v>
      </c>
      <c r="D232" s="156"/>
      <c r="E232" s="49" t="s">
        <v>1757</v>
      </c>
      <c r="F232" s="50"/>
      <c r="G232" s="165" t="s">
        <v>582</v>
      </c>
      <c r="H232" s="118">
        <v>1.0</v>
      </c>
      <c r="I232" s="159" t="s">
        <v>582</v>
      </c>
      <c r="J232" s="160">
        <v>99.094</v>
      </c>
      <c r="K232" s="166"/>
      <c r="L232" s="118"/>
      <c r="M232" s="118"/>
      <c r="N232" s="118">
        <v>1.3</v>
      </c>
      <c r="O232" s="118"/>
      <c r="P232" s="161">
        <f t="shared" si="43"/>
        <v>128.8222</v>
      </c>
      <c r="Q232" s="162" t="s">
        <v>1757</v>
      </c>
      <c r="R232" s="162">
        <v>6611.612670599852</v>
      </c>
      <c r="S232" s="162" t="str">
        <f t="shared" si="63"/>
        <v>INF</v>
      </c>
      <c r="T232" s="162">
        <f t="shared" si="3"/>
        <v>128.8222</v>
      </c>
      <c r="U232" s="164" t="str">
        <f t="shared" si="58"/>
        <v>N/A</v>
      </c>
      <c r="V232" s="163">
        <f t="shared" si="59"/>
        <v>0.9994970311</v>
      </c>
    </row>
    <row r="233" ht="37.5" customHeight="1">
      <c r="A233" s="50" t="s">
        <v>2555</v>
      </c>
      <c r="B233" s="117" t="s">
        <v>2118</v>
      </c>
      <c r="C233" s="117" t="s">
        <v>2137</v>
      </c>
      <c r="D233" s="156"/>
      <c r="E233" s="49" t="s">
        <v>1757</v>
      </c>
      <c r="F233" s="50"/>
      <c r="G233" s="165" t="s">
        <v>582</v>
      </c>
      <c r="H233" s="118">
        <v>1.277</v>
      </c>
      <c r="I233" s="159" t="s">
        <v>582</v>
      </c>
      <c r="J233" s="160">
        <f>38.78*3</f>
        <v>116.34</v>
      </c>
      <c r="K233" s="166"/>
      <c r="L233" s="118"/>
      <c r="M233" s="118"/>
      <c r="N233" s="118">
        <v>1.3</v>
      </c>
      <c r="O233" s="118"/>
      <c r="P233" s="161">
        <f t="shared" si="43"/>
        <v>151.242</v>
      </c>
      <c r="Q233" s="162" t="s">
        <v>1757</v>
      </c>
      <c r="R233" s="162">
        <v>3840.9314342532366</v>
      </c>
      <c r="S233" s="162" t="str">
        <f t="shared" si="63"/>
        <v>INF</v>
      </c>
      <c r="T233" s="162">
        <f t="shared" si="3"/>
        <v>118.4353955</v>
      </c>
      <c r="U233" s="164" t="str">
        <f t="shared" si="58"/>
        <v>N/A</v>
      </c>
      <c r="V233" s="163">
        <f t="shared" si="59"/>
        <v>1.581769365</v>
      </c>
    </row>
  </sheetData>
  <autoFilter ref="$A$1:$V$233">
    <sortState ref="A1:V233">
      <sortCondition descending="1" ref="T1:T233"/>
      <sortCondition ref="C1:C233"/>
      <sortCondition ref="A1:A233"/>
      <sortCondition descending="1" ref="S1:S233"/>
      <sortCondition ref="B1:B233"/>
    </sortState>
  </autoFilter>
  <conditionalFormatting sqref="U2:V233">
    <cfRule type="colorScale" priority="1">
      <colorScale>
        <cfvo type="min"/>
        <cfvo type="formula" val="1"/>
        <cfvo type="max"/>
        <color rgb="FFE67C73"/>
        <color rgb="FFFFFFFF"/>
        <color rgb="FF57BB8A"/>
      </colorScale>
    </cfRule>
  </conditionalFormatting>
  <conditionalFormatting sqref="T2:T233">
    <cfRule type="colorScale" priority="2">
      <colorScale>
        <cfvo type="min"/>
        <cfvo type="percentile" val="50"/>
        <cfvo type="max"/>
        <color rgb="FFE67C73"/>
        <color rgb="FFFFD666"/>
        <color rgb="FF57BB8A"/>
      </colorScale>
    </cfRule>
  </conditionalFormatting>
  <conditionalFormatting sqref="Q2:Q233">
    <cfRule type="colorScale" priority="3">
      <colorScale>
        <cfvo type="min"/>
        <cfvo type="percentile" val="50"/>
        <cfvo type="max"/>
        <color rgb="FFE67C73"/>
        <color rgb="FFFFD666"/>
        <color rgb="FF57BB8A"/>
      </colorScale>
    </cfRule>
  </conditionalFormatting>
  <conditionalFormatting sqref="R2:R233">
    <cfRule type="colorScale" priority="4">
      <colorScale>
        <cfvo type="min"/>
        <cfvo type="percentile" val="50"/>
        <cfvo type="max"/>
        <color rgb="FFE67C73"/>
        <color rgb="FFFFD666"/>
        <color rgb="FF57BB8A"/>
      </colorScale>
    </cfRule>
  </conditionalFormatting>
  <conditionalFormatting sqref="S2:S233">
    <cfRule type="colorScale" priority="5">
      <colorScale>
        <cfvo type="min"/>
        <cfvo type="percentile" val="50"/>
        <cfvo type="max"/>
        <color rgb="FFE67C73"/>
        <color rgb="FFFFD666"/>
        <color rgb="FF57BB8A"/>
      </colorScale>
    </cfRule>
  </conditionalFormatting>
  <conditionalFormatting sqref="U2:U233">
    <cfRule type="colorScale" priority="6">
      <colorScale>
        <cfvo type="min"/>
        <cfvo type="formula" val="1"/>
        <cfvo type="max"/>
        <color rgb="FFE67C73"/>
        <color rgb="FFFFFFFF"/>
        <color rgb="FF57BB8A"/>
      </colorScale>
    </cfRule>
  </conditionalFormatting>
  <conditionalFormatting sqref="A1:T233">
    <cfRule type="containsText" dxfId="4" priority="7" operator="containsText" text="~?">
      <formula>NOT(ISERROR(SEARCH(("~?"),(A1))))</formula>
    </cfRule>
  </conditionalFormatting>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9.25"/>
    <col customWidth="1" min="2" max="2" width="8.0"/>
    <col customWidth="1" min="3" max="3" width="6.38"/>
    <col customWidth="1" min="4" max="4" width="8.13"/>
    <col customWidth="1" min="5" max="5" width="4.38"/>
    <col customWidth="1" min="6" max="10" width="7.63"/>
    <col customWidth="1" min="11" max="11" width="8.63"/>
    <col customWidth="1" min="12" max="18" width="7.63"/>
  </cols>
  <sheetData>
    <row r="1" ht="30.0" customHeight="1">
      <c r="A1" s="153" t="s">
        <v>295</v>
      </c>
      <c r="B1" s="153" t="s">
        <v>636</v>
      </c>
      <c r="C1" s="155" t="s">
        <v>1638</v>
      </c>
      <c r="D1" s="191" t="s">
        <v>1347</v>
      </c>
      <c r="E1" s="192" t="s">
        <v>292</v>
      </c>
      <c r="F1" s="155" t="s">
        <v>1741</v>
      </c>
      <c r="G1" s="155" t="s">
        <v>1742</v>
      </c>
      <c r="H1" s="155" t="s">
        <v>311</v>
      </c>
      <c r="I1" s="155" t="s">
        <v>1743</v>
      </c>
      <c r="J1" s="155">
        <v>200.0</v>
      </c>
      <c r="K1" s="155" t="s">
        <v>1747</v>
      </c>
      <c r="L1" s="193" t="s">
        <v>2156</v>
      </c>
      <c r="M1" s="155" t="s">
        <v>2157</v>
      </c>
      <c r="N1" s="155" t="s">
        <v>2158</v>
      </c>
      <c r="O1" s="155" t="s">
        <v>2556</v>
      </c>
      <c r="P1" s="155" t="s">
        <v>2557</v>
      </c>
      <c r="Q1" s="193" t="s">
        <v>2558</v>
      </c>
      <c r="R1" s="155" t="s">
        <v>2559</v>
      </c>
    </row>
    <row r="2" ht="37.5" customHeight="1">
      <c r="A2" s="50" t="s">
        <v>2560</v>
      </c>
      <c r="B2" s="49" t="s">
        <v>2164</v>
      </c>
      <c r="C2" s="49"/>
      <c r="D2" s="194">
        <f>17288.397/1.2</f>
        <v>14406.9975</v>
      </c>
      <c r="E2" s="195">
        <v>1.0</v>
      </c>
      <c r="F2" s="196"/>
      <c r="G2" s="197"/>
      <c r="H2" s="197">
        <f>1.2*1.1</f>
        <v>1.32</v>
      </c>
      <c r="I2" s="197">
        <v>1.3</v>
      </c>
      <c r="J2" s="197">
        <v>1.45</v>
      </c>
      <c r="K2" s="162">
        <f t="shared" ref="K2:K174" si="1">PRODUCT(D2:J2)</f>
        <v>35847.49118</v>
      </c>
      <c r="L2" s="198" t="s">
        <v>303</v>
      </c>
      <c r="M2" s="158" t="s">
        <v>303</v>
      </c>
      <c r="N2" s="158" t="s">
        <v>303</v>
      </c>
      <c r="O2" s="158">
        <v>0.816</v>
      </c>
      <c r="P2" s="118">
        <f t="shared" ref="P2:P3" si="2">O2</f>
        <v>0.816</v>
      </c>
      <c r="Q2" s="199">
        <f t="shared" ref="Q2:Q174" si="3">K2/O2</f>
        <v>43930.74899</v>
      </c>
      <c r="R2" s="162">
        <f t="shared" ref="R2:R174" si="4">K2/P2</f>
        <v>43930.74899</v>
      </c>
    </row>
    <row r="3" ht="37.5" customHeight="1">
      <c r="A3" s="50" t="s">
        <v>2561</v>
      </c>
      <c r="B3" s="49" t="s">
        <v>852</v>
      </c>
      <c r="C3" s="44"/>
      <c r="D3" s="200">
        <v>7157.662</v>
      </c>
      <c r="E3" s="128">
        <v>1.0</v>
      </c>
      <c r="F3" s="196"/>
      <c r="G3" s="197">
        <v>1.22</v>
      </c>
      <c r="H3" s="197">
        <v>1.25</v>
      </c>
      <c r="I3" s="197">
        <v>1.3</v>
      </c>
      <c r="J3" s="197">
        <v>1.15</v>
      </c>
      <c r="K3" s="162">
        <f t="shared" si="1"/>
        <v>16318.57465</v>
      </c>
      <c r="L3" s="201">
        <v>0.0</v>
      </c>
      <c r="M3" s="118">
        <v>0.0</v>
      </c>
      <c r="N3" s="118">
        <v>0.417</v>
      </c>
      <c r="O3" s="118">
        <f>SUM(L3:N3)</f>
        <v>0.417</v>
      </c>
      <c r="P3" s="118">
        <f t="shared" si="2"/>
        <v>0.417</v>
      </c>
      <c r="Q3" s="199">
        <f t="shared" si="3"/>
        <v>39133.27255</v>
      </c>
      <c r="R3" s="162">
        <f t="shared" si="4"/>
        <v>39133.27255</v>
      </c>
    </row>
    <row r="4" ht="37.5" customHeight="1">
      <c r="A4" s="50" t="s">
        <v>2562</v>
      </c>
      <c r="B4" s="50" t="s">
        <v>1769</v>
      </c>
      <c r="C4" s="156"/>
      <c r="D4" s="200">
        <v>6882.75</v>
      </c>
      <c r="E4" s="128">
        <v>1.0</v>
      </c>
      <c r="F4" s="197">
        <f>1.35</f>
        <v>1.35</v>
      </c>
      <c r="G4" s="197"/>
      <c r="H4" s="196">
        <v>1.73</v>
      </c>
      <c r="I4" s="197">
        <v>1.3</v>
      </c>
      <c r="J4" s="197">
        <v>1.65</v>
      </c>
      <c r="K4" s="162">
        <f t="shared" si="1"/>
        <v>34480.15133</v>
      </c>
      <c r="L4" s="198" t="s">
        <v>303</v>
      </c>
      <c r="M4" s="158" t="s">
        <v>303</v>
      </c>
      <c r="N4" s="158" t="s">
        <v>303</v>
      </c>
      <c r="O4" s="118">
        <v>1.283</v>
      </c>
      <c r="P4" s="118">
        <v>6.283</v>
      </c>
      <c r="Q4" s="199">
        <f t="shared" si="3"/>
        <v>26874.63081</v>
      </c>
      <c r="R4" s="162">
        <f t="shared" si="4"/>
        <v>5487.848373</v>
      </c>
    </row>
    <row r="5" ht="37.5" customHeight="1">
      <c r="A5" s="50" t="s">
        <v>2563</v>
      </c>
      <c r="B5" s="49" t="s">
        <v>852</v>
      </c>
      <c r="C5" s="156"/>
      <c r="D5" s="194">
        <v>5750.584</v>
      </c>
      <c r="E5" s="128">
        <v>1.0</v>
      </c>
      <c r="F5" s="197"/>
      <c r="G5" s="197">
        <f>AVERAGE(1.17,1.1)</f>
        <v>1.135</v>
      </c>
      <c r="H5" s="197">
        <v>1.25</v>
      </c>
      <c r="I5" s="197">
        <v>1.3</v>
      </c>
      <c r="J5" s="197">
        <v>1.1</v>
      </c>
      <c r="K5" s="162">
        <f t="shared" si="1"/>
        <v>11666.8567</v>
      </c>
      <c r="L5" s="201">
        <v>0.2</v>
      </c>
      <c r="M5" s="118">
        <v>0.0</v>
      </c>
      <c r="N5" s="118">
        <v>0.317</v>
      </c>
      <c r="O5" s="118">
        <f t="shared" ref="O5:O7" si="5">SUM(L5:N5)</f>
        <v>0.517</v>
      </c>
      <c r="P5" s="118">
        <f t="shared" ref="P5:P8" si="6">O5</f>
        <v>0.517</v>
      </c>
      <c r="Q5" s="199">
        <f t="shared" si="3"/>
        <v>22566.45397</v>
      </c>
      <c r="R5" s="162">
        <f t="shared" si="4"/>
        <v>22566.45397</v>
      </c>
    </row>
    <row r="6" ht="37.5" customHeight="1">
      <c r="A6" s="50" t="s">
        <v>2564</v>
      </c>
      <c r="B6" s="49" t="s">
        <v>852</v>
      </c>
      <c r="C6" s="167"/>
      <c r="D6" s="194">
        <v>2031.837</v>
      </c>
      <c r="E6" s="128">
        <v>1.0</v>
      </c>
      <c r="F6" s="197">
        <v>3.0</v>
      </c>
      <c r="G6" s="197">
        <v>1.22</v>
      </c>
      <c r="H6" s="197">
        <v>1.25</v>
      </c>
      <c r="I6" s="197">
        <v>1.3</v>
      </c>
      <c r="J6" s="197">
        <v>1.1</v>
      </c>
      <c r="K6" s="162">
        <f t="shared" si="1"/>
        <v>13292.78561</v>
      </c>
      <c r="L6" s="201">
        <v>0.35</v>
      </c>
      <c r="M6" s="118">
        <v>0.0</v>
      </c>
      <c r="N6" s="118">
        <v>0.316</v>
      </c>
      <c r="O6" s="118">
        <f t="shared" si="5"/>
        <v>0.666</v>
      </c>
      <c r="P6" s="118">
        <f t="shared" si="6"/>
        <v>0.666</v>
      </c>
      <c r="Q6" s="199">
        <f t="shared" si="3"/>
        <v>19959.13756</v>
      </c>
      <c r="R6" s="162">
        <f t="shared" si="4"/>
        <v>19959.13756</v>
      </c>
    </row>
    <row r="7" ht="37.5" customHeight="1">
      <c r="A7" s="50" t="s">
        <v>2565</v>
      </c>
      <c r="B7" s="117" t="s">
        <v>2169</v>
      </c>
      <c r="C7" s="156"/>
      <c r="D7" s="194">
        <v>1659.403</v>
      </c>
      <c r="E7" s="128">
        <v>1.0</v>
      </c>
      <c r="F7" s="158">
        <v>1.25</v>
      </c>
      <c r="G7" s="118">
        <v>1.22</v>
      </c>
      <c r="H7" s="158">
        <f>1.25*2.5</f>
        <v>3.125</v>
      </c>
      <c r="I7" s="118">
        <v>1.3</v>
      </c>
      <c r="J7" s="158">
        <v>1.1</v>
      </c>
      <c r="K7" s="162">
        <f t="shared" si="1"/>
        <v>11308.57216</v>
      </c>
      <c r="L7" s="201">
        <v>0.183</v>
      </c>
      <c r="M7" s="118">
        <v>0.0</v>
      </c>
      <c r="N7" s="118">
        <v>0.416</v>
      </c>
      <c r="O7" s="118">
        <f t="shared" si="5"/>
        <v>0.599</v>
      </c>
      <c r="P7" s="118">
        <f t="shared" si="6"/>
        <v>0.599</v>
      </c>
      <c r="Q7" s="199">
        <f t="shared" si="3"/>
        <v>18879.08541</v>
      </c>
      <c r="R7" s="162">
        <f t="shared" si="4"/>
        <v>18879.08541</v>
      </c>
    </row>
    <row r="8" ht="37.5" customHeight="1">
      <c r="A8" s="50" t="s">
        <v>2566</v>
      </c>
      <c r="B8" s="49" t="s">
        <v>2164</v>
      </c>
      <c r="C8" s="156"/>
      <c r="D8" s="194">
        <f>17288.397/1.2</f>
        <v>14406.9975</v>
      </c>
      <c r="E8" s="195">
        <v>1.0</v>
      </c>
      <c r="F8" s="197"/>
      <c r="G8" s="197"/>
      <c r="H8" s="197">
        <f>1.2*1.1</f>
        <v>1.32</v>
      </c>
      <c r="I8" s="197">
        <v>1.3</v>
      </c>
      <c r="J8" s="197">
        <v>1.45</v>
      </c>
      <c r="K8" s="162">
        <f t="shared" si="1"/>
        <v>35847.49118</v>
      </c>
      <c r="L8" s="198" t="s">
        <v>303</v>
      </c>
      <c r="M8" s="158" t="s">
        <v>303</v>
      </c>
      <c r="N8" s="158" t="s">
        <v>303</v>
      </c>
      <c r="O8" s="158">
        <v>1.93</v>
      </c>
      <c r="P8" s="118">
        <f t="shared" si="6"/>
        <v>1.93</v>
      </c>
      <c r="Q8" s="199">
        <f t="shared" si="3"/>
        <v>18573.82963</v>
      </c>
      <c r="R8" s="162">
        <f t="shared" si="4"/>
        <v>18573.82963</v>
      </c>
    </row>
    <row r="9" ht="37.5" customHeight="1">
      <c r="A9" s="50" t="s">
        <v>2567</v>
      </c>
      <c r="B9" s="49" t="s">
        <v>2164</v>
      </c>
      <c r="C9" s="156"/>
      <c r="D9" s="194">
        <v>15987.048</v>
      </c>
      <c r="E9" s="195">
        <v>1.0</v>
      </c>
      <c r="F9" s="197"/>
      <c r="G9" s="197"/>
      <c r="H9" s="197">
        <v>1.1</v>
      </c>
      <c r="I9" s="197">
        <v>1.3</v>
      </c>
      <c r="J9" s="197">
        <v>1.45</v>
      </c>
      <c r="K9" s="162">
        <f t="shared" si="1"/>
        <v>33149.14403</v>
      </c>
      <c r="L9" s="198" t="s">
        <v>303</v>
      </c>
      <c r="M9" s="158" t="s">
        <v>303</v>
      </c>
      <c r="N9" s="158" t="s">
        <v>303</v>
      </c>
      <c r="O9" s="158">
        <v>1.98</v>
      </c>
      <c r="P9" s="158">
        <v>6.25</v>
      </c>
      <c r="Q9" s="199">
        <f t="shared" si="3"/>
        <v>16741.99193</v>
      </c>
      <c r="R9" s="162">
        <f t="shared" si="4"/>
        <v>5303.863044</v>
      </c>
    </row>
    <row r="10" ht="37.5" customHeight="1">
      <c r="A10" s="50" t="s">
        <v>2568</v>
      </c>
      <c r="B10" s="49" t="s">
        <v>2164</v>
      </c>
      <c r="C10" s="156"/>
      <c r="D10" s="200">
        <v>15693.478</v>
      </c>
      <c r="E10" s="128">
        <v>1.0</v>
      </c>
      <c r="F10" s="203"/>
      <c r="G10" s="203"/>
      <c r="H10" s="203"/>
      <c r="I10" s="197">
        <v>1.3</v>
      </c>
      <c r="J10" s="196">
        <v>1.4423</v>
      </c>
      <c r="K10" s="162">
        <f t="shared" si="1"/>
        <v>29425.11432</v>
      </c>
      <c r="L10" s="198" t="s">
        <v>303</v>
      </c>
      <c r="M10" s="158" t="s">
        <v>303</v>
      </c>
      <c r="N10" s="158" t="s">
        <v>303</v>
      </c>
      <c r="O10" s="158">
        <v>1.78</v>
      </c>
      <c r="P10" s="158">
        <v>2.37</v>
      </c>
      <c r="Q10" s="199">
        <f t="shared" si="3"/>
        <v>16530.9631</v>
      </c>
      <c r="R10" s="162">
        <f t="shared" si="4"/>
        <v>12415.66005</v>
      </c>
    </row>
    <row r="11" ht="37.5" customHeight="1">
      <c r="A11" s="50" t="s">
        <v>2569</v>
      </c>
      <c r="B11" s="49" t="s">
        <v>2164</v>
      </c>
      <c r="C11" s="156"/>
      <c r="D11" s="194">
        <v>13932.119</v>
      </c>
      <c r="E11" s="195">
        <v>1.0</v>
      </c>
      <c r="F11" s="197"/>
      <c r="G11" s="197"/>
      <c r="H11" s="197">
        <v>1.1</v>
      </c>
      <c r="I11" s="197">
        <v>1.3</v>
      </c>
      <c r="J11" s="197">
        <v>1.45</v>
      </c>
      <c r="K11" s="162">
        <f t="shared" si="1"/>
        <v>28888.24875</v>
      </c>
      <c r="L11" s="198" t="s">
        <v>303</v>
      </c>
      <c r="M11" s="158" t="s">
        <v>303</v>
      </c>
      <c r="N11" s="158" t="s">
        <v>303</v>
      </c>
      <c r="O11" s="158">
        <v>1.78</v>
      </c>
      <c r="P11" s="158">
        <v>2.37</v>
      </c>
      <c r="Q11" s="199">
        <f t="shared" si="3"/>
        <v>16229.35323</v>
      </c>
      <c r="R11" s="162">
        <f t="shared" si="4"/>
        <v>12189.13449</v>
      </c>
    </row>
    <row r="12" ht="37.5" customHeight="1">
      <c r="A12" s="202" t="s">
        <v>2570</v>
      </c>
      <c r="B12" s="49" t="s">
        <v>2164</v>
      </c>
      <c r="C12" s="49"/>
      <c r="D12" s="194">
        <v>18659.13</v>
      </c>
      <c r="E12" s="128">
        <v>1.0</v>
      </c>
      <c r="F12" s="197"/>
      <c r="G12" s="197"/>
      <c r="H12" s="197"/>
      <c r="I12" s="197">
        <v>1.3</v>
      </c>
      <c r="J12" s="197">
        <v>1.45</v>
      </c>
      <c r="K12" s="162">
        <f t="shared" si="1"/>
        <v>35172.46005</v>
      </c>
      <c r="L12" s="198" t="s">
        <v>303</v>
      </c>
      <c r="M12" s="158" t="s">
        <v>303</v>
      </c>
      <c r="N12" s="158" t="s">
        <v>303</v>
      </c>
      <c r="O12" s="158">
        <v>2.2</v>
      </c>
      <c r="P12" s="118">
        <f t="shared" ref="P12:P13" si="7">O12</f>
        <v>2.2</v>
      </c>
      <c r="Q12" s="199">
        <f t="shared" si="3"/>
        <v>15987.48184</v>
      </c>
      <c r="R12" s="162">
        <f t="shared" si="4"/>
        <v>15987.48184</v>
      </c>
    </row>
    <row r="13" ht="37.5" customHeight="1">
      <c r="A13" s="50" t="s">
        <v>2571</v>
      </c>
      <c r="B13" s="49" t="s">
        <v>852</v>
      </c>
      <c r="C13" s="167"/>
      <c r="D13" s="194">
        <v>3197.353</v>
      </c>
      <c r="E13" s="128">
        <v>1.0</v>
      </c>
      <c r="F13" s="197"/>
      <c r="G13" s="197">
        <v>1.22</v>
      </c>
      <c r="H13" s="197">
        <f>1.25</f>
        <v>1.25</v>
      </c>
      <c r="I13" s="197">
        <v>1.3</v>
      </c>
      <c r="J13" s="197">
        <v>1.15</v>
      </c>
      <c r="K13" s="162">
        <f t="shared" si="1"/>
        <v>7289.565171</v>
      </c>
      <c r="L13" s="201">
        <v>0.216</v>
      </c>
      <c r="M13" s="118">
        <v>0.0</v>
      </c>
      <c r="N13" s="118">
        <v>0.25</v>
      </c>
      <c r="O13" s="118">
        <f>SUM(L13:N13)</f>
        <v>0.466</v>
      </c>
      <c r="P13" s="118">
        <f t="shared" si="7"/>
        <v>0.466</v>
      </c>
      <c r="Q13" s="199">
        <f t="shared" si="3"/>
        <v>15642.84371</v>
      </c>
      <c r="R13" s="162">
        <f t="shared" si="4"/>
        <v>15642.84371</v>
      </c>
    </row>
    <row r="14" ht="37.5" customHeight="1">
      <c r="A14" s="50" t="s">
        <v>2572</v>
      </c>
      <c r="B14" s="49" t="s">
        <v>2164</v>
      </c>
      <c r="C14" s="49"/>
      <c r="D14" s="194">
        <v>13307.0</v>
      </c>
      <c r="E14" s="195">
        <v>1.0</v>
      </c>
      <c r="F14" s="197"/>
      <c r="G14" s="197"/>
      <c r="H14" s="197"/>
      <c r="I14" s="197">
        <v>1.3</v>
      </c>
      <c r="J14" s="197">
        <v>1.45</v>
      </c>
      <c r="K14" s="162">
        <f t="shared" si="1"/>
        <v>25083.695</v>
      </c>
      <c r="L14" s="198" t="s">
        <v>303</v>
      </c>
      <c r="M14" s="158" t="s">
        <v>303</v>
      </c>
      <c r="N14" s="158" t="s">
        <v>303</v>
      </c>
      <c r="O14" s="158">
        <v>1.72</v>
      </c>
      <c r="P14" s="158">
        <v>10.9</v>
      </c>
      <c r="Q14" s="199">
        <f t="shared" si="3"/>
        <v>14583.5436</v>
      </c>
      <c r="R14" s="162">
        <f t="shared" si="4"/>
        <v>2301.256422</v>
      </c>
    </row>
    <row r="15" ht="37.5" customHeight="1">
      <c r="A15" s="50" t="s">
        <v>2573</v>
      </c>
      <c r="B15" s="49" t="s">
        <v>1769</v>
      </c>
      <c r="C15" s="105"/>
      <c r="D15" s="200">
        <v>459.0</v>
      </c>
      <c r="E15" s="128">
        <v>15.0</v>
      </c>
      <c r="F15" s="196"/>
      <c r="G15" s="197"/>
      <c r="H15" s="197"/>
      <c r="I15" s="197">
        <v>1.3</v>
      </c>
      <c r="J15" s="118">
        <v>1.3058797096439683</v>
      </c>
      <c r="K15" s="162">
        <f t="shared" si="1"/>
        <v>11688.27634</v>
      </c>
      <c r="L15" s="198" t="s">
        <v>303</v>
      </c>
      <c r="M15" s="118">
        <v>1.15</v>
      </c>
      <c r="N15" s="158" t="s">
        <v>303</v>
      </c>
      <c r="O15" s="158">
        <v>0.816</v>
      </c>
      <c r="P15" s="118">
        <v>20.0</v>
      </c>
      <c r="Q15" s="199">
        <f t="shared" si="3"/>
        <v>14323.86807</v>
      </c>
      <c r="R15" s="162">
        <f t="shared" si="4"/>
        <v>584.4138171</v>
      </c>
    </row>
    <row r="16" ht="37.5" customHeight="1">
      <c r="A16" s="50" t="s">
        <v>2574</v>
      </c>
      <c r="B16" s="49" t="s">
        <v>2164</v>
      </c>
      <c r="C16" s="49"/>
      <c r="D16" s="194">
        <v>13405.5</v>
      </c>
      <c r="E16" s="195">
        <v>1.0</v>
      </c>
      <c r="F16" s="203"/>
      <c r="G16" s="203"/>
      <c r="H16" s="203"/>
      <c r="I16" s="197">
        <v>1.3</v>
      </c>
      <c r="J16" s="197">
        <v>1.45</v>
      </c>
      <c r="K16" s="162">
        <f t="shared" si="1"/>
        <v>25269.3675</v>
      </c>
      <c r="L16" s="198" t="s">
        <v>303</v>
      </c>
      <c r="M16" s="158" t="s">
        <v>303</v>
      </c>
      <c r="N16" s="158" t="s">
        <v>303</v>
      </c>
      <c r="O16" s="158">
        <v>1.78</v>
      </c>
      <c r="P16" s="158">
        <v>2.37</v>
      </c>
      <c r="Q16" s="199">
        <f t="shared" si="3"/>
        <v>14196.27388</v>
      </c>
      <c r="R16" s="162">
        <f t="shared" si="4"/>
        <v>10662.18038</v>
      </c>
    </row>
    <row r="17" ht="37.5" customHeight="1">
      <c r="A17" s="50" t="s">
        <v>2575</v>
      </c>
      <c r="B17" s="49" t="s">
        <v>2169</v>
      </c>
      <c r="C17" s="44"/>
      <c r="D17" s="200">
        <v>3217.566</v>
      </c>
      <c r="E17" s="128">
        <v>1.0</v>
      </c>
      <c r="F17" s="197"/>
      <c r="G17" s="197">
        <v>1.22</v>
      </c>
      <c r="H17" s="197">
        <f>1.25</f>
        <v>1.25</v>
      </c>
      <c r="I17" s="197">
        <v>1.3</v>
      </c>
      <c r="J17" s="197">
        <v>1.1</v>
      </c>
      <c r="K17" s="162">
        <f t="shared" si="1"/>
        <v>7016.707055</v>
      </c>
      <c r="L17" s="201">
        <v>0.233</v>
      </c>
      <c r="M17" s="118">
        <v>0.0</v>
      </c>
      <c r="N17" s="118">
        <v>0.3</v>
      </c>
      <c r="O17" s="118">
        <f t="shared" ref="O17:O19" si="8">SUM(L17:N17)</f>
        <v>0.533</v>
      </c>
      <c r="P17" s="118">
        <v>7.017</v>
      </c>
      <c r="Q17" s="199">
        <f t="shared" si="3"/>
        <v>13164.55357</v>
      </c>
      <c r="R17" s="162">
        <f t="shared" si="4"/>
        <v>999.958252</v>
      </c>
    </row>
    <row r="18" ht="37.5" customHeight="1">
      <c r="A18" s="117" t="s">
        <v>2576</v>
      </c>
      <c r="B18" s="50" t="s">
        <v>1756</v>
      </c>
      <c r="C18" s="49"/>
      <c r="D18" s="194">
        <f>389.038*2</f>
        <v>778.076</v>
      </c>
      <c r="E18" s="128">
        <v>1.0</v>
      </c>
      <c r="F18" s="166"/>
      <c r="G18" s="118"/>
      <c r="H18" s="118">
        <f>(1+1.5+1.65+4)*1.1</f>
        <v>8.965</v>
      </c>
      <c r="I18" s="118">
        <v>1.3</v>
      </c>
      <c r="J18" s="118">
        <f>1.3*1.65</f>
        <v>2.145</v>
      </c>
      <c r="K18" s="162">
        <f t="shared" si="1"/>
        <v>19451.04606</v>
      </c>
      <c r="L18" s="201">
        <v>0.0</v>
      </c>
      <c r="M18" s="118">
        <v>1.5</v>
      </c>
      <c r="N18" s="118">
        <v>0.0</v>
      </c>
      <c r="O18" s="118">
        <f t="shared" si="8"/>
        <v>1.5</v>
      </c>
      <c r="P18" s="118">
        <f>O18</f>
        <v>1.5</v>
      </c>
      <c r="Q18" s="199">
        <f t="shared" si="3"/>
        <v>12967.36404</v>
      </c>
      <c r="R18" s="162">
        <f t="shared" si="4"/>
        <v>12967.36404</v>
      </c>
    </row>
    <row r="19" ht="37.5" customHeight="1">
      <c r="A19" s="50" t="s">
        <v>2577</v>
      </c>
      <c r="B19" s="117" t="s">
        <v>2169</v>
      </c>
      <c r="C19" s="49"/>
      <c r="D19" s="194">
        <v>2597.584</v>
      </c>
      <c r="E19" s="128">
        <v>1.0</v>
      </c>
      <c r="F19" s="158">
        <v>1.33</v>
      </c>
      <c r="G19" s="118">
        <v>1.22</v>
      </c>
      <c r="H19" s="158">
        <v>1.25</v>
      </c>
      <c r="I19" s="118">
        <v>1.3</v>
      </c>
      <c r="J19" s="158">
        <v>1.1</v>
      </c>
      <c r="K19" s="162">
        <f t="shared" si="1"/>
        <v>7534.02614</v>
      </c>
      <c r="L19" s="201">
        <v>0.183</v>
      </c>
      <c r="M19" s="118">
        <v>0.0</v>
      </c>
      <c r="N19" s="118">
        <v>0.416</v>
      </c>
      <c r="O19" s="118">
        <f t="shared" si="8"/>
        <v>0.599</v>
      </c>
      <c r="P19" s="118">
        <f>9.717+L19</f>
        <v>9.9</v>
      </c>
      <c r="Q19" s="199">
        <f t="shared" si="3"/>
        <v>12577.67302</v>
      </c>
      <c r="R19" s="162">
        <f t="shared" si="4"/>
        <v>761.0127414</v>
      </c>
    </row>
    <row r="20" ht="37.5" customHeight="1">
      <c r="A20" s="50" t="s">
        <v>2578</v>
      </c>
      <c r="B20" s="49" t="s">
        <v>2164</v>
      </c>
      <c r="C20" s="49"/>
      <c r="D20" s="194">
        <v>11102.902</v>
      </c>
      <c r="E20" s="195">
        <v>1.0</v>
      </c>
      <c r="F20" s="203"/>
      <c r="G20" s="203"/>
      <c r="H20" s="203"/>
      <c r="I20" s="197">
        <v>1.3</v>
      </c>
      <c r="J20" s="197">
        <v>1.45</v>
      </c>
      <c r="K20" s="162">
        <f t="shared" si="1"/>
        <v>20928.97027</v>
      </c>
      <c r="L20" s="198" t="s">
        <v>303</v>
      </c>
      <c r="M20" s="158" t="s">
        <v>303</v>
      </c>
      <c r="N20" s="158" t="s">
        <v>303</v>
      </c>
      <c r="O20" s="158">
        <v>1.78</v>
      </c>
      <c r="P20" s="158">
        <v>2.37</v>
      </c>
      <c r="Q20" s="199">
        <f t="shared" si="3"/>
        <v>11757.84847</v>
      </c>
      <c r="R20" s="162">
        <f t="shared" si="4"/>
        <v>8830.789143</v>
      </c>
    </row>
    <row r="21" ht="37.5" customHeight="1">
      <c r="A21" s="50" t="s">
        <v>2579</v>
      </c>
      <c r="B21" s="50" t="s">
        <v>1769</v>
      </c>
      <c r="C21" s="49"/>
      <c r="D21" s="200">
        <v>6882.75</v>
      </c>
      <c r="E21" s="128">
        <v>1.0</v>
      </c>
      <c r="F21" s="203"/>
      <c r="G21" s="197"/>
      <c r="H21" s="197"/>
      <c r="I21" s="197">
        <v>1.3</v>
      </c>
      <c r="J21" s="197">
        <v>1.65</v>
      </c>
      <c r="K21" s="162">
        <f t="shared" si="1"/>
        <v>14763.49875</v>
      </c>
      <c r="L21" s="198" t="s">
        <v>303</v>
      </c>
      <c r="M21" s="158" t="s">
        <v>303</v>
      </c>
      <c r="N21" s="158" t="s">
        <v>303</v>
      </c>
      <c r="O21" s="118">
        <v>1.283</v>
      </c>
      <c r="P21" s="118">
        <v>5.1</v>
      </c>
      <c r="Q21" s="199">
        <f t="shared" si="3"/>
        <v>11507.01383</v>
      </c>
      <c r="R21" s="162">
        <f t="shared" si="4"/>
        <v>2894.803676</v>
      </c>
    </row>
    <row r="22" ht="37.5" customHeight="1">
      <c r="A22" s="50" t="s">
        <v>1557</v>
      </c>
      <c r="B22" s="49" t="s">
        <v>2164</v>
      </c>
      <c r="C22" s="49"/>
      <c r="D22" s="194">
        <v>9208.608</v>
      </c>
      <c r="E22" s="195">
        <v>1.0</v>
      </c>
      <c r="F22" s="197"/>
      <c r="G22" s="197"/>
      <c r="H22" s="197"/>
      <c r="I22" s="197">
        <v>1.3</v>
      </c>
      <c r="J22" s="197">
        <v>1.45</v>
      </c>
      <c r="K22" s="162">
        <f t="shared" si="1"/>
        <v>17358.22608</v>
      </c>
      <c r="L22" s="198" t="s">
        <v>303</v>
      </c>
      <c r="M22" s="158" t="s">
        <v>303</v>
      </c>
      <c r="N22" s="158" t="s">
        <v>303</v>
      </c>
      <c r="O22" s="158">
        <v>1.52</v>
      </c>
      <c r="P22" s="158">
        <v>10.98</v>
      </c>
      <c r="Q22" s="199">
        <f t="shared" si="3"/>
        <v>11419.88558</v>
      </c>
      <c r="R22" s="162">
        <f t="shared" si="4"/>
        <v>1580.894907</v>
      </c>
    </row>
    <row r="23" ht="37.5" customHeight="1">
      <c r="A23" s="50" t="s">
        <v>2580</v>
      </c>
      <c r="B23" s="49" t="s">
        <v>852</v>
      </c>
      <c r="C23" s="167"/>
      <c r="D23" s="194">
        <v>469.344</v>
      </c>
      <c r="E23" s="128">
        <v>20.0</v>
      </c>
      <c r="F23" s="203"/>
      <c r="G23" s="197">
        <v>1.22</v>
      </c>
      <c r="H23" s="197">
        <f t="shared" ref="H23:H24" si="9">1.25</f>
        <v>1.25</v>
      </c>
      <c r="I23" s="197">
        <v>1.3</v>
      </c>
      <c r="J23" s="197">
        <v>1.1</v>
      </c>
      <c r="K23" s="162">
        <f t="shared" si="1"/>
        <v>20470.43856</v>
      </c>
      <c r="L23" s="201">
        <v>0.35</v>
      </c>
      <c r="M23" s="118">
        <v>1.25</v>
      </c>
      <c r="N23" s="118">
        <v>0.25</v>
      </c>
      <c r="O23" s="118">
        <f t="shared" ref="O23:O24" si="10">SUM(L23:N23)</f>
        <v>1.85</v>
      </c>
      <c r="P23" s="118">
        <f>O23</f>
        <v>1.85</v>
      </c>
      <c r="Q23" s="199">
        <f t="shared" si="3"/>
        <v>11065.10192</v>
      </c>
      <c r="R23" s="162">
        <f t="shared" si="4"/>
        <v>11065.10192</v>
      </c>
    </row>
    <row r="24" ht="37.5" customHeight="1">
      <c r="A24" s="50" t="s">
        <v>2581</v>
      </c>
      <c r="B24" s="49" t="s">
        <v>2169</v>
      </c>
      <c r="C24" s="167"/>
      <c r="D24" s="194">
        <v>2312.279</v>
      </c>
      <c r="E24" s="128">
        <v>1.0</v>
      </c>
      <c r="F24" s="197">
        <v>1.3</v>
      </c>
      <c r="G24" s="197">
        <v>1.22</v>
      </c>
      <c r="H24" s="197">
        <f t="shared" si="9"/>
        <v>1.25</v>
      </c>
      <c r="I24" s="197">
        <v>1.3</v>
      </c>
      <c r="J24" s="197">
        <v>1.1</v>
      </c>
      <c r="K24" s="162">
        <f t="shared" si="1"/>
        <v>6555.253158</v>
      </c>
      <c r="L24" s="201">
        <v>0.183</v>
      </c>
      <c r="M24" s="118">
        <v>0.0</v>
      </c>
      <c r="N24" s="118">
        <v>0.416</v>
      </c>
      <c r="O24" s="118">
        <f t="shared" si="10"/>
        <v>0.599</v>
      </c>
      <c r="P24" s="118">
        <f>L24+2</f>
        <v>2.183</v>
      </c>
      <c r="Q24" s="199">
        <f t="shared" si="3"/>
        <v>10943.66137</v>
      </c>
      <c r="R24" s="162">
        <f t="shared" si="4"/>
        <v>3002.864479</v>
      </c>
    </row>
    <row r="25" ht="37.5" customHeight="1">
      <c r="A25" s="50" t="s">
        <v>2582</v>
      </c>
      <c r="B25" s="49" t="s">
        <v>2164</v>
      </c>
      <c r="C25" s="49"/>
      <c r="D25" s="194">
        <v>9287.339</v>
      </c>
      <c r="E25" s="195">
        <v>1.0</v>
      </c>
      <c r="F25" s="197"/>
      <c r="G25" s="197"/>
      <c r="H25" s="197">
        <v>1.1</v>
      </c>
      <c r="I25" s="197">
        <v>1.3</v>
      </c>
      <c r="J25" s="197">
        <v>1.45</v>
      </c>
      <c r="K25" s="162">
        <f t="shared" si="1"/>
        <v>19257.29742</v>
      </c>
      <c r="L25" s="198" t="s">
        <v>303</v>
      </c>
      <c r="M25" s="158" t="s">
        <v>303</v>
      </c>
      <c r="N25" s="158" t="s">
        <v>303</v>
      </c>
      <c r="O25" s="158">
        <v>1.78</v>
      </c>
      <c r="P25" s="158">
        <v>2.37</v>
      </c>
      <c r="Q25" s="199">
        <f t="shared" si="3"/>
        <v>10818.70641</v>
      </c>
      <c r="R25" s="162">
        <f t="shared" si="4"/>
        <v>8125.441948</v>
      </c>
    </row>
    <row r="26" ht="37.5" customHeight="1">
      <c r="A26" s="50" t="s">
        <v>2583</v>
      </c>
      <c r="B26" s="49" t="s">
        <v>2164</v>
      </c>
      <c r="C26" s="49"/>
      <c r="D26" s="194">
        <v>10315.279</v>
      </c>
      <c r="E26" s="195">
        <v>1.0</v>
      </c>
      <c r="F26" s="197"/>
      <c r="G26" s="197"/>
      <c r="H26" s="197">
        <v>1.1</v>
      </c>
      <c r="I26" s="197">
        <v>1.3</v>
      </c>
      <c r="J26" s="197">
        <v>1.45</v>
      </c>
      <c r="K26" s="162">
        <f t="shared" si="1"/>
        <v>21388.73101</v>
      </c>
      <c r="L26" s="198" t="s">
        <v>303</v>
      </c>
      <c r="M26" s="158" t="s">
        <v>303</v>
      </c>
      <c r="N26" s="158" t="s">
        <v>303</v>
      </c>
      <c r="O26" s="158">
        <v>1.98</v>
      </c>
      <c r="P26" s="158">
        <v>6.25</v>
      </c>
      <c r="Q26" s="199">
        <f t="shared" si="3"/>
        <v>10802.3894</v>
      </c>
      <c r="R26" s="162">
        <f t="shared" si="4"/>
        <v>3422.196961</v>
      </c>
    </row>
    <row r="27" ht="37.5" customHeight="1">
      <c r="A27" s="50" t="s">
        <v>2584</v>
      </c>
      <c r="B27" s="49" t="s">
        <v>2164</v>
      </c>
      <c r="C27" s="49"/>
      <c r="D27" s="194">
        <v>14565.0</v>
      </c>
      <c r="E27" s="195">
        <v>1.0</v>
      </c>
      <c r="F27" s="197"/>
      <c r="G27" s="197"/>
      <c r="H27" s="197"/>
      <c r="I27" s="197">
        <v>1.3</v>
      </c>
      <c r="J27" s="197">
        <v>1.233</v>
      </c>
      <c r="K27" s="162">
        <f t="shared" si="1"/>
        <v>23346.2385</v>
      </c>
      <c r="L27" s="198" t="s">
        <v>303</v>
      </c>
      <c r="M27" s="158" t="s">
        <v>303</v>
      </c>
      <c r="N27" s="158" t="s">
        <v>303</v>
      </c>
      <c r="O27" s="158">
        <v>2.17</v>
      </c>
      <c r="P27" s="158">
        <v>20.62</v>
      </c>
      <c r="Q27" s="199">
        <f t="shared" si="3"/>
        <v>10758.63525</v>
      </c>
      <c r="R27" s="162">
        <f t="shared" si="4"/>
        <v>1132.213312</v>
      </c>
    </row>
    <row r="28" ht="37.5" customHeight="1">
      <c r="A28" s="117" t="s">
        <v>2585</v>
      </c>
      <c r="B28" s="49" t="s">
        <v>2169</v>
      </c>
      <c r="C28" s="167"/>
      <c r="D28" s="200">
        <f>588.893</f>
        <v>588.893</v>
      </c>
      <c r="E28" s="128">
        <v>14.0</v>
      </c>
      <c r="F28" s="158">
        <v>1.3</v>
      </c>
      <c r="G28" s="118">
        <v>1.22</v>
      </c>
      <c r="H28" s="158">
        <v>1.25</v>
      </c>
      <c r="I28" s="118">
        <v>1.3</v>
      </c>
      <c r="J28" s="158">
        <v>1.1</v>
      </c>
      <c r="K28" s="162">
        <f t="shared" si="1"/>
        <v>23372.95706</v>
      </c>
      <c r="L28" s="198">
        <v>0.0</v>
      </c>
      <c r="M28" s="158">
        <v>2.183</v>
      </c>
      <c r="N28" s="158">
        <v>0.0</v>
      </c>
      <c r="O28" s="118">
        <f>SUM(L28:N28)</f>
        <v>2.183</v>
      </c>
      <c r="P28" s="118">
        <v>25.733</v>
      </c>
      <c r="Q28" s="199">
        <f t="shared" si="3"/>
        <v>10706.8058</v>
      </c>
      <c r="R28" s="162">
        <f t="shared" si="4"/>
        <v>908.2872987</v>
      </c>
    </row>
    <row r="29" ht="37.5" customHeight="1">
      <c r="A29" s="50" t="s">
        <v>2586</v>
      </c>
      <c r="B29" s="49" t="s">
        <v>2164</v>
      </c>
      <c r="C29" s="49"/>
      <c r="D29" s="194">
        <f>15627/1.2</f>
        <v>13022.5</v>
      </c>
      <c r="E29" s="195">
        <v>1.0</v>
      </c>
      <c r="F29" s="197"/>
      <c r="G29" s="197"/>
      <c r="H29" s="197">
        <f>1.2*1.1</f>
        <v>1.32</v>
      </c>
      <c r="I29" s="197">
        <v>1.3</v>
      </c>
      <c r="J29" s="197">
        <v>1.45</v>
      </c>
      <c r="K29" s="162">
        <f t="shared" si="1"/>
        <v>32402.5845</v>
      </c>
      <c r="L29" s="198" t="s">
        <v>303</v>
      </c>
      <c r="M29" s="158" t="s">
        <v>303</v>
      </c>
      <c r="N29" s="158" t="s">
        <v>303</v>
      </c>
      <c r="O29" s="158">
        <v>3.13</v>
      </c>
      <c r="P29" s="118">
        <f t="shared" ref="P29:P31" si="11">O29</f>
        <v>3.13</v>
      </c>
      <c r="Q29" s="199">
        <f t="shared" si="3"/>
        <v>10352.26342</v>
      </c>
      <c r="R29" s="162">
        <f t="shared" si="4"/>
        <v>10352.26342</v>
      </c>
    </row>
    <row r="30" ht="37.5" customHeight="1">
      <c r="A30" s="50" t="s">
        <v>2587</v>
      </c>
      <c r="B30" s="49" t="s">
        <v>2164</v>
      </c>
      <c r="C30" s="49"/>
      <c r="D30" s="194">
        <v>11372.029</v>
      </c>
      <c r="E30" s="128">
        <v>1.0</v>
      </c>
      <c r="F30" s="197"/>
      <c r="G30" s="197"/>
      <c r="H30" s="197"/>
      <c r="I30" s="197">
        <v>1.3</v>
      </c>
      <c r="J30" s="197">
        <v>1.45</v>
      </c>
      <c r="K30" s="162">
        <f t="shared" si="1"/>
        <v>21436.27467</v>
      </c>
      <c r="L30" s="198" t="s">
        <v>303</v>
      </c>
      <c r="M30" s="158" t="s">
        <v>303</v>
      </c>
      <c r="N30" s="158" t="s">
        <v>303</v>
      </c>
      <c r="O30" s="158">
        <v>2.2</v>
      </c>
      <c r="P30" s="118">
        <f t="shared" si="11"/>
        <v>2.2</v>
      </c>
      <c r="Q30" s="199">
        <f t="shared" si="3"/>
        <v>9743.761211</v>
      </c>
      <c r="R30" s="162">
        <f t="shared" si="4"/>
        <v>9743.761211</v>
      </c>
    </row>
    <row r="31" ht="37.5" customHeight="1">
      <c r="A31" s="50" t="s">
        <v>2588</v>
      </c>
      <c r="B31" s="49" t="s">
        <v>2164</v>
      </c>
      <c r="C31" s="49"/>
      <c r="D31" s="194">
        <v>17539.0</v>
      </c>
      <c r="E31" s="195">
        <v>1.0</v>
      </c>
      <c r="F31" s="197"/>
      <c r="G31" s="197"/>
      <c r="H31" s="197"/>
      <c r="I31" s="197"/>
      <c r="J31" s="197">
        <v>1.45</v>
      </c>
      <c r="K31" s="162">
        <f t="shared" si="1"/>
        <v>25431.55</v>
      </c>
      <c r="L31" s="198" t="s">
        <v>303</v>
      </c>
      <c r="M31" s="158" t="s">
        <v>303</v>
      </c>
      <c r="N31" s="158" t="s">
        <v>303</v>
      </c>
      <c r="O31" s="158">
        <v>2.65</v>
      </c>
      <c r="P31" s="158">
        <f t="shared" si="11"/>
        <v>2.65</v>
      </c>
      <c r="Q31" s="199">
        <f t="shared" si="3"/>
        <v>9596.811321</v>
      </c>
      <c r="R31" s="162">
        <f t="shared" si="4"/>
        <v>9596.811321</v>
      </c>
    </row>
    <row r="32" ht="37.5" customHeight="1">
      <c r="A32" s="50" t="s">
        <v>2589</v>
      </c>
      <c r="B32" s="49" t="s">
        <v>2164</v>
      </c>
      <c r="C32" s="156"/>
      <c r="D32" s="194">
        <v>12663.0</v>
      </c>
      <c r="E32" s="195">
        <v>1.0</v>
      </c>
      <c r="F32" s="197"/>
      <c r="G32" s="197"/>
      <c r="H32" s="197"/>
      <c r="I32" s="197">
        <v>1.3</v>
      </c>
      <c r="J32" s="197">
        <v>1.268</v>
      </c>
      <c r="K32" s="162">
        <f t="shared" si="1"/>
        <v>20873.6892</v>
      </c>
      <c r="L32" s="198" t="s">
        <v>303</v>
      </c>
      <c r="M32" s="158" t="s">
        <v>303</v>
      </c>
      <c r="N32" s="158" t="s">
        <v>303</v>
      </c>
      <c r="O32" s="158">
        <v>2.18</v>
      </c>
      <c r="P32" s="158">
        <v>16.47</v>
      </c>
      <c r="Q32" s="199">
        <f t="shared" si="3"/>
        <v>9575.086789</v>
      </c>
      <c r="R32" s="162">
        <f t="shared" si="4"/>
        <v>1267.376393</v>
      </c>
    </row>
    <row r="33" ht="37.5" customHeight="1">
      <c r="A33" s="50" t="s">
        <v>2590</v>
      </c>
      <c r="B33" s="49" t="s">
        <v>2169</v>
      </c>
      <c r="C33" s="167"/>
      <c r="D33" s="194">
        <v>2091.813</v>
      </c>
      <c r="E33" s="128">
        <v>2.0</v>
      </c>
      <c r="F33" s="197"/>
      <c r="G33" s="197">
        <v>1.22</v>
      </c>
      <c r="H33" s="197">
        <f t="shared" ref="H33:H34" si="12">1.25</f>
        <v>1.25</v>
      </c>
      <c r="I33" s="197">
        <v>1.3</v>
      </c>
      <c r="J33" s="197">
        <v>1.1</v>
      </c>
      <c r="K33" s="162">
        <f t="shared" si="1"/>
        <v>9123.4424</v>
      </c>
      <c r="L33" s="201">
        <v>0.25</v>
      </c>
      <c r="M33" s="118">
        <v>0.383</v>
      </c>
      <c r="N33" s="118">
        <v>0.366</v>
      </c>
      <c r="O33" s="118">
        <f t="shared" ref="O33:O34" si="13">SUM(L33:N33)</f>
        <v>0.999</v>
      </c>
      <c r="P33" s="118">
        <f>L33+10.199</f>
        <v>10.449</v>
      </c>
      <c r="Q33" s="199">
        <f t="shared" si="3"/>
        <v>9132.574974</v>
      </c>
      <c r="R33" s="162">
        <f t="shared" si="4"/>
        <v>873.140243</v>
      </c>
    </row>
    <row r="34" ht="37.5" customHeight="1">
      <c r="A34" s="50" t="s">
        <v>2591</v>
      </c>
      <c r="B34" s="49" t="s">
        <v>2169</v>
      </c>
      <c r="C34" s="167"/>
      <c r="D34" s="194">
        <v>712.149</v>
      </c>
      <c r="E34" s="128">
        <v>1.0</v>
      </c>
      <c r="F34" s="197">
        <f>2*1.35</f>
        <v>2.7</v>
      </c>
      <c r="G34" s="197">
        <v>1.22</v>
      </c>
      <c r="H34" s="197">
        <f t="shared" si="12"/>
        <v>1.25</v>
      </c>
      <c r="I34" s="197">
        <v>1.3</v>
      </c>
      <c r="J34" s="197">
        <v>1.15</v>
      </c>
      <c r="K34" s="162">
        <f t="shared" si="1"/>
        <v>4383.748894</v>
      </c>
      <c r="L34" s="201">
        <v>0.183</v>
      </c>
      <c r="M34" s="118">
        <v>0.0</v>
      </c>
      <c r="N34" s="118">
        <v>0.3</v>
      </c>
      <c r="O34" s="118">
        <f t="shared" si="13"/>
        <v>0.483</v>
      </c>
      <c r="P34" s="118">
        <f>O34</f>
        <v>0.483</v>
      </c>
      <c r="Q34" s="199">
        <f t="shared" si="3"/>
        <v>9076.084666</v>
      </c>
      <c r="R34" s="162">
        <f t="shared" si="4"/>
        <v>9076.084666</v>
      </c>
    </row>
    <row r="35" ht="37.5" customHeight="1">
      <c r="A35" s="50" t="s">
        <v>1498</v>
      </c>
      <c r="B35" s="49" t="s">
        <v>2164</v>
      </c>
      <c r="C35" s="156"/>
      <c r="D35" s="194">
        <v>8124.0</v>
      </c>
      <c r="E35" s="195">
        <v>1.0</v>
      </c>
      <c r="F35" s="197"/>
      <c r="G35" s="197"/>
      <c r="H35" s="197"/>
      <c r="I35" s="197">
        <v>1.3</v>
      </c>
      <c r="J35" s="197">
        <v>1.45</v>
      </c>
      <c r="K35" s="162">
        <f t="shared" si="1"/>
        <v>15313.74</v>
      </c>
      <c r="L35" s="198" t="s">
        <v>303</v>
      </c>
      <c r="M35" s="158" t="s">
        <v>303</v>
      </c>
      <c r="N35" s="158" t="s">
        <v>303</v>
      </c>
      <c r="O35" s="158">
        <v>1.72</v>
      </c>
      <c r="P35" s="158">
        <v>10.9</v>
      </c>
      <c r="Q35" s="199">
        <f t="shared" si="3"/>
        <v>8903.337209</v>
      </c>
      <c r="R35" s="162">
        <f t="shared" si="4"/>
        <v>1404.930275</v>
      </c>
    </row>
    <row r="36" ht="37.5" customHeight="1">
      <c r="A36" s="50" t="s">
        <v>2592</v>
      </c>
      <c r="B36" s="117" t="s">
        <v>2169</v>
      </c>
      <c r="C36" s="156"/>
      <c r="D36" s="194">
        <v>1834.555</v>
      </c>
      <c r="E36" s="128">
        <v>1.0</v>
      </c>
      <c r="F36" s="158">
        <v>1.33</v>
      </c>
      <c r="G36" s="118">
        <v>1.22</v>
      </c>
      <c r="H36" s="158">
        <v>1.25</v>
      </c>
      <c r="I36" s="118">
        <v>1.3</v>
      </c>
      <c r="J36" s="158">
        <v>1.1</v>
      </c>
      <c r="K36" s="162">
        <f t="shared" si="1"/>
        <v>5320.938736</v>
      </c>
      <c r="L36" s="201">
        <v>0.183</v>
      </c>
      <c r="M36" s="118">
        <v>0.0</v>
      </c>
      <c r="N36" s="118">
        <v>0.416</v>
      </c>
      <c r="O36" s="118">
        <f t="shared" ref="O36:O37" si="14">SUM(L36:N36)</f>
        <v>0.599</v>
      </c>
      <c r="P36" s="118">
        <f>9.717+L36</f>
        <v>9.9</v>
      </c>
      <c r="Q36" s="199">
        <f t="shared" si="3"/>
        <v>8883.036286</v>
      </c>
      <c r="R36" s="162">
        <f t="shared" si="4"/>
        <v>537.4685592</v>
      </c>
    </row>
    <row r="37" ht="37.5" customHeight="1">
      <c r="A37" s="117" t="s">
        <v>2593</v>
      </c>
      <c r="B37" s="111" t="s">
        <v>2169</v>
      </c>
      <c r="C37" s="167"/>
      <c r="D37" s="200">
        <v>1993.076</v>
      </c>
      <c r="E37" s="128">
        <v>1.0</v>
      </c>
      <c r="F37" s="197"/>
      <c r="G37" s="197">
        <v>1.22</v>
      </c>
      <c r="H37" s="197">
        <f>1.25</f>
        <v>1.25</v>
      </c>
      <c r="I37" s="197">
        <v>1.3</v>
      </c>
      <c r="J37" s="197">
        <v>1.15</v>
      </c>
      <c r="K37" s="162">
        <f t="shared" si="1"/>
        <v>4543.964146</v>
      </c>
      <c r="L37" s="198">
        <v>0.2</v>
      </c>
      <c r="M37" s="118">
        <v>0.0</v>
      </c>
      <c r="N37" s="158">
        <v>0.317</v>
      </c>
      <c r="O37" s="118">
        <f t="shared" si="14"/>
        <v>0.517</v>
      </c>
      <c r="P37" s="118">
        <f t="shared" ref="P37:P41" si="15">O37</f>
        <v>0.517</v>
      </c>
      <c r="Q37" s="199">
        <f t="shared" si="3"/>
        <v>8789.098927</v>
      </c>
      <c r="R37" s="162">
        <f t="shared" si="4"/>
        <v>8789.098927</v>
      </c>
    </row>
    <row r="38" ht="37.5" customHeight="1">
      <c r="A38" s="50" t="s">
        <v>2594</v>
      </c>
      <c r="B38" s="49" t="s">
        <v>2164</v>
      </c>
      <c r="C38" s="156"/>
      <c r="D38" s="194">
        <v>60013.0</v>
      </c>
      <c r="E38" s="195">
        <v>1.0</v>
      </c>
      <c r="F38" s="197"/>
      <c r="G38" s="197"/>
      <c r="H38" s="197"/>
      <c r="I38" s="197">
        <v>1.3</v>
      </c>
      <c r="J38" s="197">
        <v>1.45</v>
      </c>
      <c r="K38" s="162">
        <f t="shared" si="1"/>
        <v>113124.505</v>
      </c>
      <c r="L38" s="198" t="s">
        <v>303</v>
      </c>
      <c r="M38" s="158" t="s">
        <v>303</v>
      </c>
      <c r="N38" s="158" t="s">
        <v>303</v>
      </c>
      <c r="O38" s="158">
        <v>12.88</v>
      </c>
      <c r="P38" s="118">
        <f t="shared" si="15"/>
        <v>12.88</v>
      </c>
      <c r="Q38" s="199">
        <f t="shared" si="3"/>
        <v>8782.958463</v>
      </c>
      <c r="R38" s="162">
        <f t="shared" si="4"/>
        <v>8782.958463</v>
      </c>
    </row>
    <row r="39" ht="37.5" customHeight="1">
      <c r="A39" s="50" t="s">
        <v>2595</v>
      </c>
      <c r="B39" s="49" t="s">
        <v>2164</v>
      </c>
      <c r="C39" s="156"/>
      <c r="D39" s="194">
        <v>40845.024</v>
      </c>
      <c r="E39" s="195">
        <v>1.0</v>
      </c>
      <c r="F39" s="197"/>
      <c r="G39" s="197"/>
      <c r="H39" s="197"/>
      <c r="I39" s="197">
        <v>1.3</v>
      </c>
      <c r="J39" s="197">
        <v>1.45</v>
      </c>
      <c r="K39" s="162">
        <f t="shared" si="1"/>
        <v>76992.87024</v>
      </c>
      <c r="L39" s="198" t="s">
        <v>303</v>
      </c>
      <c r="M39" s="158" t="s">
        <v>303</v>
      </c>
      <c r="N39" s="158" t="s">
        <v>303</v>
      </c>
      <c r="O39" s="158">
        <v>8.967</v>
      </c>
      <c r="P39" s="158">
        <f t="shared" si="15"/>
        <v>8.967</v>
      </c>
      <c r="Q39" s="199">
        <f t="shared" si="3"/>
        <v>8586.246263</v>
      </c>
      <c r="R39" s="162">
        <f t="shared" si="4"/>
        <v>8586.246263</v>
      </c>
    </row>
    <row r="40" ht="37.5" customHeight="1">
      <c r="A40" s="50" t="s">
        <v>2596</v>
      </c>
      <c r="B40" s="49" t="s">
        <v>2169</v>
      </c>
      <c r="C40" s="167"/>
      <c r="D40" s="194">
        <v>1667.836</v>
      </c>
      <c r="E40" s="128">
        <v>1.0</v>
      </c>
      <c r="F40" s="197"/>
      <c r="G40" s="197">
        <v>1.22</v>
      </c>
      <c r="H40" s="197">
        <f>1.25</f>
        <v>1.25</v>
      </c>
      <c r="I40" s="197">
        <v>1.3</v>
      </c>
      <c r="J40" s="197">
        <v>1.1</v>
      </c>
      <c r="K40" s="162">
        <f t="shared" si="1"/>
        <v>3637.133357</v>
      </c>
      <c r="L40" s="201">
        <v>0.217</v>
      </c>
      <c r="M40" s="118">
        <v>0.0</v>
      </c>
      <c r="N40" s="118">
        <v>0.217</v>
      </c>
      <c r="O40" s="118">
        <f>SUM(L40:N40)</f>
        <v>0.434</v>
      </c>
      <c r="P40" s="118">
        <f t="shared" si="15"/>
        <v>0.434</v>
      </c>
      <c r="Q40" s="199">
        <f t="shared" si="3"/>
        <v>8380.491606</v>
      </c>
      <c r="R40" s="162">
        <f t="shared" si="4"/>
        <v>8380.491606</v>
      </c>
    </row>
    <row r="41" ht="37.5" customHeight="1">
      <c r="A41" s="169" t="s">
        <v>2597</v>
      </c>
      <c r="B41" s="204" t="s">
        <v>2164</v>
      </c>
      <c r="C41" s="210"/>
      <c r="D41" s="184">
        <f>12659.098*1.5/1.3</f>
        <v>14606.65154</v>
      </c>
      <c r="E41" s="214">
        <v>1.0</v>
      </c>
      <c r="F41" s="206"/>
      <c r="G41" s="206"/>
      <c r="H41" s="206">
        <v>1.1</v>
      </c>
      <c r="I41" s="206">
        <v>1.3</v>
      </c>
      <c r="J41" s="206">
        <v>1.45</v>
      </c>
      <c r="K41" s="177">
        <f t="shared" si="1"/>
        <v>30286.89197</v>
      </c>
      <c r="L41" s="215" t="s">
        <v>303</v>
      </c>
      <c r="M41" s="172" t="s">
        <v>303</v>
      </c>
      <c r="N41" s="172" t="s">
        <v>303</v>
      </c>
      <c r="O41" s="172">
        <v>3.63</v>
      </c>
      <c r="P41" s="175">
        <f t="shared" si="15"/>
        <v>3.63</v>
      </c>
      <c r="Q41" s="208">
        <f t="shared" si="3"/>
        <v>8343.496409</v>
      </c>
      <c r="R41" s="177">
        <f t="shared" si="4"/>
        <v>8343.496409</v>
      </c>
    </row>
    <row r="42" ht="37.5" customHeight="1">
      <c r="A42" s="50" t="s">
        <v>2598</v>
      </c>
      <c r="B42" s="49" t="s">
        <v>852</v>
      </c>
      <c r="C42" s="156"/>
      <c r="D42" s="160">
        <v>1257.035</v>
      </c>
      <c r="E42" s="128">
        <v>7.0</v>
      </c>
      <c r="F42" s="196"/>
      <c r="G42" s="197">
        <v>1.22</v>
      </c>
      <c r="H42" s="197">
        <f t="shared" ref="H42:H43" si="16">1.25</f>
        <v>1.25</v>
      </c>
      <c r="I42" s="197">
        <v>1.3</v>
      </c>
      <c r="J42" s="197">
        <v>1.1</v>
      </c>
      <c r="K42" s="162">
        <f t="shared" si="1"/>
        <v>19188.95353</v>
      </c>
      <c r="L42" s="201">
        <v>0.183</v>
      </c>
      <c r="M42" s="118">
        <f>0.508*0.6*6</f>
        <v>1.8288</v>
      </c>
      <c r="N42" s="118">
        <v>0.333</v>
      </c>
      <c r="O42" s="118">
        <f t="shared" ref="O42:O43" si="17">SUM(L42:N42)</f>
        <v>2.3448</v>
      </c>
      <c r="P42" s="118">
        <f>L42+M42+0.333</f>
        <v>2.3448</v>
      </c>
      <c r="Q42" s="199">
        <f t="shared" si="3"/>
        <v>8183.620579</v>
      </c>
      <c r="R42" s="162">
        <f t="shared" si="4"/>
        <v>8183.620579</v>
      </c>
    </row>
    <row r="43" ht="37.5" customHeight="1">
      <c r="A43" s="50" t="s">
        <v>2599</v>
      </c>
      <c r="B43" s="49" t="s">
        <v>852</v>
      </c>
      <c r="C43" s="49"/>
      <c r="D43" s="194">
        <v>2312.279</v>
      </c>
      <c r="E43" s="128">
        <v>3.0</v>
      </c>
      <c r="F43" s="197">
        <f>1.07*1.4</f>
        <v>1.498</v>
      </c>
      <c r="G43" s="197">
        <v>1.22</v>
      </c>
      <c r="H43" s="197">
        <f t="shared" si="16"/>
        <v>1.25</v>
      </c>
      <c r="I43" s="197">
        <v>1.3</v>
      </c>
      <c r="J43" s="197">
        <v>1.1</v>
      </c>
      <c r="K43" s="162">
        <f t="shared" si="1"/>
        <v>22661.00592</v>
      </c>
      <c r="L43" s="201">
        <v>0.233</v>
      </c>
      <c r="M43" s="118">
        <f>1.083*2</f>
        <v>2.166</v>
      </c>
      <c r="N43" s="118">
        <v>0.4</v>
      </c>
      <c r="O43" s="118">
        <f t="shared" si="17"/>
        <v>2.799</v>
      </c>
      <c r="P43" s="118">
        <f>L43+M43+2</f>
        <v>4.399</v>
      </c>
      <c r="Q43" s="199">
        <f t="shared" si="3"/>
        <v>8096.107866</v>
      </c>
      <c r="R43" s="162">
        <f t="shared" si="4"/>
        <v>5151.39939</v>
      </c>
    </row>
    <row r="44" ht="37.5" customHeight="1">
      <c r="A44" s="50" t="s">
        <v>2600</v>
      </c>
      <c r="B44" s="49" t="s">
        <v>2164</v>
      </c>
      <c r="C44" s="49"/>
      <c r="D44" s="194">
        <v>10885.5</v>
      </c>
      <c r="E44" s="195">
        <v>1.0</v>
      </c>
      <c r="F44" s="197"/>
      <c r="G44" s="197"/>
      <c r="H44" s="197"/>
      <c r="I44" s="197">
        <v>1.3</v>
      </c>
      <c r="J44" s="197">
        <v>1.233</v>
      </c>
      <c r="K44" s="162">
        <f t="shared" si="1"/>
        <v>17448.36795</v>
      </c>
      <c r="L44" s="198" t="s">
        <v>303</v>
      </c>
      <c r="M44" s="158" t="s">
        <v>303</v>
      </c>
      <c r="N44" s="158" t="s">
        <v>303</v>
      </c>
      <c r="O44" s="158">
        <v>2.17</v>
      </c>
      <c r="P44" s="158">
        <v>20.62</v>
      </c>
      <c r="Q44" s="199">
        <f t="shared" si="3"/>
        <v>8040.722558</v>
      </c>
      <c r="R44" s="162">
        <f t="shared" si="4"/>
        <v>846.1866125</v>
      </c>
    </row>
    <row r="45" ht="37.5" customHeight="1">
      <c r="A45" s="50" t="s">
        <v>2601</v>
      </c>
      <c r="B45" s="49" t="s">
        <v>2169</v>
      </c>
      <c r="C45" s="44"/>
      <c r="D45" s="194">
        <v>1948.335</v>
      </c>
      <c r="E45" s="128">
        <v>1.0</v>
      </c>
      <c r="F45" s="197"/>
      <c r="G45" s="197">
        <v>1.22</v>
      </c>
      <c r="H45" s="197">
        <f t="shared" ref="H45:H46" si="18">1.25</f>
        <v>1.25</v>
      </c>
      <c r="I45" s="197">
        <v>1.3</v>
      </c>
      <c r="J45" s="197">
        <v>1.15</v>
      </c>
      <c r="K45" s="162">
        <f t="shared" si="1"/>
        <v>4441.960258</v>
      </c>
      <c r="L45" s="201">
        <v>0.3</v>
      </c>
      <c r="M45" s="118">
        <v>0.0</v>
      </c>
      <c r="N45" s="118">
        <v>0.266</v>
      </c>
      <c r="O45" s="118">
        <f t="shared" ref="O45:O46" si="19">SUM(L45:N45)</f>
        <v>0.566</v>
      </c>
      <c r="P45" s="118">
        <v>10.166</v>
      </c>
      <c r="Q45" s="199">
        <f t="shared" si="3"/>
        <v>7847.986322</v>
      </c>
      <c r="R45" s="162">
        <f t="shared" si="4"/>
        <v>436.9427757</v>
      </c>
    </row>
    <row r="46" ht="37.5" customHeight="1">
      <c r="A46" s="50" t="s">
        <v>2602</v>
      </c>
      <c r="B46" s="49" t="s">
        <v>2169</v>
      </c>
      <c r="C46" s="167"/>
      <c r="D46" s="160">
        <v>2312.279</v>
      </c>
      <c r="E46" s="128">
        <v>2.0</v>
      </c>
      <c r="F46" s="197">
        <v>1.3</v>
      </c>
      <c r="G46" s="197">
        <v>1.22</v>
      </c>
      <c r="H46" s="197">
        <f t="shared" si="18"/>
        <v>1.25</v>
      </c>
      <c r="I46" s="197">
        <v>1.3</v>
      </c>
      <c r="J46" s="197">
        <v>1.1</v>
      </c>
      <c r="K46" s="162">
        <f t="shared" si="1"/>
        <v>13110.50632</v>
      </c>
      <c r="L46" s="201">
        <v>0.183</v>
      </c>
      <c r="M46" s="118">
        <v>1.166</v>
      </c>
      <c r="N46" s="118">
        <v>0.333</v>
      </c>
      <c r="O46" s="118">
        <f t="shared" si="19"/>
        <v>1.682</v>
      </c>
      <c r="P46" s="118">
        <f>L46+M46+2</f>
        <v>3.349</v>
      </c>
      <c r="Q46" s="199">
        <f t="shared" si="3"/>
        <v>7794.593529</v>
      </c>
      <c r="R46" s="162">
        <f t="shared" si="4"/>
        <v>3914.752558</v>
      </c>
    </row>
    <row r="47" ht="37.5" customHeight="1">
      <c r="A47" s="50" t="s">
        <v>2603</v>
      </c>
      <c r="B47" s="49" t="s">
        <v>2164</v>
      </c>
      <c r="C47" s="49"/>
      <c r="D47" s="194">
        <v>11691.0</v>
      </c>
      <c r="E47" s="128">
        <v>1.0</v>
      </c>
      <c r="F47" s="197"/>
      <c r="G47" s="197"/>
      <c r="H47" s="197"/>
      <c r="I47" s="197">
        <v>1.3</v>
      </c>
      <c r="J47" s="197">
        <v>1.45</v>
      </c>
      <c r="K47" s="162">
        <f t="shared" si="1"/>
        <v>22037.535</v>
      </c>
      <c r="L47" s="198" t="s">
        <v>303</v>
      </c>
      <c r="M47" s="158" t="s">
        <v>303</v>
      </c>
      <c r="N47" s="158" t="s">
        <v>303</v>
      </c>
      <c r="O47" s="158">
        <v>2.95</v>
      </c>
      <c r="P47" s="158">
        <v>10.18</v>
      </c>
      <c r="Q47" s="199">
        <f t="shared" si="3"/>
        <v>7470.350847</v>
      </c>
      <c r="R47" s="162">
        <f t="shared" si="4"/>
        <v>2164.787328</v>
      </c>
    </row>
    <row r="48" ht="37.5" customHeight="1">
      <c r="A48" s="50" t="s">
        <v>2604</v>
      </c>
      <c r="B48" s="50" t="s">
        <v>1756</v>
      </c>
      <c r="C48" s="49"/>
      <c r="D48" s="194">
        <f>389.038*2</f>
        <v>778.076</v>
      </c>
      <c r="E48" s="128">
        <v>1.0</v>
      </c>
      <c r="F48" s="197"/>
      <c r="G48" s="197"/>
      <c r="H48" s="118">
        <f>1+1+1.65+1.5</f>
        <v>5.15</v>
      </c>
      <c r="I48" s="197">
        <v>1.3</v>
      </c>
      <c r="J48" s="118">
        <f>1.3*1.65</f>
        <v>2.145</v>
      </c>
      <c r="K48" s="162">
        <f t="shared" si="1"/>
        <v>11173.77437</v>
      </c>
      <c r="L48" s="201">
        <v>0.0</v>
      </c>
      <c r="M48" s="118">
        <v>1.5</v>
      </c>
      <c r="N48" s="118">
        <v>0.0</v>
      </c>
      <c r="O48" s="118">
        <f t="shared" ref="O48:O51" si="20">SUM(L48:N48)</f>
        <v>1.5</v>
      </c>
      <c r="P48" s="118">
        <f>O48</f>
        <v>1.5</v>
      </c>
      <c r="Q48" s="199">
        <f t="shared" si="3"/>
        <v>7449.182913</v>
      </c>
      <c r="R48" s="162">
        <f t="shared" si="4"/>
        <v>7449.182913</v>
      </c>
    </row>
    <row r="49" ht="37.5" customHeight="1">
      <c r="A49" s="50" t="s">
        <v>2605</v>
      </c>
      <c r="B49" s="49" t="s">
        <v>852</v>
      </c>
      <c r="C49" s="49"/>
      <c r="D49" s="194">
        <v>640.506</v>
      </c>
      <c r="E49" s="128">
        <v>8.0</v>
      </c>
      <c r="F49" s="197">
        <v>1.46</v>
      </c>
      <c r="G49" s="197">
        <v>1.22</v>
      </c>
      <c r="H49" s="197">
        <f t="shared" ref="H49:H50" si="21">1.25</f>
        <v>1.25</v>
      </c>
      <c r="I49" s="197">
        <v>1.3</v>
      </c>
      <c r="J49" s="197">
        <v>1.1</v>
      </c>
      <c r="K49" s="162">
        <f t="shared" si="1"/>
        <v>16314.43081</v>
      </c>
      <c r="L49" s="201">
        <v>0.183</v>
      </c>
      <c r="M49" s="118">
        <f>0.4*0.6*7</f>
        <v>1.68</v>
      </c>
      <c r="N49" s="118">
        <v>0.333</v>
      </c>
      <c r="O49" s="118">
        <f t="shared" si="20"/>
        <v>2.196</v>
      </c>
      <c r="P49" s="118">
        <f>L49+M49+0.333</f>
        <v>2.196</v>
      </c>
      <c r="Q49" s="199">
        <f t="shared" si="3"/>
        <v>7429.157927</v>
      </c>
      <c r="R49" s="162">
        <f t="shared" si="4"/>
        <v>7429.157927</v>
      </c>
    </row>
    <row r="50" ht="37.5" customHeight="1">
      <c r="A50" s="50" t="s">
        <v>2606</v>
      </c>
      <c r="B50" s="111" t="s">
        <v>2169</v>
      </c>
      <c r="C50" s="44"/>
      <c r="D50" s="194">
        <v>1715.846</v>
      </c>
      <c r="E50" s="128">
        <v>1.0</v>
      </c>
      <c r="F50" s="203"/>
      <c r="G50" s="197">
        <v>1.22</v>
      </c>
      <c r="H50" s="197">
        <f t="shared" si="21"/>
        <v>1.25</v>
      </c>
      <c r="I50" s="197">
        <v>1.3</v>
      </c>
      <c r="J50" s="197">
        <v>1.1</v>
      </c>
      <c r="K50" s="162">
        <f t="shared" si="1"/>
        <v>3741.831165</v>
      </c>
      <c r="L50" s="201">
        <v>0.216</v>
      </c>
      <c r="M50" s="118">
        <v>0.0</v>
      </c>
      <c r="N50" s="118">
        <v>0.3</v>
      </c>
      <c r="O50" s="118">
        <f t="shared" si="20"/>
        <v>0.516</v>
      </c>
      <c r="P50" s="118">
        <f>L50+M50+2</f>
        <v>2.216</v>
      </c>
      <c r="Q50" s="199">
        <f t="shared" si="3"/>
        <v>7251.610784</v>
      </c>
      <c r="R50" s="162">
        <f t="shared" si="4"/>
        <v>1688.55197</v>
      </c>
    </row>
    <row r="51" ht="37.5" customHeight="1">
      <c r="A51" s="50" t="s">
        <v>2607</v>
      </c>
      <c r="B51" s="117" t="s">
        <v>2169</v>
      </c>
      <c r="C51" s="49"/>
      <c r="D51" s="200">
        <v>979.247</v>
      </c>
      <c r="E51" s="128">
        <v>1.0</v>
      </c>
      <c r="F51" s="158">
        <v>1.7</v>
      </c>
      <c r="G51" s="158">
        <v>1.17</v>
      </c>
      <c r="H51" s="158">
        <v>1.25</v>
      </c>
      <c r="I51" s="118">
        <v>1.3</v>
      </c>
      <c r="J51" s="158">
        <v>1.15</v>
      </c>
      <c r="K51" s="162">
        <f t="shared" si="1"/>
        <v>3639.806016</v>
      </c>
      <c r="L51" s="201">
        <v>0.167</v>
      </c>
      <c r="M51" s="158">
        <v>0.0</v>
      </c>
      <c r="N51" s="118">
        <v>0.35</v>
      </c>
      <c r="O51" s="118">
        <f t="shared" si="20"/>
        <v>0.517</v>
      </c>
      <c r="P51" s="118">
        <f>O51</f>
        <v>0.517</v>
      </c>
      <c r="Q51" s="199">
        <f t="shared" si="3"/>
        <v>7040.243745</v>
      </c>
      <c r="R51" s="162">
        <f t="shared" si="4"/>
        <v>7040.243745</v>
      </c>
    </row>
    <row r="52" ht="37.5" customHeight="1">
      <c r="A52" s="50" t="s">
        <v>2608</v>
      </c>
      <c r="B52" s="49" t="s">
        <v>2164</v>
      </c>
      <c r="C52" s="49"/>
      <c r="D52" s="194">
        <v>8988.0</v>
      </c>
      <c r="E52" s="195">
        <v>1.0</v>
      </c>
      <c r="F52" s="197"/>
      <c r="G52" s="197"/>
      <c r="H52" s="197"/>
      <c r="I52" s="197">
        <v>1.3</v>
      </c>
      <c r="J52" s="197">
        <v>1.268</v>
      </c>
      <c r="K52" s="162">
        <f t="shared" si="1"/>
        <v>14815.8192</v>
      </c>
      <c r="L52" s="198" t="s">
        <v>303</v>
      </c>
      <c r="M52" s="158" t="s">
        <v>303</v>
      </c>
      <c r="N52" s="158" t="s">
        <v>303</v>
      </c>
      <c r="O52" s="158">
        <v>2.18</v>
      </c>
      <c r="P52" s="158">
        <v>16.47</v>
      </c>
      <c r="Q52" s="199">
        <f t="shared" si="3"/>
        <v>6796.247339</v>
      </c>
      <c r="R52" s="162">
        <f t="shared" si="4"/>
        <v>899.5640073</v>
      </c>
    </row>
    <row r="53" ht="37.5" customHeight="1">
      <c r="A53" s="50" t="s">
        <v>489</v>
      </c>
      <c r="B53" s="49" t="s">
        <v>2169</v>
      </c>
      <c r="C53" s="44"/>
      <c r="D53" s="194">
        <v>2031.837</v>
      </c>
      <c r="E53" s="128">
        <v>1.0</v>
      </c>
      <c r="F53" s="197"/>
      <c r="G53" s="197">
        <v>1.22</v>
      </c>
      <c r="H53" s="197">
        <f t="shared" ref="H53:H56" si="22">1.25</f>
        <v>1.25</v>
      </c>
      <c r="I53" s="197">
        <v>1.3</v>
      </c>
      <c r="J53" s="197">
        <v>1.1</v>
      </c>
      <c r="K53" s="162">
        <f t="shared" si="1"/>
        <v>4430.928538</v>
      </c>
      <c r="L53" s="201">
        <v>0.35</v>
      </c>
      <c r="M53" s="118">
        <v>0.0</v>
      </c>
      <c r="N53" s="118">
        <v>0.316</v>
      </c>
      <c r="O53" s="118">
        <f t="shared" ref="O53:O56" si="23">SUM(L53:N53)</f>
        <v>0.666</v>
      </c>
      <c r="P53" s="118">
        <f t="shared" ref="P53:P54" si="24">O53</f>
        <v>0.666</v>
      </c>
      <c r="Q53" s="199">
        <f t="shared" si="3"/>
        <v>6653.045852</v>
      </c>
      <c r="R53" s="162">
        <f t="shared" si="4"/>
        <v>6653.045852</v>
      </c>
    </row>
    <row r="54" ht="37.5" customHeight="1">
      <c r="A54" s="50" t="s">
        <v>2609</v>
      </c>
      <c r="B54" s="49" t="s">
        <v>852</v>
      </c>
      <c r="C54" s="44"/>
      <c r="D54" s="194">
        <v>4992.135</v>
      </c>
      <c r="E54" s="128">
        <v>1.0</v>
      </c>
      <c r="F54" s="197"/>
      <c r="G54" s="197">
        <v>1.22</v>
      </c>
      <c r="H54" s="197">
        <f t="shared" si="22"/>
        <v>1.25</v>
      </c>
      <c r="I54" s="197">
        <v>1.3</v>
      </c>
      <c r="J54" s="197">
        <v>1.15</v>
      </c>
      <c r="K54" s="162">
        <f t="shared" si="1"/>
        <v>11381.44378</v>
      </c>
      <c r="L54" s="201">
        <v>0.0</v>
      </c>
      <c r="M54" s="118">
        <v>1.317</v>
      </c>
      <c r="N54" s="118">
        <v>0.4</v>
      </c>
      <c r="O54" s="118">
        <f t="shared" si="23"/>
        <v>1.717</v>
      </c>
      <c r="P54" s="118">
        <f t="shared" si="24"/>
        <v>1.717</v>
      </c>
      <c r="Q54" s="199">
        <f t="shared" si="3"/>
        <v>6628.68013</v>
      </c>
      <c r="R54" s="162">
        <f t="shared" si="4"/>
        <v>6628.68013</v>
      </c>
    </row>
    <row r="55" ht="37.5" customHeight="1">
      <c r="A55" s="50" t="s">
        <v>2610</v>
      </c>
      <c r="B55" s="49" t="s">
        <v>852</v>
      </c>
      <c r="C55" s="49"/>
      <c r="D55" s="194">
        <v>640.506</v>
      </c>
      <c r="E55" s="128">
        <v>8.0</v>
      </c>
      <c r="F55" s="118">
        <f>(1.3*7+1)/8</f>
        <v>1.2625</v>
      </c>
      <c r="G55" s="197">
        <v>1.22</v>
      </c>
      <c r="H55" s="197">
        <f t="shared" si="22"/>
        <v>1.25</v>
      </c>
      <c r="I55" s="197">
        <v>1.3</v>
      </c>
      <c r="J55" s="197">
        <v>1.1</v>
      </c>
      <c r="K55" s="162">
        <f t="shared" si="1"/>
        <v>14107.51294</v>
      </c>
      <c r="L55" s="201">
        <v>0.183</v>
      </c>
      <c r="M55" s="118">
        <f>0.4*0.6*7</f>
        <v>1.68</v>
      </c>
      <c r="N55" s="118">
        <v>0.333</v>
      </c>
      <c r="O55" s="118">
        <f t="shared" si="23"/>
        <v>2.196</v>
      </c>
      <c r="P55" s="118">
        <f>L55+M55+0.333</f>
        <v>2.196</v>
      </c>
      <c r="Q55" s="199">
        <f t="shared" si="3"/>
        <v>6424.186221</v>
      </c>
      <c r="R55" s="162">
        <f t="shared" si="4"/>
        <v>6424.186221</v>
      </c>
    </row>
    <row r="56" ht="37.5" customHeight="1">
      <c r="A56" s="50" t="s">
        <v>2611</v>
      </c>
      <c r="B56" s="49" t="s">
        <v>852</v>
      </c>
      <c r="C56" s="44"/>
      <c r="D56" s="194">
        <v>3923.647</v>
      </c>
      <c r="E56" s="128">
        <v>1.0</v>
      </c>
      <c r="F56" s="203"/>
      <c r="G56" s="197">
        <v>1.22</v>
      </c>
      <c r="H56" s="197">
        <f t="shared" si="22"/>
        <v>1.25</v>
      </c>
      <c r="I56" s="197">
        <v>1.3</v>
      </c>
      <c r="J56" s="197">
        <v>1.15</v>
      </c>
      <c r="K56" s="162">
        <f t="shared" si="1"/>
        <v>8945.424704</v>
      </c>
      <c r="L56" s="201">
        <v>0.216</v>
      </c>
      <c r="M56" s="158">
        <v>0.783</v>
      </c>
      <c r="N56" s="118">
        <v>0.4</v>
      </c>
      <c r="O56" s="118">
        <f t="shared" si="23"/>
        <v>1.399</v>
      </c>
      <c r="P56" s="118">
        <f t="shared" ref="P56:P57" si="25">O56</f>
        <v>1.399</v>
      </c>
      <c r="Q56" s="199">
        <f t="shared" si="3"/>
        <v>6394.156329</v>
      </c>
      <c r="R56" s="162">
        <f t="shared" si="4"/>
        <v>6394.156329</v>
      </c>
    </row>
    <row r="57" ht="37.5" customHeight="1">
      <c r="A57" s="50" t="s">
        <v>2612</v>
      </c>
      <c r="B57" s="49" t="s">
        <v>2164</v>
      </c>
      <c r="C57" s="156"/>
      <c r="D57" s="160">
        <v>17764.0</v>
      </c>
      <c r="E57" s="195">
        <v>1.0</v>
      </c>
      <c r="F57" s="197"/>
      <c r="G57" s="197"/>
      <c r="H57" s="197"/>
      <c r="I57" s="197"/>
      <c r="J57" s="197">
        <v>1.45</v>
      </c>
      <c r="K57" s="162">
        <f t="shared" si="1"/>
        <v>25757.8</v>
      </c>
      <c r="L57" s="198" t="s">
        <v>303</v>
      </c>
      <c r="M57" s="158" t="s">
        <v>303</v>
      </c>
      <c r="N57" s="158" t="s">
        <v>303</v>
      </c>
      <c r="O57" s="158">
        <v>4.07</v>
      </c>
      <c r="P57" s="158">
        <f t="shared" si="25"/>
        <v>4.07</v>
      </c>
      <c r="Q57" s="199">
        <f t="shared" si="3"/>
        <v>6328.697789</v>
      </c>
      <c r="R57" s="162">
        <f t="shared" si="4"/>
        <v>6328.697789</v>
      </c>
    </row>
    <row r="58" ht="37.5" customHeight="1">
      <c r="A58" s="50" t="s">
        <v>2613</v>
      </c>
      <c r="B58" s="49" t="s">
        <v>2169</v>
      </c>
      <c r="C58" s="44"/>
      <c r="D58" s="194">
        <v>1079.425</v>
      </c>
      <c r="E58" s="128">
        <v>1.0</v>
      </c>
      <c r="F58" s="197">
        <v>1.15</v>
      </c>
      <c r="G58" s="197">
        <v>1.22</v>
      </c>
      <c r="H58" s="197">
        <f t="shared" ref="H58:H61" si="26">1.25</f>
        <v>1.25</v>
      </c>
      <c r="I58" s="197">
        <v>1.3</v>
      </c>
      <c r="J58" s="197">
        <v>1.15</v>
      </c>
      <c r="K58" s="162">
        <f t="shared" si="1"/>
        <v>2830.097183</v>
      </c>
      <c r="L58" s="201">
        <v>0.167</v>
      </c>
      <c r="M58" s="118">
        <v>0.0</v>
      </c>
      <c r="N58" s="118">
        <v>0.283</v>
      </c>
      <c r="O58" s="118">
        <f t="shared" ref="O58:O62" si="27">SUM(L58:N58)</f>
        <v>0.45</v>
      </c>
      <c r="P58" s="118">
        <v>6.0</v>
      </c>
      <c r="Q58" s="199">
        <f t="shared" si="3"/>
        <v>6289.10485</v>
      </c>
      <c r="R58" s="162">
        <f t="shared" si="4"/>
        <v>471.6828638</v>
      </c>
    </row>
    <row r="59" ht="37.5" customHeight="1">
      <c r="A59" s="50" t="s">
        <v>2614</v>
      </c>
      <c r="B59" s="49" t="s">
        <v>852</v>
      </c>
      <c r="C59" s="49"/>
      <c r="D59" s="194">
        <v>745.212</v>
      </c>
      <c r="E59" s="128">
        <v>8.0</v>
      </c>
      <c r="F59" s="118">
        <f>(1.3*7+1)/8</f>
        <v>1.2625</v>
      </c>
      <c r="G59" s="197">
        <v>1.22</v>
      </c>
      <c r="H59" s="197">
        <f t="shared" si="26"/>
        <v>1.25</v>
      </c>
      <c r="I59" s="197">
        <v>1.3</v>
      </c>
      <c r="J59" s="197">
        <v>1.1</v>
      </c>
      <c r="K59" s="162">
        <f t="shared" si="1"/>
        <v>16413.7228</v>
      </c>
      <c r="L59" s="201">
        <v>0.183</v>
      </c>
      <c r="M59" s="118">
        <f>0.508*0.6*7</f>
        <v>2.1336</v>
      </c>
      <c r="N59" s="118">
        <v>0.333</v>
      </c>
      <c r="O59" s="118">
        <f t="shared" si="27"/>
        <v>2.6496</v>
      </c>
      <c r="P59" s="118">
        <f>L59+M59+0.333</f>
        <v>2.6496</v>
      </c>
      <c r="Q59" s="199">
        <f t="shared" si="3"/>
        <v>6194.792722</v>
      </c>
      <c r="R59" s="162">
        <f t="shared" si="4"/>
        <v>6194.792722</v>
      </c>
    </row>
    <row r="60" ht="37.5" customHeight="1">
      <c r="A60" s="50" t="s">
        <v>2615</v>
      </c>
      <c r="B60" s="49" t="s">
        <v>852</v>
      </c>
      <c r="C60" s="44"/>
      <c r="D60" s="194">
        <f>3127.583/1.05</f>
        <v>2978.650476</v>
      </c>
      <c r="E60" s="128">
        <v>1.0</v>
      </c>
      <c r="F60" s="197"/>
      <c r="G60" s="197">
        <v>1.22</v>
      </c>
      <c r="H60" s="197">
        <f t="shared" si="26"/>
        <v>1.25</v>
      </c>
      <c r="I60" s="197">
        <v>1.3</v>
      </c>
      <c r="J60" s="197">
        <v>1.15</v>
      </c>
      <c r="K60" s="162">
        <f t="shared" si="1"/>
        <v>6790.950754</v>
      </c>
      <c r="L60" s="198">
        <v>0.833</v>
      </c>
      <c r="M60" s="118">
        <v>0.0</v>
      </c>
      <c r="N60" s="118">
        <v>0.3</v>
      </c>
      <c r="O60" s="118">
        <f t="shared" si="27"/>
        <v>1.133</v>
      </c>
      <c r="P60" s="118">
        <f t="shared" ref="P60:P61" si="28">O60</f>
        <v>1.133</v>
      </c>
      <c r="Q60" s="199">
        <f t="shared" si="3"/>
        <v>5993.778247</v>
      </c>
      <c r="R60" s="162">
        <f t="shared" si="4"/>
        <v>5993.778247</v>
      </c>
    </row>
    <row r="61" ht="37.5" customHeight="1">
      <c r="A61" s="50" t="s">
        <v>2616</v>
      </c>
      <c r="B61" s="49" t="s">
        <v>2169</v>
      </c>
      <c r="C61" s="49"/>
      <c r="D61" s="194">
        <v>800.505</v>
      </c>
      <c r="E61" s="128">
        <v>1.0</v>
      </c>
      <c r="F61" s="197">
        <v>2.0</v>
      </c>
      <c r="G61" s="197">
        <v>1.22</v>
      </c>
      <c r="H61" s="197">
        <f t="shared" si="26"/>
        <v>1.25</v>
      </c>
      <c r="I61" s="197">
        <v>1.3</v>
      </c>
      <c r="J61" s="197">
        <v>1.15</v>
      </c>
      <c r="K61" s="162">
        <f t="shared" si="1"/>
        <v>3650.102674</v>
      </c>
      <c r="L61" s="201">
        <v>0.266</v>
      </c>
      <c r="M61" s="118">
        <v>0.0</v>
      </c>
      <c r="N61" s="118">
        <v>0.35</v>
      </c>
      <c r="O61" s="118">
        <f t="shared" si="27"/>
        <v>0.616</v>
      </c>
      <c r="P61" s="118">
        <f t="shared" si="28"/>
        <v>0.616</v>
      </c>
      <c r="Q61" s="199">
        <f t="shared" si="3"/>
        <v>5925.491353</v>
      </c>
      <c r="R61" s="162">
        <f t="shared" si="4"/>
        <v>5925.491353</v>
      </c>
    </row>
    <row r="62" ht="37.5" customHeight="1">
      <c r="A62" s="50" t="s">
        <v>2617</v>
      </c>
      <c r="B62" s="49" t="s">
        <v>2169</v>
      </c>
      <c r="C62" s="49"/>
      <c r="D62" s="194">
        <v>3242.079</v>
      </c>
      <c r="E62" s="128">
        <v>1.0</v>
      </c>
      <c r="F62" s="197"/>
      <c r="G62" s="197"/>
      <c r="H62" s="197"/>
      <c r="I62" s="197">
        <v>1.3</v>
      </c>
      <c r="J62" s="197"/>
      <c r="K62" s="162">
        <f t="shared" si="1"/>
        <v>4214.7027</v>
      </c>
      <c r="L62" s="201">
        <v>0.0</v>
      </c>
      <c r="M62" s="118">
        <v>0.717</v>
      </c>
      <c r="N62" s="118">
        <v>0.0</v>
      </c>
      <c r="O62" s="118">
        <f t="shared" si="27"/>
        <v>0.717</v>
      </c>
      <c r="P62" s="118">
        <v>1.633</v>
      </c>
      <c r="Q62" s="199">
        <f t="shared" si="3"/>
        <v>5878.246444</v>
      </c>
      <c r="R62" s="162">
        <f t="shared" si="4"/>
        <v>2580.95695</v>
      </c>
    </row>
    <row r="63" ht="37.5" customHeight="1">
      <c r="A63" s="50" t="s">
        <v>2618</v>
      </c>
      <c r="B63" s="49" t="s">
        <v>2164</v>
      </c>
      <c r="C63" s="49"/>
      <c r="D63" s="194">
        <v>10516.5</v>
      </c>
      <c r="E63" s="195">
        <v>1.0</v>
      </c>
      <c r="F63" s="197"/>
      <c r="G63" s="197"/>
      <c r="H63" s="197"/>
      <c r="I63" s="197"/>
      <c r="J63" s="197">
        <v>1.45</v>
      </c>
      <c r="K63" s="162">
        <f t="shared" si="1"/>
        <v>15248.925</v>
      </c>
      <c r="L63" s="198" t="s">
        <v>303</v>
      </c>
      <c r="M63" s="158" t="s">
        <v>303</v>
      </c>
      <c r="N63" s="158" t="s">
        <v>303</v>
      </c>
      <c r="O63" s="158">
        <v>2.65</v>
      </c>
      <c r="P63" s="158">
        <f t="shared" ref="P63:P65" si="29">O63</f>
        <v>2.65</v>
      </c>
      <c r="Q63" s="199">
        <f t="shared" si="3"/>
        <v>5754.311321</v>
      </c>
      <c r="R63" s="162">
        <f t="shared" si="4"/>
        <v>5754.311321</v>
      </c>
    </row>
    <row r="64" ht="37.5" customHeight="1">
      <c r="A64" s="50" t="s">
        <v>2619</v>
      </c>
      <c r="B64" s="49" t="s">
        <v>2164</v>
      </c>
      <c r="C64" s="49"/>
      <c r="D64" s="194">
        <v>38969.0</v>
      </c>
      <c r="E64" s="195">
        <v>1.0</v>
      </c>
      <c r="F64" s="197"/>
      <c r="G64" s="197"/>
      <c r="H64" s="197"/>
      <c r="I64" s="197">
        <v>1.3</v>
      </c>
      <c r="J64" s="197">
        <v>1.45</v>
      </c>
      <c r="K64" s="162">
        <f t="shared" si="1"/>
        <v>73456.565</v>
      </c>
      <c r="L64" s="198" t="s">
        <v>303</v>
      </c>
      <c r="M64" s="158" t="s">
        <v>303</v>
      </c>
      <c r="N64" s="158" t="s">
        <v>303</v>
      </c>
      <c r="O64" s="158">
        <v>12.88</v>
      </c>
      <c r="P64" s="118">
        <f t="shared" si="29"/>
        <v>12.88</v>
      </c>
      <c r="Q64" s="199">
        <f t="shared" si="3"/>
        <v>5703.149457</v>
      </c>
      <c r="R64" s="162">
        <f t="shared" si="4"/>
        <v>5703.149457</v>
      </c>
    </row>
    <row r="65" ht="37.5" customHeight="1">
      <c r="A65" s="50" t="s">
        <v>2620</v>
      </c>
      <c r="B65" s="49" t="s">
        <v>2169</v>
      </c>
      <c r="C65" s="44"/>
      <c r="D65" s="194">
        <v>1230.518</v>
      </c>
      <c r="E65" s="128">
        <v>1.0</v>
      </c>
      <c r="F65" s="197"/>
      <c r="G65" s="197">
        <v>1.15</v>
      </c>
      <c r="H65" s="197">
        <f>1.25</f>
        <v>1.25</v>
      </c>
      <c r="I65" s="197">
        <v>1.3</v>
      </c>
      <c r="J65" s="197">
        <v>1.15</v>
      </c>
      <c r="K65" s="162">
        <f t="shared" si="1"/>
        <v>2644.460089</v>
      </c>
      <c r="L65" s="201">
        <v>0.15</v>
      </c>
      <c r="M65" s="118">
        <v>0.0</v>
      </c>
      <c r="N65" s="118">
        <v>0.317</v>
      </c>
      <c r="O65" s="118">
        <f>SUM(L65:N65)</f>
        <v>0.467</v>
      </c>
      <c r="P65" s="118">
        <f t="shared" si="29"/>
        <v>0.467</v>
      </c>
      <c r="Q65" s="199">
        <f t="shared" si="3"/>
        <v>5662.655438</v>
      </c>
      <c r="R65" s="162">
        <f t="shared" si="4"/>
        <v>5662.655438</v>
      </c>
    </row>
    <row r="66" ht="37.5" customHeight="1">
      <c r="A66" s="50" t="s">
        <v>2621</v>
      </c>
      <c r="B66" s="50" t="s">
        <v>1769</v>
      </c>
      <c r="C66" s="49"/>
      <c r="D66" s="194">
        <v>3337.0</v>
      </c>
      <c r="E66" s="128">
        <v>1.0</v>
      </c>
      <c r="F66" s="203"/>
      <c r="G66" s="197"/>
      <c r="H66" s="197"/>
      <c r="I66" s="197">
        <v>1.3</v>
      </c>
      <c r="J66" s="197">
        <v>1.65</v>
      </c>
      <c r="K66" s="162">
        <f t="shared" si="1"/>
        <v>7157.865</v>
      </c>
      <c r="L66" s="198" t="s">
        <v>303</v>
      </c>
      <c r="M66" s="158" t="s">
        <v>303</v>
      </c>
      <c r="N66" s="158" t="s">
        <v>303</v>
      </c>
      <c r="O66" s="118">
        <v>1.283</v>
      </c>
      <c r="P66" s="118">
        <v>7.2</v>
      </c>
      <c r="Q66" s="199">
        <f t="shared" si="3"/>
        <v>5579.006235</v>
      </c>
      <c r="R66" s="162">
        <f t="shared" si="4"/>
        <v>994.1479167</v>
      </c>
    </row>
    <row r="67" ht="37.5" customHeight="1">
      <c r="A67" s="50" t="s">
        <v>2622</v>
      </c>
      <c r="B67" s="49" t="s">
        <v>2164</v>
      </c>
      <c r="C67" s="49"/>
      <c r="D67" s="194">
        <v>26488.605</v>
      </c>
      <c r="E67" s="195">
        <v>1.0</v>
      </c>
      <c r="F67" s="197"/>
      <c r="G67" s="197"/>
      <c r="H67" s="197"/>
      <c r="I67" s="197">
        <v>1.3</v>
      </c>
      <c r="J67" s="197">
        <v>1.45</v>
      </c>
      <c r="K67" s="162">
        <f t="shared" si="1"/>
        <v>49931.02043</v>
      </c>
      <c r="L67" s="198" t="s">
        <v>303</v>
      </c>
      <c r="M67" s="158" t="s">
        <v>303</v>
      </c>
      <c r="N67" s="158" t="s">
        <v>303</v>
      </c>
      <c r="O67" s="158">
        <v>8.967</v>
      </c>
      <c r="P67" s="158">
        <f t="shared" ref="P67:P68" si="30">O67</f>
        <v>8.967</v>
      </c>
      <c r="Q67" s="199">
        <f t="shared" si="3"/>
        <v>5568.308289</v>
      </c>
      <c r="R67" s="162">
        <f t="shared" si="4"/>
        <v>5568.308289</v>
      </c>
    </row>
    <row r="68" ht="37.5" customHeight="1">
      <c r="A68" s="50" t="s">
        <v>2623</v>
      </c>
      <c r="B68" s="49" t="s">
        <v>2164</v>
      </c>
      <c r="C68" s="49"/>
      <c r="D68" s="194">
        <f>12659.098/1.3</f>
        <v>9737.767692</v>
      </c>
      <c r="E68" s="195">
        <v>1.0</v>
      </c>
      <c r="F68" s="197"/>
      <c r="G68" s="197"/>
      <c r="H68" s="197">
        <v>1.1</v>
      </c>
      <c r="I68" s="197">
        <v>1.3</v>
      </c>
      <c r="J68" s="197">
        <v>1.45</v>
      </c>
      <c r="K68" s="162">
        <f t="shared" si="1"/>
        <v>20191.26131</v>
      </c>
      <c r="L68" s="198" t="s">
        <v>303</v>
      </c>
      <c r="M68" s="158" t="s">
        <v>303</v>
      </c>
      <c r="N68" s="158" t="s">
        <v>303</v>
      </c>
      <c r="O68" s="158">
        <v>3.63</v>
      </c>
      <c r="P68" s="118">
        <f t="shared" si="30"/>
        <v>3.63</v>
      </c>
      <c r="Q68" s="199">
        <f t="shared" si="3"/>
        <v>5562.330939</v>
      </c>
      <c r="R68" s="162">
        <f t="shared" si="4"/>
        <v>5562.330939</v>
      </c>
    </row>
    <row r="69" ht="37.5" customHeight="1">
      <c r="A69" s="117" t="s">
        <v>2624</v>
      </c>
      <c r="B69" s="49" t="s">
        <v>852</v>
      </c>
      <c r="C69" s="111"/>
      <c r="D69" s="200">
        <v>1149.415</v>
      </c>
      <c r="E69" s="128">
        <v>6.0</v>
      </c>
      <c r="F69" s="197"/>
      <c r="G69" s="197">
        <v>1.22</v>
      </c>
      <c r="H69" s="197">
        <f t="shared" ref="H69:H70" si="31">1.25</f>
        <v>1.25</v>
      </c>
      <c r="I69" s="197">
        <v>1.3</v>
      </c>
      <c r="J69" s="197">
        <v>1.15</v>
      </c>
      <c r="K69" s="162">
        <f t="shared" si="1"/>
        <v>15723.13514</v>
      </c>
      <c r="L69" s="198">
        <v>0.183</v>
      </c>
      <c r="M69" s="118">
        <f>0.5*5</f>
        <v>2.5</v>
      </c>
      <c r="N69" s="158">
        <v>0.333</v>
      </c>
      <c r="O69" s="118">
        <f t="shared" ref="O69:O70" si="32">SUM(L69:N69)</f>
        <v>3.016</v>
      </c>
      <c r="P69" s="118">
        <f>L69+M69+0.333</f>
        <v>3.016</v>
      </c>
      <c r="Q69" s="199">
        <f t="shared" si="3"/>
        <v>5213.241094</v>
      </c>
      <c r="R69" s="162">
        <f t="shared" si="4"/>
        <v>5213.241094</v>
      </c>
    </row>
    <row r="70" ht="37.5" customHeight="1">
      <c r="A70" s="50" t="s">
        <v>2625</v>
      </c>
      <c r="B70" s="49" t="s">
        <v>2169</v>
      </c>
      <c r="C70" s="44"/>
      <c r="D70" s="194">
        <v>980.531</v>
      </c>
      <c r="E70" s="128">
        <v>1.0</v>
      </c>
      <c r="F70" s="197"/>
      <c r="G70" s="197">
        <v>1.22</v>
      </c>
      <c r="H70" s="197">
        <f t="shared" si="31"/>
        <v>1.25</v>
      </c>
      <c r="I70" s="197">
        <v>1.3</v>
      </c>
      <c r="J70" s="197">
        <v>1.15</v>
      </c>
      <c r="K70" s="162">
        <f t="shared" si="1"/>
        <v>2235.488114</v>
      </c>
      <c r="L70" s="201">
        <v>0.117</v>
      </c>
      <c r="M70" s="118">
        <v>0.0</v>
      </c>
      <c r="N70" s="118">
        <v>0.317</v>
      </c>
      <c r="O70" s="118">
        <f t="shared" si="32"/>
        <v>0.434</v>
      </c>
      <c r="P70" s="118">
        <f>O70</f>
        <v>0.434</v>
      </c>
      <c r="Q70" s="199">
        <f t="shared" si="3"/>
        <v>5150.894271</v>
      </c>
      <c r="R70" s="162">
        <f t="shared" si="4"/>
        <v>5150.894271</v>
      </c>
    </row>
    <row r="71" ht="37.5" customHeight="1">
      <c r="A71" s="50" t="s">
        <v>2626</v>
      </c>
      <c r="B71" s="49" t="s">
        <v>2164</v>
      </c>
      <c r="C71" s="49"/>
      <c r="D71" s="194">
        <v>22176.0</v>
      </c>
      <c r="E71" s="195">
        <v>1.0</v>
      </c>
      <c r="F71" s="197"/>
      <c r="G71" s="197"/>
      <c r="H71" s="197">
        <v>1.1</v>
      </c>
      <c r="I71" s="197">
        <v>1.3</v>
      </c>
      <c r="J71" s="197">
        <v>1.45</v>
      </c>
      <c r="K71" s="162">
        <f t="shared" si="1"/>
        <v>45981.936</v>
      </c>
      <c r="L71" s="198" t="s">
        <v>303</v>
      </c>
      <c r="M71" s="158" t="s">
        <v>303</v>
      </c>
      <c r="N71" s="158" t="s">
        <v>303</v>
      </c>
      <c r="O71" s="158">
        <v>9.08</v>
      </c>
      <c r="P71" s="158">
        <v>9.98</v>
      </c>
      <c r="Q71" s="199">
        <f t="shared" si="3"/>
        <v>5064.089868</v>
      </c>
      <c r="R71" s="162">
        <f t="shared" si="4"/>
        <v>4607.408417</v>
      </c>
    </row>
    <row r="72" ht="37.5" customHeight="1">
      <c r="A72" s="50" t="s">
        <v>2627</v>
      </c>
      <c r="B72" s="49" t="s">
        <v>2169</v>
      </c>
      <c r="C72" s="44"/>
      <c r="D72" s="194">
        <v>5110.478</v>
      </c>
      <c r="E72" s="128">
        <v>1.0</v>
      </c>
      <c r="F72" s="197"/>
      <c r="G72" s="197">
        <v>1.22</v>
      </c>
      <c r="H72" s="197">
        <f>1.25</f>
        <v>1.25</v>
      </c>
      <c r="I72" s="197">
        <v>1.3</v>
      </c>
      <c r="J72" s="197">
        <v>1.15</v>
      </c>
      <c r="K72" s="162">
        <f t="shared" si="1"/>
        <v>11651.25103</v>
      </c>
      <c r="L72" s="201">
        <v>1.9</v>
      </c>
      <c r="M72" s="118">
        <v>0.0</v>
      </c>
      <c r="N72" s="118">
        <v>0.417</v>
      </c>
      <c r="O72" s="118">
        <f>SUM(L72:N72)</f>
        <v>2.317</v>
      </c>
      <c r="P72" s="118">
        <f>O72</f>
        <v>2.317</v>
      </c>
      <c r="Q72" s="199">
        <f t="shared" si="3"/>
        <v>5028.593453</v>
      </c>
      <c r="R72" s="162">
        <f t="shared" si="4"/>
        <v>5028.593453</v>
      </c>
    </row>
    <row r="73" ht="37.5" customHeight="1">
      <c r="A73" s="50" t="s">
        <v>2628</v>
      </c>
      <c r="B73" s="50" t="s">
        <v>1769</v>
      </c>
      <c r="C73" s="49"/>
      <c r="D73" s="194">
        <v>2217.984</v>
      </c>
      <c r="E73" s="128">
        <v>1.0</v>
      </c>
      <c r="F73" s="203"/>
      <c r="G73" s="197"/>
      <c r="H73" s="196">
        <v>1.35</v>
      </c>
      <c r="I73" s="197">
        <v>1.3</v>
      </c>
      <c r="J73" s="197">
        <v>1.65</v>
      </c>
      <c r="K73" s="162">
        <f t="shared" si="1"/>
        <v>6422.727168</v>
      </c>
      <c r="L73" s="198" t="s">
        <v>303</v>
      </c>
      <c r="M73" s="158" t="s">
        <v>303</v>
      </c>
      <c r="N73" s="158" t="s">
        <v>303</v>
      </c>
      <c r="O73" s="118">
        <v>1.283</v>
      </c>
      <c r="P73" s="118">
        <v>6.083</v>
      </c>
      <c r="Q73" s="199">
        <f t="shared" si="3"/>
        <v>5006.022734</v>
      </c>
      <c r="R73" s="162">
        <f t="shared" si="4"/>
        <v>1055.848622</v>
      </c>
    </row>
    <row r="74" ht="37.5" customHeight="1">
      <c r="A74" s="169" t="s">
        <v>2629</v>
      </c>
      <c r="B74" s="204" t="s">
        <v>2169</v>
      </c>
      <c r="C74" s="130"/>
      <c r="D74" s="205">
        <v>642.128</v>
      </c>
      <c r="E74" s="135">
        <v>3.0</v>
      </c>
      <c r="F74" s="206">
        <f>1.3*1.15</f>
        <v>1.495</v>
      </c>
      <c r="G74" s="206">
        <v>1.22</v>
      </c>
      <c r="H74" s="206">
        <f t="shared" ref="H74:H77" si="33">1.25</f>
        <v>1.25</v>
      </c>
      <c r="I74" s="206">
        <v>1.3</v>
      </c>
      <c r="J74" s="206">
        <v>1.15</v>
      </c>
      <c r="K74" s="177">
        <f t="shared" si="1"/>
        <v>6565.912509</v>
      </c>
      <c r="L74" s="207">
        <v>0.166</v>
      </c>
      <c r="M74" s="175">
        <f>0.416*2</f>
        <v>0.832</v>
      </c>
      <c r="N74" s="175">
        <v>0.316</v>
      </c>
      <c r="O74" s="175">
        <f t="shared" ref="O74:O78" si="34">SUM(L74:N74)</f>
        <v>1.314</v>
      </c>
      <c r="P74" s="175">
        <f>O74</f>
        <v>1.314</v>
      </c>
      <c r="Q74" s="208">
        <f t="shared" si="3"/>
        <v>4996.889277</v>
      </c>
      <c r="R74" s="177">
        <f t="shared" si="4"/>
        <v>4996.889277</v>
      </c>
    </row>
    <row r="75" ht="37.5" customHeight="1">
      <c r="A75" s="50" t="s">
        <v>2630</v>
      </c>
      <c r="B75" s="49" t="s">
        <v>852</v>
      </c>
      <c r="C75" s="49"/>
      <c r="D75" s="194">
        <v>745.212</v>
      </c>
      <c r="E75" s="128">
        <v>8.0</v>
      </c>
      <c r="F75" s="197"/>
      <c r="G75" s="197">
        <v>1.22</v>
      </c>
      <c r="H75" s="197">
        <f t="shared" si="33"/>
        <v>1.25</v>
      </c>
      <c r="I75" s="197">
        <v>1.3</v>
      </c>
      <c r="J75" s="197">
        <v>1.1</v>
      </c>
      <c r="K75" s="162">
        <f t="shared" si="1"/>
        <v>13000.96855</v>
      </c>
      <c r="L75" s="201">
        <v>0.183</v>
      </c>
      <c r="M75" s="118">
        <f>0.508*0.6*7</f>
        <v>2.1336</v>
      </c>
      <c r="N75" s="118">
        <v>0.333</v>
      </c>
      <c r="O75" s="118">
        <f t="shared" si="34"/>
        <v>2.6496</v>
      </c>
      <c r="P75" s="118">
        <f>L75+M75+0.333</f>
        <v>2.6496</v>
      </c>
      <c r="Q75" s="199">
        <f t="shared" si="3"/>
        <v>4906.766513</v>
      </c>
      <c r="R75" s="162">
        <f t="shared" si="4"/>
        <v>4906.766513</v>
      </c>
    </row>
    <row r="76" ht="37.5" customHeight="1">
      <c r="A76" s="50" t="s">
        <v>2631</v>
      </c>
      <c r="B76" s="49" t="s">
        <v>2169</v>
      </c>
      <c r="C76" s="44"/>
      <c r="D76" s="194">
        <v>3197.353</v>
      </c>
      <c r="E76" s="128">
        <v>1.0</v>
      </c>
      <c r="F76" s="197"/>
      <c r="G76" s="197">
        <v>1.22</v>
      </c>
      <c r="H76" s="197">
        <f t="shared" si="33"/>
        <v>1.25</v>
      </c>
      <c r="I76" s="197">
        <v>1.3</v>
      </c>
      <c r="J76" s="197">
        <v>1.15</v>
      </c>
      <c r="K76" s="162">
        <f t="shared" si="1"/>
        <v>7289.565171</v>
      </c>
      <c r="L76" s="201">
        <v>0.216</v>
      </c>
      <c r="M76" s="118">
        <v>0.0</v>
      </c>
      <c r="N76" s="158">
        <v>1.284</v>
      </c>
      <c r="O76" s="118">
        <f t="shared" si="34"/>
        <v>1.5</v>
      </c>
      <c r="P76" s="118">
        <f>O76</f>
        <v>1.5</v>
      </c>
      <c r="Q76" s="199">
        <f t="shared" si="3"/>
        <v>4859.710114</v>
      </c>
      <c r="R76" s="162">
        <f t="shared" si="4"/>
        <v>4859.710114</v>
      </c>
    </row>
    <row r="77" ht="37.5" customHeight="1">
      <c r="A77" s="50" t="s">
        <v>2632</v>
      </c>
      <c r="B77" s="49" t="s">
        <v>2169</v>
      </c>
      <c r="C77" s="44"/>
      <c r="D77" s="194">
        <v>427.926</v>
      </c>
      <c r="E77" s="128">
        <v>2.0</v>
      </c>
      <c r="F77" s="197">
        <f>1.578*1.4</f>
        <v>2.2092</v>
      </c>
      <c r="G77" s="197">
        <v>1.22</v>
      </c>
      <c r="H77" s="197">
        <f t="shared" si="33"/>
        <v>1.25</v>
      </c>
      <c r="I77" s="197">
        <v>1.3</v>
      </c>
      <c r="J77" s="197">
        <v>1.15</v>
      </c>
      <c r="K77" s="162">
        <f t="shared" si="1"/>
        <v>4310.66964</v>
      </c>
      <c r="L77" s="201">
        <v>0.166</v>
      </c>
      <c r="M77" s="118">
        <f>0.416</f>
        <v>0.416</v>
      </c>
      <c r="N77" s="118">
        <v>0.316</v>
      </c>
      <c r="O77" s="118">
        <f t="shared" si="34"/>
        <v>0.898</v>
      </c>
      <c r="P77" s="118">
        <f>L77+M77+1.716</f>
        <v>2.298</v>
      </c>
      <c r="Q77" s="199">
        <f t="shared" si="3"/>
        <v>4800.300267</v>
      </c>
      <c r="R77" s="162">
        <f t="shared" si="4"/>
        <v>1875.835352</v>
      </c>
    </row>
    <row r="78" ht="37.5" customHeight="1">
      <c r="A78" s="169" t="s">
        <v>2633</v>
      </c>
      <c r="B78" s="204" t="s">
        <v>2180</v>
      </c>
      <c r="C78" s="130"/>
      <c r="D78" s="205">
        <f>516/1.05+
275.613*1.18*2.5+
275.613*1.21*2.75+
275.613*1.24*3+
275.613*1.27*3.25+
275.613*1.3*3.5+
275.613*1.3*3.5*1.06*10</f>
        <v>18931.31634</v>
      </c>
      <c r="E78" s="135">
        <v>1.0</v>
      </c>
      <c r="F78" s="206"/>
      <c r="G78" s="206">
        <v>1.22</v>
      </c>
      <c r="H78" s="206">
        <f>1.25*0.666</f>
        <v>0.8325</v>
      </c>
      <c r="I78" s="206">
        <v>1.3</v>
      </c>
      <c r="J78" s="206">
        <v>1.15</v>
      </c>
      <c r="K78" s="177">
        <f t="shared" si="1"/>
        <v>28745.2492</v>
      </c>
      <c r="L78" s="207">
        <v>0.083</v>
      </c>
      <c r="M78" s="175">
        <v>5.8</v>
      </c>
      <c r="N78" s="175">
        <v>0.133</v>
      </c>
      <c r="O78" s="175">
        <f t="shared" si="34"/>
        <v>6.016</v>
      </c>
      <c r="P78" s="175">
        <f>L78+M78+0.566</f>
        <v>6.449</v>
      </c>
      <c r="Q78" s="208">
        <f t="shared" si="3"/>
        <v>4778.133178</v>
      </c>
      <c r="R78" s="177">
        <f t="shared" si="4"/>
        <v>4457.31884</v>
      </c>
    </row>
    <row r="79" ht="37.5" customHeight="1">
      <c r="A79" s="50" t="s">
        <v>2634</v>
      </c>
      <c r="B79" s="50" t="s">
        <v>1769</v>
      </c>
      <c r="C79" s="49"/>
      <c r="D79" s="194">
        <v>2778.75</v>
      </c>
      <c r="E79" s="128">
        <v>1.0</v>
      </c>
      <c r="F79" s="203"/>
      <c r="G79" s="197"/>
      <c r="H79" s="197"/>
      <c r="I79" s="197">
        <v>1.3</v>
      </c>
      <c r="J79" s="197">
        <v>1.65</v>
      </c>
      <c r="K79" s="162">
        <f t="shared" si="1"/>
        <v>5960.41875</v>
      </c>
      <c r="L79" s="198" t="s">
        <v>303</v>
      </c>
      <c r="M79" s="158" t="s">
        <v>303</v>
      </c>
      <c r="N79" s="158" t="s">
        <v>303</v>
      </c>
      <c r="O79" s="118">
        <v>1.283</v>
      </c>
      <c r="P79" s="118">
        <v>9.417</v>
      </c>
      <c r="Q79" s="199">
        <f t="shared" si="3"/>
        <v>4645.688815</v>
      </c>
      <c r="R79" s="162">
        <f t="shared" si="4"/>
        <v>632.942418</v>
      </c>
    </row>
    <row r="80" ht="37.5" customHeight="1">
      <c r="A80" s="50" t="s">
        <v>2635</v>
      </c>
      <c r="B80" s="49" t="s">
        <v>2164</v>
      </c>
      <c r="C80" s="49"/>
      <c r="D80" s="194">
        <f>3963.5*8</f>
        <v>31708</v>
      </c>
      <c r="E80" s="195">
        <v>1.0</v>
      </c>
      <c r="F80" s="197"/>
      <c r="G80" s="197"/>
      <c r="H80" s="197"/>
      <c r="I80" s="197">
        <v>1.3</v>
      </c>
      <c r="J80" s="197">
        <v>1.45</v>
      </c>
      <c r="K80" s="162">
        <f t="shared" si="1"/>
        <v>59769.58</v>
      </c>
      <c r="L80" s="198" t="s">
        <v>303</v>
      </c>
      <c r="M80" s="158" t="s">
        <v>303</v>
      </c>
      <c r="N80" s="158" t="s">
        <v>303</v>
      </c>
      <c r="O80" s="158">
        <v>13.23</v>
      </c>
      <c r="P80" s="118">
        <f t="shared" ref="P80:P81" si="35">O80</f>
        <v>13.23</v>
      </c>
      <c r="Q80" s="199">
        <f t="shared" si="3"/>
        <v>4517.730915</v>
      </c>
      <c r="R80" s="162">
        <f t="shared" si="4"/>
        <v>4517.730915</v>
      </c>
    </row>
    <row r="81" ht="37.5" customHeight="1">
      <c r="A81" s="117" t="s">
        <v>472</v>
      </c>
      <c r="B81" s="111" t="s">
        <v>2169</v>
      </c>
      <c r="C81" s="44"/>
      <c r="D81" s="200">
        <v>1016.191</v>
      </c>
      <c r="E81" s="128">
        <v>1.0</v>
      </c>
      <c r="F81" s="197"/>
      <c r="G81" s="197">
        <v>1.22</v>
      </c>
      <c r="H81" s="197">
        <f>1.25</f>
        <v>1.25</v>
      </c>
      <c r="I81" s="197">
        <v>1.3</v>
      </c>
      <c r="J81" s="197">
        <v>1.15</v>
      </c>
      <c r="K81" s="162">
        <f t="shared" si="1"/>
        <v>2316.788456</v>
      </c>
      <c r="L81" s="198">
        <v>0.2</v>
      </c>
      <c r="M81" s="118">
        <v>0.0</v>
      </c>
      <c r="N81" s="158">
        <v>0.317</v>
      </c>
      <c r="O81" s="118">
        <f>SUM(L81:N81)</f>
        <v>0.517</v>
      </c>
      <c r="P81" s="118">
        <f t="shared" si="35"/>
        <v>0.517</v>
      </c>
      <c r="Q81" s="199">
        <f t="shared" si="3"/>
        <v>4481.215582</v>
      </c>
      <c r="R81" s="162">
        <f t="shared" si="4"/>
        <v>4481.215582</v>
      </c>
    </row>
    <row r="82" ht="37.5" customHeight="1">
      <c r="A82" s="50" t="s">
        <v>2636</v>
      </c>
      <c r="B82" s="50" t="s">
        <v>1769</v>
      </c>
      <c r="C82" s="49"/>
      <c r="D82" s="194">
        <f>2778.75*4</f>
        <v>11115</v>
      </c>
      <c r="E82" s="128">
        <v>1.0</v>
      </c>
      <c r="F82" s="203"/>
      <c r="G82" s="197"/>
      <c r="H82" s="197"/>
      <c r="I82" s="197">
        <v>1.3</v>
      </c>
      <c r="J82" s="197">
        <v>1.65</v>
      </c>
      <c r="K82" s="162">
        <f t="shared" si="1"/>
        <v>23841.675</v>
      </c>
      <c r="L82" s="198" t="s">
        <v>303</v>
      </c>
      <c r="M82" s="158" t="s">
        <v>303</v>
      </c>
      <c r="N82" s="158" t="s">
        <v>303</v>
      </c>
      <c r="O82" s="118">
        <v>5.4</v>
      </c>
      <c r="P82" s="118">
        <v>10.267</v>
      </c>
      <c r="Q82" s="199">
        <f t="shared" si="3"/>
        <v>4415.125</v>
      </c>
      <c r="R82" s="162">
        <f t="shared" si="4"/>
        <v>2322.165676</v>
      </c>
    </row>
    <row r="83" ht="37.5" customHeight="1">
      <c r="A83" s="50" t="s">
        <v>2637</v>
      </c>
      <c r="B83" s="49" t="s">
        <v>2164</v>
      </c>
      <c r="C83" s="49"/>
      <c r="D83" s="194">
        <v>28785.0</v>
      </c>
      <c r="E83" s="128">
        <v>1.0</v>
      </c>
      <c r="F83" s="197"/>
      <c r="G83" s="197"/>
      <c r="H83" s="197">
        <v>1.1</v>
      </c>
      <c r="I83" s="197">
        <v>1.3</v>
      </c>
      <c r="J83" s="197">
        <v>1.45</v>
      </c>
      <c r="K83" s="162">
        <f t="shared" si="1"/>
        <v>59685.6975</v>
      </c>
      <c r="L83" s="198" t="s">
        <v>303</v>
      </c>
      <c r="M83" s="158" t="s">
        <v>303</v>
      </c>
      <c r="N83" s="158" t="s">
        <v>303</v>
      </c>
      <c r="O83" s="158">
        <v>13.55</v>
      </c>
      <c r="P83" s="118">
        <f t="shared" ref="P83:P84" si="36">O83</f>
        <v>13.55</v>
      </c>
      <c r="Q83" s="199">
        <f t="shared" si="3"/>
        <v>4404.848524</v>
      </c>
      <c r="R83" s="162">
        <f t="shared" si="4"/>
        <v>4404.848524</v>
      </c>
    </row>
    <row r="84" ht="37.5" customHeight="1">
      <c r="A84" s="50" t="s">
        <v>2638</v>
      </c>
      <c r="B84" s="49" t="s">
        <v>2169</v>
      </c>
      <c r="C84" s="49"/>
      <c r="D84" s="194">
        <v>5750.584</v>
      </c>
      <c r="E84" s="128">
        <v>1.0</v>
      </c>
      <c r="F84" s="196"/>
      <c r="G84" s="197">
        <f>AVERAGE(1.17,1.1)</f>
        <v>1.135</v>
      </c>
      <c r="H84" s="197">
        <v>1.25</v>
      </c>
      <c r="I84" s="197">
        <v>1.3</v>
      </c>
      <c r="J84" s="197">
        <v>1.1</v>
      </c>
      <c r="K84" s="162">
        <f t="shared" si="1"/>
        <v>11666.8567</v>
      </c>
      <c r="L84" s="201">
        <v>2.417</v>
      </c>
      <c r="M84" s="118">
        <v>0.0</v>
      </c>
      <c r="N84" s="118">
        <v>0.233</v>
      </c>
      <c r="O84" s="118">
        <f>SUM(L84:N84)</f>
        <v>2.65</v>
      </c>
      <c r="P84" s="118">
        <f t="shared" si="36"/>
        <v>2.65</v>
      </c>
      <c r="Q84" s="199">
        <f t="shared" si="3"/>
        <v>4402.587435</v>
      </c>
      <c r="R84" s="162">
        <f t="shared" si="4"/>
        <v>4402.587435</v>
      </c>
    </row>
    <row r="85" ht="37.5" customHeight="1">
      <c r="A85" s="50" t="s">
        <v>2639</v>
      </c>
      <c r="B85" s="49" t="s">
        <v>2164</v>
      </c>
      <c r="C85" s="49"/>
      <c r="D85" s="200">
        <v>22874.0</v>
      </c>
      <c r="E85" s="128">
        <v>1.0</v>
      </c>
      <c r="F85" s="197"/>
      <c r="G85" s="197"/>
      <c r="H85" s="197"/>
      <c r="I85" s="197">
        <v>1.3</v>
      </c>
      <c r="J85" s="197">
        <v>1.45</v>
      </c>
      <c r="K85" s="162">
        <f t="shared" si="1"/>
        <v>43117.49</v>
      </c>
      <c r="L85" s="198" t="s">
        <v>303</v>
      </c>
      <c r="M85" s="158" t="s">
        <v>303</v>
      </c>
      <c r="N85" s="158" t="s">
        <v>303</v>
      </c>
      <c r="O85" s="158">
        <v>9.8</v>
      </c>
      <c r="P85" s="158">
        <v>9.8</v>
      </c>
      <c r="Q85" s="199">
        <f t="shared" si="3"/>
        <v>4399.743878</v>
      </c>
      <c r="R85" s="162">
        <f t="shared" si="4"/>
        <v>4399.743878</v>
      </c>
    </row>
    <row r="86" ht="37.5" customHeight="1">
      <c r="A86" s="50" t="s">
        <v>2640</v>
      </c>
      <c r="B86" s="50" t="s">
        <v>1756</v>
      </c>
      <c r="C86" s="49"/>
      <c r="D86" s="194">
        <f>136.349*4</f>
        <v>545.396</v>
      </c>
      <c r="E86" s="128">
        <v>11.0</v>
      </c>
      <c r="F86" s="197"/>
      <c r="G86" s="197"/>
      <c r="H86" s="118">
        <f>((1+1+0.1)+(1+1+0.2)+(1+1+1.2)*9)/11</f>
        <v>3.009090909</v>
      </c>
      <c r="I86" s="197">
        <v>1.3</v>
      </c>
      <c r="J86" s="197">
        <v>1.3</v>
      </c>
      <c r="K86" s="162">
        <f t="shared" si="1"/>
        <v>30508.90684</v>
      </c>
      <c r="L86" s="201">
        <v>0.0</v>
      </c>
      <c r="M86" s="118">
        <v>6.971</v>
      </c>
      <c r="N86" s="118">
        <v>0.0</v>
      </c>
      <c r="O86" s="118">
        <f t="shared" ref="O86:O88" si="37">SUM(L86:N86)</f>
        <v>6.971</v>
      </c>
      <c r="P86" s="118">
        <f t="shared" ref="P86:P87" si="38">O86</f>
        <v>6.971</v>
      </c>
      <c r="Q86" s="199">
        <f t="shared" si="3"/>
        <v>4376.546671</v>
      </c>
      <c r="R86" s="162">
        <f t="shared" si="4"/>
        <v>4376.546671</v>
      </c>
    </row>
    <row r="87" ht="37.5" customHeight="1">
      <c r="A87" s="50" t="s">
        <v>2641</v>
      </c>
      <c r="B87" s="49" t="s">
        <v>2169</v>
      </c>
      <c r="C87" s="44"/>
      <c r="D87" s="194">
        <v>748.671</v>
      </c>
      <c r="E87" s="128">
        <v>1.0</v>
      </c>
      <c r="F87" s="197">
        <v>1.15</v>
      </c>
      <c r="G87" s="197">
        <v>1.22</v>
      </c>
      <c r="H87" s="197">
        <f t="shared" ref="H87:H88" si="39">1.25</f>
        <v>1.25</v>
      </c>
      <c r="I87" s="197">
        <v>1.3</v>
      </c>
      <c r="J87" s="197">
        <v>1.15</v>
      </c>
      <c r="K87" s="162">
        <f t="shared" si="1"/>
        <v>1962.907741</v>
      </c>
      <c r="L87" s="201">
        <v>0.15</v>
      </c>
      <c r="M87" s="118">
        <v>0.0</v>
      </c>
      <c r="N87" s="118">
        <v>0.3</v>
      </c>
      <c r="O87" s="118">
        <f t="shared" si="37"/>
        <v>0.45</v>
      </c>
      <c r="P87" s="118">
        <f t="shared" si="38"/>
        <v>0.45</v>
      </c>
      <c r="Q87" s="199">
        <f t="shared" si="3"/>
        <v>4362.017201</v>
      </c>
      <c r="R87" s="162">
        <f t="shared" si="4"/>
        <v>4362.017201</v>
      </c>
    </row>
    <row r="88" ht="37.5" customHeight="1">
      <c r="A88" s="50" t="s">
        <v>2642</v>
      </c>
      <c r="B88" s="49" t="s">
        <v>2169</v>
      </c>
      <c r="C88" s="49"/>
      <c r="D88" s="194">
        <v>783.868</v>
      </c>
      <c r="E88" s="128">
        <v>1.0</v>
      </c>
      <c r="F88" s="197">
        <v>1.3</v>
      </c>
      <c r="G88" s="197">
        <v>1.22</v>
      </c>
      <c r="H88" s="197">
        <f t="shared" si="39"/>
        <v>1.25</v>
      </c>
      <c r="I88" s="197">
        <v>1.3</v>
      </c>
      <c r="J88" s="197">
        <v>1.15</v>
      </c>
      <c r="K88" s="162">
        <f t="shared" si="1"/>
        <v>2323.257373</v>
      </c>
      <c r="L88" s="201">
        <v>0.2</v>
      </c>
      <c r="M88" s="118">
        <v>0.0</v>
      </c>
      <c r="N88" s="118">
        <v>0.333</v>
      </c>
      <c r="O88" s="118">
        <f t="shared" si="37"/>
        <v>0.533</v>
      </c>
      <c r="P88" s="118">
        <v>0.533</v>
      </c>
      <c r="Q88" s="199">
        <f t="shared" si="3"/>
        <v>4358.831845</v>
      </c>
      <c r="R88" s="162">
        <f t="shared" si="4"/>
        <v>4358.831845</v>
      </c>
    </row>
    <row r="89" ht="37.5" customHeight="1">
      <c r="A89" s="50" t="s">
        <v>2643</v>
      </c>
      <c r="B89" s="49" t="s">
        <v>2164</v>
      </c>
      <c r="C89" s="49"/>
      <c r="D89" s="194">
        <v>16018.159</v>
      </c>
      <c r="E89" s="195">
        <v>1.0</v>
      </c>
      <c r="F89" s="197"/>
      <c r="G89" s="197"/>
      <c r="H89" s="197">
        <v>1.1</v>
      </c>
      <c r="I89" s="197">
        <v>1.3</v>
      </c>
      <c r="J89" s="197">
        <v>1.45</v>
      </c>
      <c r="K89" s="162">
        <f t="shared" si="1"/>
        <v>33213.65269</v>
      </c>
      <c r="L89" s="198" t="s">
        <v>303</v>
      </c>
      <c r="M89" s="158" t="s">
        <v>303</v>
      </c>
      <c r="N89" s="158" t="s">
        <v>303</v>
      </c>
      <c r="O89" s="158">
        <v>7.68</v>
      </c>
      <c r="P89" s="118">
        <f>O89</f>
        <v>7.68</v>
      </c>
      <c r="Q89" s="199">
        <f t="shared" si="3"/>
        <v>4324.69436</v>
      </c>
      <c r="R89" s="162">
        <f t="shared" si="4"/>
        <v>4324.69436</v>
      </c>
    </row>
    <row r="90" ht="37.5" customHeight="1">
      <c r="A90" s="169" t="s">
        <v>2644</v>
      </c>
      <c r="B90" s="204" t="s">
        <v>2180</v>
      </c>
      <c r="C90" s="130"/>
      <c r="D90" s="205">
        <f>275.613+
275.613*1.03*1.25+
275.613*1.06*1.5+
275.613*1.09*1.75+
275.613*1.12*2+
275.613*1.15*2.25+
275.613*1.18*2.5*1.06+
275.613*1.21*2.75*1.06+
275.613*1.24*3*1.06+
275.613*1.27*3.25*1.06+
275.613*1.3*3.5*1.06*7</f>
        <v>16356.5291</v>
      </c>
      <c r="E90" s="135">
        <v>1.0</v>
      </c>
      <c r="F90" s="206"/>
      <c r="G90" s="206">
        <v>1.22</v>
      </c>
      <c r="H90" s="206">
        <f>1.25*0.666</f>
        <v>0.8325</v>
      </c>
      <c r="I90" s="206">
        <v>1.3</v>
      </c>
      <c r="J90" s="206">
        <v>1.15</v>
      </c>
      <c r="K90" s="177">
        <f t="shared" si="1"/>
        <v>24835.70062</v>
      </c>
      <c r="L90" s="207">
        <v>0.083</v>
      </c>
      <c r="M90" s="175">
        <f>0.349*16</f>
        <v>5.584</v>
      </c>
      <c r="N90" s="175">
        <v>0.133</v>
      </c>
      <c r="O90" s="175">
        <f>SUM(L90:N90)</f>
        <v>5.8</v>
      </c>
      <c r="P90" s="175">
        <f>L90+M90+0.566</f>
        <v>6.233</v>
      </c>
      <c r="Q90" s="208">
        <f t="shared" si="3"/>
        <v>4282.017349</v>
      </c>
      <c r="R90" s="177">
        <f t="shared" si="4"/>
        <v>3984.550076</v>
      </c>
    </row>
    <row r="91" ht="37.5" customHeight="1">
      <c r="A91" s="50" t="s">
        <v>2645</v>
      </c>
      <c r="B91" s="49" t="s">
        <v>2164</v>
      </c>
      <c r="C91" s="49"/>
      <c r="D91" s="194">
        <v>26143.0</v>
      </c>
      <c r="E91" s="128">
        <v>1.0</v>
      </c>
      <c r="F91" s="197"/>
      <c r="G91" s="197"/>
      <c r="H91" s="197"/>
      <c r="I91" s="197">
        <v>1.3</v>
      </c>
      <c r="J91" s="197">
        <v>1.45</v>
      </c>
      <c r="K91" s="162">
        <f t="shared" si="1"/>
        <v>49279.555</v>
      </c>
      <c r="L91" s="198" t="s">
        <v>303</v>
      </c>
      <c r="M91" s="158" t="s">
        <v>303</v>
      </c>
      <c r="N91" s="158" t="s">
        <v>303</v>
      </c>
      <c r="O91" s="118">
        <f>8.67+3.034</f>
        <v>11.704</v>
      </c>
      <c r="P91" s="118">
        <f>O91</f>
        <v>11.704</v>
      </c>
      <c r="Q91" s="199">
        <f t="shared" si="3"/>
        <v>4210.488295</v>
      </c>
      <c r="R91" s="162">
        <f t="shared" si="4"/>
        <v>4210.488295</v>
      </c>
    </row>
    <row r="92" ht="37.5" customHeight="1">
      <c r="A92" s="50" t="s">
        <v>2646</v>
      </c>
      <c r="B92" s="49" t="s">
        <v>2164</v>
      </c>
      <c r="C92" s="49"/>
      <c r="D92" s="194">
        <v>26599.5</v>
      </c>
      <c r="E92" s="195">
        <v>1.0</v>
      </c>
      <c r="F92" s="197"/>
      <c r="G92" s="197"/>
      <c r="H92" s="197"/>
      <c r="I92" s="197">
        <v>1.3</v>
      </c>
      <c r="J92" s="197">
        <v>1.45</v>
      </c>
      <c r="K92" s="162">
        <f t="shared" si="1"/>
        <v>50140.0575</v>
      </c>
      <c r="L92" s="198" t="s">
        <v>303</v>
      </c>
      <c r="M92" s="158" t="s">
        <v>303</v>
      </c>
      <c r="N92" s="158" t="s">
        <v>303</v>
      </c>
      <c r="O92" s="158">
        <v>12.08</v>
      </c>
      <c r="P92" s="118">
        <v>27.28</v>
      </c>
      <c r="Q92" s="199">
        <f t="shared" si="3"/>
        <v>4150.667012</v>
      </c>
      <c r="R92" s="162">
        <f t="shared" si="4"/>
        <v>1837.978647</v>
      </c>
    </row>
    <row r="93" ht="37.5" customHeight="1">
      <c r="A93" s="50" t="s">
        <v>2647</v>
      </c>
      <c r="B93" s="49" t="s">
        <v>2169</v>
      </c>
      <c r="C93" s="49"/>
      <c r="D93" s="194">
        <v>745.212</v>
      </c>
      <c r="E93" s="128">
        <v>8.0</v>
      </c>
      <c r="F93" s="197">
        <v>1.3</v>
      </c>
      <c r="G93" s="197">
        <v>1.22</v>
      </c>
      <c r="H93" s="197">
        <f>1.25</f>
        <v>1.25</v>
      </c>
      <c r="I93" s="197">
        <v>1.3</v>
      </c>
      <c r="J93" s="197">
        <v>1.1</v>
      </c>
      <c r="K93" s="162">
        <f t="shared" si="1"/>
        <v>16901.25912</v>
      </c>
      <c r="L93" s="201">
        <v>0.183</v>
      </c>
      <c r="M93" s="118">
        <f>0.508*7</f>
        <v>3.556</v>
      </c>
      <c r="N93" s="118">
        <v>0.333</v>
      </c>
      <c r="O93" s="118">
        <f>SUM(L93:N93)</f>
        <v>4.072</v>
      </c>
      <c r="P93" s="118">
        <f>L93+M93+0.333</f>
        <v>4.072</v>
      </c>
      <c r="Q93" s="199">
        <f t="shared" si="3"/>
        <v>4150.603909</v>
      </c>
      <c r="R93" s="162">
        <f t="shared" si="4"/>
        <v>4150.603909</v>
      </c>
    </row>
    <row r="94" ht="37.5" customHeight="1">
      <c r="A94" s="50" t="s">
        <v>2648</v>
      </c>
      <c r="B94" s="49" t="s">
        <v>2164</v>
      </c>
      <c r="C94" s="49"/>
      <c r="D94" s="194">
        <v>29804.0</v>
      </c>
      <c r="E94" s="128">
        <v>1.0</v>
      </c>
      <c r="F94" s="197"/>
      <c r="G94" s="197"/>
      <c r="H94" s="197"/>
      <c r="I94" s="197">
        <v>1.3</v>
      </c>
      <c r="J94" s="197">
        <v>1.45</v>
      </c>
      <c r="K94" s="162">
        <f t="shared" si="1"/>
        <v>56180.54</v>
      </c>
      <c r="L94" s="198" t="s">
        <v>303</v>
      </c>
      <c r="M94" s="158" t="s">
        <v>303</v>
      </c>
      <c r="N94" s="158" t="s">
        <v>303</v>
      </c>
      <c r="O94" s="158">
        <v>13.57</v>
      </c>
      <c r="P94" s="158">
        <v>18.35</v>
      </c>
      <c r="Q94" s="199">
        <f t="shared" si="3"/>
        <v>4140.054532</v>
      </c>
      <c r="R94" s="162">
        <f t="shared" si="4"/>
        <v>3061.609809</v>
      </c>
    </row>
    <row r="95" ht="37.5" customHeight="1">
      <c r="A95" s="50" t="s">
        <v>2649</v>
      </c>
      <c r="B95" s="49" t="s">
        <v>2164</v>
      </c>
      <c r="C95" s="49"/>
      <c r="D95" s="194">
        <f>16018.159/3</f>
        <v>5339.386333</v>
      </c>
      <c r="E95" s="195">
        <v>1.0</v>
      </c>
      <c r="F95" s="197"/>
      <c r="G95" s="197"/>
      <c r="H95" s="197">
        <v>1.1</v>
      </c>
      <c r="I95" s="197">
        <v>1.3</v>
      </c>
      <c r="J95" s="197">
        <v>1.45</v>
      </c>
      <c r="K95" s="162">
        <f t="shared" si="1"/>
        <v>11071.21756</v>
      </c>
      <c r="L95" s="198" t="s">
        <v>303</v>
      </c>
      <c r="M95" s="158" t="s">
        <v>303</v>
      </c>
      <c r="N95" s="158" t="s">
        <v>303</v>
      </c>
      <c r="O95" s="118">
        <v>2.683</v>
      </c>
      <c r="P95" s="118">
        <f>O95</f>
        <v>2.683</v>
      </c>
      <c r="Q95" s="199">
        <f t="shared" si="3"/>
        <v>4126.432189</v>
      </c>
      <c r="R95" s="162">
        <f t="shared" si="4"/>
        <v>4126.432189</v>
      </c>
    </row>
    <row r="96" ht="37.5" customHeight="1">
      <c r="A96" s="50" t="s">
        <v>2650</v>
      </c>
      <c r="B96" s="111" t="s">
        <v>2169</v>
      </c>
      <c r="C96" s="44"/>
      <c r="D96" s="194">
        <v>1715.846</v>
      </c>
      <c r="E96" s="128">
        <v>2.0</v>
      </c>
      <c r="F96" s="203"/>
      <c r="G96" s="197">
        <v>1.22</v>
      </c>
      <c r="H96" s="197">
        <f>1.25</f>
        <v>1.25</v>
      </c>
      <c r="I96" s="197">
        <v>1.3</v>
      </c>
      <c r="J96" s="197">
        <v>1.1</v>
      </c>
      <c r="K96" s="162">
        <f t="shared" si="1"/>
        <v>7483.662329</v>
      </c>
      <c r="L96" s="201">
        <v>0.216</v>
      </c>
      <c r="M96" s="118">
        <v>1.3</v>
      </c>
      <c r="N96" s="118">
        <v>0.3</v>
      </c>
      <c r="O96" s="118">
        <f>SUM(L96:N96)</f>
        <v>1.816</v>
      </c>
      <c r="P96" s="118">
        <f>L96+M96+2</f>
        <v>3.516</v>
      </c>
      <c r="Q96" s="199">
        <f t="shared" si="3"/>
        <v>4120.959432</v>
      </c>
      <c r="R96" s="162">
        <f t="shared" si="4"/>
        <v>2128.459138</v>
      </c>
    </row>
    <row r="97" ht="37.5" customHeight="1">
      <c r="A97" s="50" t="s">
        <v>2651</v>
      </c>
      <c r="B97" s="49" t="s">
        <v>2164</v>
      </c>
      <c r="C97" s="49"/>
      <c r="D97" s="194">
        <v>18910.0</v>
      </c>
      <c r="E97" s="128">
        <v>1.0</v>
      </c>
      <c r="F97" s="197"/>
      <c r="G97" s="197"/>
      <c r="H97" s="197"/>
      <c r="I97" s="197">
        <v>1.3</v>
      </c>
      <c r="J97" s="197">
        <v>1.45</v>
      </c>
      <c r="K97" s="162">
        <f t="shared" si="1"/>
        <v>35645.35</v>
      </c>
      <c r="L97" s="198" t="s">
        <v>303</v>
      </c>
      <c r="M97" s="158" t="s">
        <v>303</v>
      </c>
      <c r="N97" s="158" t="s">
        <v>303</v>
      </c>
      <c r="O97" s="158">
        <v>8.67</v>
      </c>
      <c r="P97" s="158">
        <v>8.67</v>
      </c>
      <c r="Q97" s="199">
        <f t="shared" si="3"/>
        <v>4111.343714</v>
      </c>
      <c r="R97" s="162">
        <f t="shared" si="4"/>
        <v>4111.343714</v>
      </c>
    </row>
    <row r="98" ht="37.5" customHeight="1">
      <c r="A98" s="50" t="s">
        <v>2652</v>
      </c>
      <c r="B98" s="49" t="s">
        <v>852</v>
      </c>
      <c r="C98" s="44"/>
      <c r="D98" s="194">
        <v>739.507</v>
      </c>
      <c r="E98" s="128">
        <v>6.0</v>
      </c>
      <c r="F98" s="197"/>
      <c r="G98" s="197">
        <v>1.22</v>
      </c>
      <c r="H98" s="197">
        <f>1.25</f>
        <v>1.25</v>
      </c>
      <c r="I98" s="197">
        <v>1.3</v>
      </c>
      <c r="J98" s="197">
        <v>1.1</v>
      </c>
      <c r="K98" s="162">
        <f t="shared" si="1"/>
        <v>9676.079342</v>
      </c>
      <c r="L98" s="201">
        <v>0.2</v>
      </c>
      <c r="M98" s="118">
        <f>2.567/7*5</f>
        <v>1.833571429</v>
      </c>
      <c r="N98" s="118">
        <v>0.333</v>
      </c>
      <c r="O98" s="118">
        <f>SUM(L98:N98)</f>
        <v>2.366571429</v>
      </c>
      <c r="P98" s="118">
        <f>O98</f>
        <v>2.366571429</v>
      </c>
      <c r="Q98" s="199">
        <f t="shared" si="3"/>
        <v>4088.648762</v>
      </c>
      <c r="R98" s="162">
        <f t="shared" si="4"/>
        <v>4088.648762</v>
      </c>
    </row>
    <row r="99" ht="37.5" customHeight="1">
      <c r="A99" s="50" t="s">
        <v>2653</v>
      </c>
      <c r="B99" s="49" t="s">
        <v>2164</v>
      </c>
      <c r="C99" s="105"/>
      <c r="D99" s="194">
        <v>19258.0</v>
      </c>
      <c r="E99" s="128">
        <v>1.0</v>
      </c>
      <c r="F99" s="197"/>
      <c r="G99" s="197"/>
      <c r="H99" s="197"/>
      <c r="I99" s="197">
        <v>1.3</v>
      </c>
      <c r="J99" s="197">
        <v>1.45</v>
      </c>
      <c r="K99" s="162">
        <f t="shared" si="1"/>
        <v>36301.33</v>
      </c>
      <c r="L99" s="198" t="s">
        <v>303</v>
      </c>
      <c r="M99" s="158" t="s">
        <v>303</v>
      </c>
      <c r="N99" s="158" t="s">
        <v>303</v>
      </c>
      <c r="O99" s="158">
        <v>9.017</v>
      </c>
      <c r="P99" s="158">
        <v>9.017</v>
      </c>
      <c r="Q99" s="199">
        <f t="shared" si="3"/>
        <v>4025.876677</v>
      </c>
      <c r="R99" s="162">
        <f t="shared" si="4"/>
        <v>4025.876677</v>
      </c>
    </row>
    <row r="100" ht="37.5" customHeight="1">
      <c r="A100" s="50" t="s">
        <v>2654</v>
      </c>
      <c r="B100" s="50" t="s">
        <v>1769</v>
      </c>
      <c r="C100" s="49"/>
      <c r="D100" s="194">
        <v>1744.621</v>
      </c>
      <c r="E100" s="128">
        <v>1.0</v>
      </c>
      <c r="F100" s="203"/>
      <c r="G100" s="197"/>
      <c r="H100" s="196">
        <v>1.35</v>
      </c>
      <c r="I100" s="197">
        <v>1.3</v>
      </c>
      <c r="J100" s="197">
        <v>1.65</v>
      </c>
      <c r="K100" s="162">
        <f t="shared" si="1"/>
        <v>5051.986261</v>
      </c>
      <c r="L100" s="198" t="s">
        <v>303</v>
      </c>
      <c r="M100" s="158" t="s">
        <v>303</v>
      </c>
      <c r="N100" s="158" t="s">
        <v>303</v>
      </c>
      <c r="O100" s="118">
        <v>1.283</v>
      </c>
      <c r="P100" s="118">
        <v>7.2</v>
      </c>
      <c r="Q100" s="199">
        <f t="shared" si="3"/>
        <v>3937.635433</v>
      </c>
      <c r="R100" s="162">
        <f t="shared" si="4"/>
        <v>701.6647584</v>
      </c>
    </row>
    <row r="101" ht="37.5" customHeight="1">
      <c r="A101" s="50" t="s">
        <v>2655</v>
      </c>
      <c r="B101" s="49" t="s">
        <v>2164</v>
      </c>
      <c r="C101" s="49"/>
      <c r="D101" s="194">
        <v>21738.0</v>
      </c>
      <c r="E101" s="128">
        <v>1.0</v>
      </c>
      <c r="F101" s="197"/>
      <c r="G101" s="197"/>
      <c r="H101" s="197"/>
      <c r="I101" s="197">
        <v>1.3</v>
      </c>
      <c r="J101" s="197">
        <v>1.45</v>
      </c>
      <c r="K101" s="162">
        <f t="shared" si="1"/>
        <v>40976.13</v>
      </c>
      <c r="L101" s="198" t="s">
        <v>303</v>
      </c>
      <c r="M101" s="158" t="s">
        <v>303</v>
      </c>
      <c r="N101" s="158" t="s">
        <v>303</v>
      </c>
      <c r="O101" s="158">
        <v>10.42</v>
      </c>
      <c r="P101" s="118">
        <f t="shared" ref="P101:P104" si="40">O101</f>
        <v>10.42</v>
      </c>
      <c r="Q101" s="199">
        <f t="shared" si="3"/>
        <v>3932.450096</v>
      </c>
      <c r="R101" s="162">
        <f t="shared" si="4"/>
        <v>3932.450096</v>
      </c>
    </row>
    <row r="102" ht="37.5" customHeight="1">
      <c r="A102" s="169" t="s">
        <v>2656</v>
      </c>
      <c r="B102" s="204" t="s">
        <v>2180</v>
      </c>
      <c r="C102" s="133"/>
      <c r="D102" s="205">
        <f>930+467.238*3.7+467.238*4.15+467.238*4.5*5</f>
        <v>15110.6733</v>
      </c>
      <c r="E102" s="135">
        <v>1.0</v>
      </c>
      <c r="F102" s="206"/>
      <c r="G102" s="216">
        <v>1.22</v>
      </c>
      <c r="H102" s="206">
        <f>1.25*0.666</f>
        <v>0.8325</v>
      </c>
      <c r="I102" s="206">
        <v>1.3</v>
      </c>
      <c r="J102" s="206">
        <v>1.15</v>
      </c>
      <c r="K102" s="177">
        <f t="shared" si="1"/>
        <v>22943.99723</v>
      </c>
      <c r="L102" s="215">
        <v>0.1</v>
      </c>
      <c r="M102" s="172">
        <v>5.467</v>
      </c>
      <c r="N102" s="175">
        <v>0.333</v>
      </c>
      <c r="O102" s="175">
        <f t="shared" ref="O102:O105" si="41">SUM(L102:N102)</f>
        <v>5.9</v>
      </c>
      <c r="P102" s="175">
        <f t="shared" si="40"/>
        <v>5.9</v>
      </c>
      <c r="Q102" s="208">
        <f t="shared" si="3"/>
        <v>3888.81309</v>
      </c>
      <c r="R102" s="177">
        <f t="shared" si="4"/>
        <v>3888.81309</v>
      </c>
    </row>
    <row r="103" ht="37.5" customHeight="1">
      <c r="A103" s="50" t="s">
        <v>2657</v>
      </c>
      <c r="B103" s="49" t="s">
        <v>2169</v>
      </c>
      <c r="C103" s="44"/>
      <c r="D103" s="194">
        <v>712.149</v>
      </c>
      <c r="E103" s="128">
        <v>1.0</v>
      </c>
      <c r="F103" s="197">
        <v>1.15</v>
      </c>
      <c r="G103" s="197">
        <v>1.22</v>
      </c>
      <c r="H103" s="197">
        <f t="shared" ref="H103:H105" si="42">1.25</f>
        <v>1.25</v>
      </c>
      <c r="I103" s="197">
        <v>1.3</v>
      </c>
      <c r="J103" s="197">
        <v>1.15</v>
      </c>
      <c r="K103" s="162">
        <f t="shared" si="1"/>
        <v>1867.152307</v>
      </c>
      <c r="L103" s="201">
        <v>0.183</v>
      </c>
      <c r="M103" s="118">
        <v>0.0</v>
      </c>
      <c r="N103" s="118">
        <v>0.3</v>
      </c>
      <c r="O103" s="118">
        <f t="shared" si="41"/>
        <v>0.483</v>
      </c>
      <c r="P103" s="118">
        <f t="shared" si="40"/>
        <v>0.483</v>
      </c>
      <c r="Q103" s="199">
        <f t="shared" si="3"/>
        <v>3865.739765</v>
      </c>
      <c r="R103" s="162">
        <f t="shared" si="4"/>
        <v>3865.739765</v>
      </c>
    </row>
    <row r="104" ht="37.5" customHeight="1">
      <c r="A104" s="50" t="s">
        <v>2658</v>
      </c>
      <c r="B104" s="49" t="s">
        <v>852</v>
      </c>
      <c r="C104" s="44"/>
      <c r="D104" s="194">
        <v>497.126</v>
      </c>
      <c r="E104" s="128">
        <v>8.0</v>
      </c>
      <c r="F104" s="197"/>
      <c r="G104" s="197">
        <v>1.22</v>
      </c>
      <c r="H104" s="197">
        <f t="shared" si="42"/>
        <v>1.25</v>
      </c>
      <c r="I104" s="197">
        <v>1.3</v>
      </c>
      <c r="J104" s="197">
        <v>1.15</v>
      </c>
      <c r="K104" s="162">
        <f t="shared" si="1"/>
        <v>9067.081114</v>
      </c>
      <c r="L104" s="201">
        <v>0.216</v>
      </c>
      <c r="M104" s="118">
        <f>3.033*0.6</f>
        <v>1.8198</v>
      </c>
      <c r="N104" s="118">
        <v>0.316</v>
      </c>
      <c r="O104" s="118">
        <f t="shared" si="41"/>
        <v>2.3518</v>
      </c>
      <c r="P104" s="118">
        <f t="shared" si="40"/>
        <v>2.3518</v>
      </c>
      <c r="Q104" s="199">
        <f t="shared" si="3"/>
        <v>3855.379332</v>
      </c>
      <c r="R104" s="162">
        <f t="shared" si="4"/>
        <v>3855.379332</v>
      </c>
    </row>
    <row r="105" ht="37.5" customHeight="1">
      <c r="A105" s="50" t="s">
        <v>2659</v>
      </c>
      <c r="B105" s="49" t="s">
        <v>2169</v>
      </c>
      <c r="C105" s="44"/>
      <c r="D105" s="194">
        <v>951.485</v>
      </c>
      <c r="E105" s="128">
        <v>1.0</v>
      </c>
      <c r="F105" s="197"/>
      <c r="G105" s="197">
        <v>1.22</v>
      </c>
      <c r="H105" s="197">
        <f t="shared" si="42"/>
        <v>1.25</v>
      </c>
      <c r="I105" s="197">
        <v>1.3</v>
      </c>
      <c r="J105" s="197">
        <v>1.15</v>
      </c>
      <c r="K105" s="162">
        <f t="shared" si="1"/>
        <v>2169.266864</v>
      </c>
      <c r="L105" s="201">
        <v>0.3</v>
      </c>
      <c r="M105" s="118">
        <v>0.0</v>
      </c>
      <c r="N105" s="118">
        <v>0.266</v>
      </c>
      <c r="O105" s="118">
        <f t="shared" si="41"/>
        <v>0.566</v>
      </c>
      <c r="P105" s="118">
        <v>5.066</v>
      </c>
      <c r="Q105" s="199">
        <f t="shared" si="3"/>
        <v>3832.626969</v>
      </c>
      <c r="R105" s="162">
        <f t="shared" si="4"/>
        <v>428.2011181</v>
      </c>
    </row>
    <row r="106" ht="37.5" customHeight="1">
      <c r="A106" s="117" t="s">
        <v>2660</v>
      </c>
      <c r="B106" s="117" t="s">
        <v>2164</v>
      </c>
      <c r="C106" s="49"/>
      <c r="D106" s="194">
        <v>16653.0</v>
      </c>
      <c r="E106" s="195">
        <v>1.0</v>
      </c>
      <c r="F106" s="197"/>
      <c r="G106" s="197"/>
      <c r="H106" s="197"/>
      <c r="I106" s="196">
        <v>1.3</v>
      </c>
      <c r="J106" s="197">
        <v>1.45</v>
      </c>
      <c r="K106" s="162">
        <f t="shared" si="1"/>
        <v>31390.905</v>
      </c>
      <c r="L106" s="198" t="s">
        <v>303</v>
      </c>
      <c r="M106" s="158" t="s">
        <v>303</v>
      </c>
      <c r="N106" s="158" t="s">
        <v>303</v>
      </c>
      <c r="O106" s="158">
        <v>8.333</v>
      </c>
      <c r="P106" s="158">
        <f t="shared" ref="P106:P108" si="43">O106</f>
        <v>8.333</v>
      </c>
      <c r="Q106" s="199">
        <f t="shared" si="3"/>
        <v>3767.059282</v>
      </c>
      <c r="R106" s="162">
        <f t="shared" si="4"/>
        <v>3767.059282</v>
      </c>
    </row>
    <row r="107" ht="37.5" customHeight="1">
      <c r="A107" s="50" t="s">
        <v>2661</v>
      </c>
      <c r="B107" s="49" t="s">
        <v>2169</v>
      </c>
      <c r="C107" s="44"/>
      <c r="D107" s="194">
        <v>497.126</v>
      </c>
      <c r="E107" s="128">
        <v>8.0</v>
      </c>
      <c r="F107" s="197">
        <v>1.47</v>
      </c>
      <c r="G107" s="197">
        <v>1.22</v>
      </c>
      <c r="H107" s="197">
        <f t="shared" ref="H107:H108" si="44">1.25</f>
        <v>1.25</v>
      </c>
      <c r="I107" s="197">
        <v>1.3</v>
      </c>
      <c r="J107" s="197">
        <v>1.15</v>
      </c>
      <c r="K107" s="162">
        <f t="shared" si="1"/>
        <v>13328.60924</v>
      </c>
      <c r="L107" s="201">
        <v>0.216</v>
      </c>
      <c r="M107" s="118">
        <v>3.033</v>
      </c>
      <c r="N107" s="118">
        <v>0.316</v>
      </c>
      <c r="O107" s="118">
        <f t="shared" ref="O107:O108" si="45">SUM(L107:N107)</f>
        <v>3.565</v>
      </c>
      <c r="P107" s="118">
        <f t="shared" si="43"/>
        <v>3.565</v>
      </c>
      <c r="Q107" s="199">
        <f t="shared" si="3"/>
        <v>3738.740319</v>
      </c>
      <c r="R107" s="162">
        <f t="shared" si="4"/>
        <v>3738.740319</v>
      </c>
    </row>
    <row r="108" ht="37.5" customHeight="1">
      <c r="A108" s="117" t="s">
        <v>2662</v>
      </c>
      <c r="B108" s="111" t="s">
        <v>2169</v>
      </c>
      <c r="C108" s="167"/>
      <c r="D108" s="194">
        <v>541.777</v>
      </c>
      <c r="E108" s="128">
        <v>5.0</v>
      </c>
      <c r="F108" s="197"/>
      <c r="G108" s="197">
        <v>1.22</v>
      </c>
      <c r="H108" s="197">
        <f t="shared" si="44"/>
        <v>1.25</v>
      </c>
      <c r="I108" s="197">
        <v>1.3</v>
      </c>
      <c r="J108" s="197">
        <v>1.15</v>
      </c>
      <c r="K108" s="162">
        <f t="shared" si="1"/>
        <v>6175.919189</v>
      </c>
      <c r="L108" s="198">
        <v>0.283</v>
      </c>
      <c r="M108" s="158">
        <v>1.067</v>
      </c>
      <c r="N108" s="158">
        <v>0.333</v>
      </c>
      <c r="O108" s="118">
        <f t="shared" si="45"/>
        <v>1.683</v>
      </c>
      <c r="P108" s="118">
        <f t="shared" si="43"/>
        <v>1.683</v>
      </c>
      <c r="Q108" s="199">
        <f t="shared" si="3"/>
        <v>3669.589536</v>
      </c>
      <c r="R108" s="162">
        <f t="shared" si="4"/>
        <v>3669.589536</v>
      </c>
    </row>
    <row r="109" ht="37.5" customHeight="1">
      <c r="A109" s="50" t="s">
        <v>2663</v>
      </c>
      <c r="B109" s="50" t="s">
        <v>1769</v>
      </c>
      <c r="C109" s="156"/>
      <c r="D109" s="194">
        <v>2170.628</v>
      </c>
      <c r="E109" s="128">
        <v>1.0</v>
      </c>
      <c r="F109" s="203"/>
      <c r="G109" s="197"/>
      <c r="H109" s="197"/>
      <c r="I109" s="197">
        <v>1.3</v>
      </c>
      <c r="J109" s="197">
        <v>1.65</v>
      </c>
      <c r="K109" s="162">
        <f t="shared" si="1"/>
        <v>4655.99706</v>
      </c>
      <c r="L109" s="198" t="s">
        <v>303</v>
      </c>
      <c r="M109" s="158" t="s">
        <v>303</v>
      </c>
      <c r="N109" s="158" t="s">
        <v>303</v>
      </c>
      <c r="O109" s="118">
        <v>1.283</v>
      </c>
      <c r="P109" s="118">
        <v>9.5</v>
      </c>
      <c r="Q109" s="199">
        <f t="shared" si="3"/>
        <v>3628.992253</v>
      </c>
      <c r="R109" s="162">
        <f t="shared" si="4"/>
        <v>490.1049537</v>
      </c>
    </row>
    <row r="110" ht="37.5" customHeight="1">
      <c r="A110" s="50" t="s">
        <v>2664</v>
      </c>
      <c r="B110" s="49" t="s">
        <v>2164</v>
      </c>
      <c r="C110" s="156"/>
      <c r="D110" s="194">
        <v>29569.5</v>
      </c>
      <c r="E110" s="195">
        <v>1.0</v>
      </c>
      <c r="F110" s="197"/>
      <c r="G110" s="197"/>
      <c r="H110" s="197"/>
      <c r="I110" s="197">
        <v>1.3</v>
      </c>
      <c r="J110" s="197">
        <f>96150/68229</f>
        <v>1.409224816</v>
      </c>
      <c r="K110" s="162">
        <f t="shared" si="1"/>
        <v>54171.09517</v>
      </c>
      <c r="L110" s="198" t="s">
        <v>303</v>
      </c>
      <c r="M110" s="158" t="s">
        <v>303</v>
      </c>
      <c r="N110" s="158" t="s">
        <v>303</v>
      </c>
      <c r="O110" s="158">
        <v>14.97</v>
      </c>
      <c r="P110" s="118">
        <f t="shared" ref="P110:P115" si="46">O110</f>
        <v>14.97</v>
      </c>
      <c r="Q110" s="199">
        <f t="shared" si="3"/>
        <v>3618.643632</v>
      </c>
      <c r="R110" s="162">
        <f t="shared" si="4"/>
        <v>3618.643632</v>
      </c>
    </row>
    <row r="111" ht="37.5" customHeight="1">
      <c r="A111" s="50" t="s">
        <v>2665</v>
      </c>
      <c r="B111" s="50" t="s">
        <v>1756</v>
      </c>
      <c r="C111" s="156"/>
      <c r="D111" s="194">
        <f>389.038*2</f>
        <v>778.076</v>
      </c>
      <c r="E111" s="128">
        <v>1.0</v>
      </c>
      <c r="F111" s="197"/>
      <c r="G111" s="197"/>
      <c r="H111" s="197">
        <f>1+1.5</f>
        <v>2.5</v>
      </c>
      <c r="I111" s="197">
        <v>1.3</v>
      </c>
      <c r="J111" s="118">
        <f>1.3*1.65</f>
        <v>2.145</v>
      </c>
      <c r="K111" s="162">
        <f t="shared" si="1"/>
        <v>5424.162315</v>
      </c>
      <c r="L111" s="201">
        <v>0.0</v>
      </c>
      <c r="M111" s="118">
        <v>1.5</v>
      </c>
      <c r="N111" s="118">
        <v>0.0</v>
      </c>
      <c r="O111" s="118">
        <f t="shared" ref="O111:O112" si="47">SUM(L111:N111)</f>
        <v>1.5</v>
      </c>
      <c r="P111" s="118">
        <f t="shared" si="46"/>
        <v>1.5</v>
      </c>
      <c r="Q111" s="199">
        <f t="shared" si="3"/>
        <v>3616.10821</v>
      </c>
      <c r="R111" s="162">
        <f t="shared" si="4"/>
        <v>3616.10821</v>
      </c>
    </row>
    <row r="112" ht="37.5" customHeight="1">
      <c r="A112" s="50" t="s">
        <v>2666</v>
      </c>
      <c r="B112" s="49" t="s">
        <v>1779</v>
      </c>
      <c r="C112" s="44"/>
      <c r="D112" s="194">
        <v>1717.717</v>
      </c>
      <c r="E112" s="128">
        <v>1.0</v>
      </c>
      <c r="F112" s="197">
        <v>1.3</v>
      </c>
      <c r="G112" s="197">
        <v>1.22</v>
      </c>
      <c r="H112" s="197">
        <f>1.25</f>
        <v>1.25</v>
      </c>
      <c r="I112" s="197">
        <v>1.3</v>
      </c>
      <c r="J112" s="197">
        <v>1.1</v>
      </c>
      <c r="K112" s="162">
        <f t="shared" si="1"/>
        <v>4869.684752</v>
      </c>
      <c r="L112" s="201">
        <v>0.35</v>
      </c>
      <c r="M112" s="118">
        <v>0.233</v>
      </c>
      <c r="N112" s="118">
        <v>0.783</v>
      </c>
      <c r="O112" s="118">
        <f t="shared" si="47"/>
        <v>1.366</v>
      </c>
      <c r="P112" s="118">
        <f t="shared" si="46"/>
        <v>1.366</v>
      </c>
      <c r="Q112" s="199">
        <f t="shared" si="3"/>
        <v>3564.922952</v>
      </c>
      <c r="R112" s="162">
        <f t="shared" si="4"/>
        <v>3564.922952</v>
      </c>
    </row>
    <row r="113" ht="37.5" customHeight="1">
      <c r="A113" s="50" t="s">
        <v>2667</v>
      </c>
      <c r="B113" s="49" t="s">
        <v>2164</v>
      </c>
      <c r="C113" s="49"/>
      <c r="D113" s="194">
        <v>19856.0</v>
      </c>
      <c r="E113" s="128">
        <v>1.0</v>
      </c>
      <c r="F113" s="197"/>
      <c r="G113" s="197"/>
      <c r="H113" s="197"/>
      <c r="I113" s="197">
        <v>1.3</v>
      </c>
      <c r="J113" s="197">
        <v>1.45</v>
      </c>
      <c r="K113" s="162">
        <f t="shared" si="1"/>
        <v>37428.56</v>
      </c>
      <c r="L113" s="198" t="s">
        <v>303</v>
      </c>
      <c r="M113" s="158" t="s">
        <v>303</v>
      </c>
      <c r="N113" s="158" t="s">
        <v>303</v>
      </c>
      <c r="O113" s="118">
        <v>10.617</v>
      </c>
      <c r="P113" s="118">
        <f t="shared" si="46"/>
        <v>10.617</v>
      </c>
      <c r="Q113" s="199">
        <f t="shared" si="3"/>
        <v>3525.342375</v>
      </c>
      <c r="R113" s="162">
        <f t="shared" si="4"/>
        <v>3525.342375</v>
      </c>
    </row>
    <row r="114" ht="37.5" customHeight="1">
      <c r="A114" s="50" t="s">
        <v>2668</v>
      </c>
      <c r="B114" s="49" t="s">
        <v>2164</v>
      </c>
      <c r="C114" s="49"/>
      <c r="D114" s="200">
        <v>32386.957</v>
      </c>
      <c r="E114" s="128">
        <v>1.0</v>
      </c>
      <c r="F114" s="197"/>
      <c r="G114" s="197"/>
      <c r="H114" s="197"/>
      <c r="I114" s="197">
        <v>1.3</v>
      </c>
      <c r="J114" s="197">
        <f>96150/68229</f>
        <v>1.409224816</v>
      </c>
      <c r="K114" s="162">
        <f t="shared" si="1"/>
        <v>59332.65459</v>
      </c>
      <c r="L114" s="198" t="s">
        <v>303</v>
      </c>
      <c r="M114" s="158" t="s">
        <v>303</v>
      </c>
      <c r="N114" s="158" t="s">
        <v>303</v>
      </c>
      <c r="O114" s="158">
        <v>16.933</v>
      </c>
      <c r="P114" s="118">
        <f t="shared" si="46"/>
        <v>16.933</v>
      </c>
      <c r="Q114" s="199">
        <f t="shared" si="3"/>
        <v>3503.9659</v>
      </c>
      <c r="R114" s="162">
        <f t="shared" si="4"/>
        <v>3503.9659</v>
      </c>
    </row>
    <row r="115" ht="37.5" customHeight="1">
      <c r="A115" s="50" t="s">
        <v>2669</v>
      </c>
      <c r="B115" s="49" t="s">
        <v>2164</v>
      </c>
      <c r="C115" s="49"/>
      <c r="D115" s="194">
        <v>9789.0</v>
      </c>
      <c r="E115" s="195">
        <v>1.0</v>
      </c>
      <c r="F115" s="197"/>
      <c r="G115" s="197"/>
      <c r="H115" s="197"/>
      <c r="I115" s="197"/>
      <c r="J115" s="197">
        <v>1.45</v>
      </c>
      <c r="K115" s="162">
        <f t="shared" si="1"/>
        <v>14194.05</v>
      </c>
      <c r="L115" s="198" t="s">
        <v>303</v>
      </c>
      <c r="M115" s="158" t="s">
        <v>303</v>
      </c>
      <c r="N115" s="158" t="s">
        <v>303</v>
      </c>
      <c r="O115" s="158">
        <v>4.07</v>
      </c>
      <c r="P115" s="158">
        <f t="shared" si="46"/>
        <v>4.07</v>
      </c>
      <c r="Q115" s="199">
        <f t="shared" si="3"/>
        <v>3487.481572</v>
      </c>
      <c r="R115" s="162">
        <f t="shared" si="4"/>
        <v>3487.481572</v>
      </c>
    </row>
    <row r="116" ht="37.5" customHeight="1">
      <c r="A116" s="50" t="s">
        <v>2670</v>
      </c>
      <c r="B116" s="50" t="s">
        <v>1769</v>
      </c>
      <c r="C116" s="49"/>
      <c r="D116" s="200">
        <v>3501.343</v>
      </c>
      <c r="E116" s="128">
        <v>1.0</v>
      </c>
      <c r="F116" s="203"/>
      <c r="G116" s="197"/>
      <c r="H116" s="197"/>
      <c r="I116" s="197">
        <v>1.3</v>
      </c>
      <c r="J116" s="197">
        <v>1.65</v>
      </c>
      <c r="K116" s="162">
        <f t="shared" si="1"/>
        <v>7510.380735</v>
      </c>
      <c r="L116" s="198" t="s">
        <v>303</v>
      </c>
      <c r="M116" s="158" t="s">
        <v>303</v>
      </c>
      <c r="N116" s="158" t="s">
        <v>303</v>
      </c>
      <c r="O116" s="118">
        <v>2.167</v>
      </c>
      <c r="P116" s="118">
        <v>2.167</v>
      </c>
      <c r="Q116" s="199">
        <f t="shared" si="3"/>
        <v>3465.796371</v>
      </c>
      <c r="R116" s="162">
        <f t="shared" si="4"/>
        <v>3465.796371</v>
      </c>
    </row>
    <row r="117" ht="37.5" customHeight="1">
      <c r="A117" s="50" t="s">
        <v>2671</v>
      </c>
      <c r="B117" s="50" t="s">
        <v>1756</v>
      </c>
      <c r="C117" s="49"/>
      <c r="D117" s="194">
        <v>1113.661</v>
      </c>
      <c r="E117" s="128">
        <v>1.0</v>
      </c>
      <c r="F117" s="197"/>
      <c r="G117" s="197"/>
      <c r="H117" s="197">
        <f>1+1.65+0.5</f>
        <v>3.15</v>
      </c>
      <c r="I117" s="197">
        <v>1.3</v>
      </c>
      <c r="J117" s="197">
        <v>1.3</v>
      </c>
      <c r="K117" s="162">
        <f t="shared" si="1"/>
        <v>5928.574334</v>
      </c>
      <c r="L117" s="201">
        <v>0.0</v>
      </c>
      <c r="M117" s="118">
        <v>1.717</v>
      </c>
      <c r="N117" s="118">
        <v>0.0</v>
      </c>
      <c r="O117" s="118">
        <f>SUM(L117:N117)</f>
        <v>1.717</v>
      </c>
      <c r="P117" s="118">
        <f t="shared" ref="P117:P120" si="48">O117</f>
        <v>1.717</v>
      </c>
      <c r="Q117" s="199">
        <f t="shared" si="3"/>
        <v>3452.867987</v>
      </c>
      <c r="R117" s="162">
        <f t="shared" si="4"/>
        <v>3452.867987</v>
      </c>
    </row>
    <row r="118" ht="37.5" customHeight="1">
      <c r="A118" s="50" t="s">
        <v>2672</v>
      </c>
      <c r="B118" s="49" t="s">
        <v>2164</v>
      </c>
      <c r="C118" s="49"/>
      <c r="D118" s="194">
        <v>20890.56</v>
      </c>
      <c r="E118" s="195">
        <v>1.0</v>
      </c>
      <c r="F118" s="197"/>
      <c r="G118" s="197"/>
      <c r="H118" s="197"/>
      <c r="I118" s="197">
        <v>1.3</v>
      </c>
      <c r="J118" s="197">
        <v>1.45</v>
      </c>
      <c r="K118" s="162">
        <f t="shared" si="1"/>
        <v>39378.7056</v>
      </c>
      <c r="L118" s="198" t="s">
        <v>303</v>
      </c>
      <c r="M118" s="158" t="s">
        <v>303</v>
      </c>
      <c r="N118" s="158" t="s">
        <v>303</v>
      </c>
      <c r="O118" s="158">
        <v>11.48</v>
      </c>
      <c r="P118" s="118">
        <f t="shared" si="48"/>
        <v>11.48</v>
      </c>
      <c r="Q118" s="199">
        <f t="shared" si="3"/>
        <v>3430.200836</v>
      </c>
      <c r="R118" s="162">
        <f t="shared" si="4"/>
        <v>3430.200836</v>
      </c>
    </row>
    <row r="119" ht="37.5" customHeight="1">
      <c r="A119" s="50" t="s">
        <v>2673</v>
      </c>
      <c r="B119" s="49" t="s">
        <v>2169</v>
      </c>
      <c r="C119" s="49"/>
      <c r="D119" s="194">
        <v>800.505</v>
      </c>
      <c r="E119" s="128">
        <v>1.0</v>
      </c>
      <c r="F119" s="197">
        <v>1.15</v>
      </c>
      <c r="G119" s="197">
        <v>1.22</v>
      </c>
      <c r="H119" s="197">
        <f t="shared" ref="H119:H121" si="49">1.25</f>
        <v>1.25</v>
      </c>
      <c r="I119" s="197">
        <v>1.3</v>
      </c>
      <c r="J119" s="197">
        <v>1.15</v>
      </c>
      <c r="K119" s="162">
        <f t="shared" si="1"/>
        <v>2098.809037</v>
      </c>
      <c r="L119" s="201">
        <v>0.266</v>
      </c>
      <c r="M119" s="118">
        <v>0.0</v>
      </c>
      <c r="N119" s="118">
        <v>0.35</v>
      </c>
      <c r="O119" s="118">
        <f t="shared" ref="O119:O121" si="50">SUM(L119:N119)</f>
        <v>0.616</v>
      </c>
      <c r="P119" s="118">
        <f t="shared" si="48"/>
        <v>0.616</v>
      </c>
      <c r="Q119" s="199">
        <f t="shared" si="3"/>
        <v>3407.157528</v>
      </c>
      <c r="R119" s="162">
        <f t="shared" si="4"/>
        <v>3407.157528</v>
      </c>
    </row>
    <row r="120" ht="37.5" customHeight="1">
      <c r="A120" s="50" t="s">
        <v>2674</v>
      </c>
      <c r="B120" s="49" t="s">
        <v>2169</v>
      </c>
      <c r="C120" s="49"/>
      <c r="D120" s="194">
        <v>692.0</v>
      </c>
      <c r="E120" s="128">
        <v>1.0</v>
      </c>
      <c r="F120" s="197">
        <v>1.2</v>
      </c>
      <c r="G120" s="197">
        <v>1.22</v>
      </c>
      <c r="H120" s="197">
        <f t="shared" si="49"/>
        <v>1.25</v>
      </c>
      <c r="I120" s="197">
        <v>1.3</v>
      </c>
      <c r="J120" s="197">
        <v>1.15</v>
      </c>
      <c r="K120" s="162">
        <f t="shared" si="1"/>
        <v>1893.2082</v>
      </c>
      <c r="L120" s="201">
        <v>0.183</v>
      </c>
      <c r="M120" s="118">
        <v>0.0</v>
      </c>
      <c r="N120" s="118">
        <v>0.383</v>
      </c>
      <c r="O120" s="118">
        <f t="shared" si="50"/>
        <v>0.566</v>
      </c>
      <c r="P120" s="118">
        <f t="shared" si="48"/>
        <v>0.566</v>
      </c>
      <c r="Q120" s="199">
        <f t="shared" si="3"/>
        <v>3344.890813</v>
      </c>
      <c r="R120" s="162">
        <f t="shared" si="4"/>
        <v>3344.890813</v>
      </c>
    </row>
    <row r="121" ht="37.5" customHeight="1">
      <c r="A121" s="50" t="s">
        <v>814</v>
      </c>
      <c r="B121" s="49" t="s">
        <v>2169</v>
      </c>
      <c r="C121" s="44"/>
      <c r="D121" s="194">
        <v>676.674</v>
      </c>
      <c r="E121" s="128">
        <v>1.0</v>
      </c>
      <c r="F121" s="197"/>
      <c r="G121" s="197">
        <v>1.22</v>
      </c>
      <c r="H121" s="197">
        <f t="shared" si="49"/>
        <v>1.25</v>
      </c>
      <c r="I121" s="197">
        <v>1.3</v>
      </c>
      <c r="J121" s="197">
        <v>1.15</v>
      </c>
      <c r="K121" s="162">
        <f t="shared" si="1"/>
        <v>1542.732136</v>
      </c>
      <c r="L121" s="201">
        <v>0.216</v>
      </c>
      <c r="M121" s="118">
        <v>0.0</v>
      </c>
      <c r="N121" s="118">
        <v>0.25</v>
      </c>
      <c r="O121" s="118">
        <f t="shared" si="50"/>
        <v>0.466</v>
      </c>
      <c r="P121" s="118">
        <v>0.516</v>
      </c>
      <c r="Q121" s="199">
        <f t="shared" si="3"/>
        <v>3310.583982</v>
      </c>
      <c r="R121" s="162">
        <f t="shared" si="4"/>
        <v>2989.790961</v>
      </c>
    </row>
    <row r="122" ht="37.5" customHeight="1">
      <c r="A122" s="50" t="s">
        <v>2675</v>
      </c>
      <c r="B122" s="49" t="s">
        <v>2164</v>
      </c>
      <c r="C122" s="156"/>
      <c r="D122" s="194">
        <v>27534.0</v>
      </c>
      <c r="E122" s="195">
        <v>1.0</v>
      </c>
      <c r="F122" s="197"/>
      <c r="G122" s="197"/>
      <c r="H122" s="197"/>
      <c r="I122" s="197">
        <v>1.3</v>
      </c>
      <c r="J122" s="197">
        <v>1.45</v>
      </c>
      <c r="K122" s="162">
        <f t="shared" si="1"/>
        <v>51901.59</v>
      </c>
      <c r="L122" s="198" t="s">
        <v>303</v>
      </c>
      <c r="M122" s="158" t="s">
        <v>303</v>
      </c>
      <c r="N122" s="158" t="s">
        <v>303</v>
      </c>
      <c r="O122" s="158">
        <v>15.92</v>
      </c>
      <c r="P122" s="118">
        <f t="shared" ref="P122:P123" si="51">O122</f>
        <v>15.92</v>
      </c>
      <c r="Q122" s="199">
        <f t="shared" si="3"/>
        <v>3260.150126</v>
      </c>
      <c r="R122" s="162">
        <f t="shared" si="4"/>
        <v>3260.150126</v>
      </c>
    </row>
    <row r="123" ht="37.5" customHeight="1">
      <c r="A123" s="50" t="s">
        <v>2676</v>
      </c>
      <c r="B123" s="49" t="s">
        <v>2169</v>
      </c>
      <c r="C123" s="167"/>
      <c r="D123" s="194">
        <v>616.502</v>
      </c>
      <c r="E123" s="128">
        <v>1.0</v>
      </c>
      <c r="F123" s="197">
        <v>1.15</v>
      </c>
      <c r="G123" s="197">
        <v>1.22</v>
      </c>
      <c r="H123" s="197">
        <f t="shared" ref="H123:H124" si="52">1.25</f>
        <v>1.25</v>
      </c>
      <c r="I123" s="197">
        <v>1.3</v>
      </c>
      <c r="J123" s="197">
        <v>1.15</v>
      </c>
      <c r="K123" s="162">
        <f t="shared" si="1"/>
        <v>1616.379622</v>
      </c>
      <c r="L123" s="201">
        <v>0.166</v>
      </c>
      <c r="M123" s="118">
        <v>0.0</v>
      </c>
      <c r="N123" s="118">
        <v>0.333</v>
      </c>
      <c r="O123" s="118">
        <f t="shared" ref="O123:O124" si="53">SUM(L123:N123)</f>
        <v>0.499</v>
      </c>
      <c r="P123" s="118">
        <f t="shared" si="51"/>
        <v>0.499</v>
      </c>
      <c r="Q123" s="199">
        <f t="shared" si="3"/>
        <v>3239.237719</v>
      </c>
      <c r="R123" s="162">
        <f t="shared" si="4"/>
        <v>3239.237719</v>
      </c>
    </row>
    <row r="124" ht="37.5" customHeight="1">
      <c r="A124" s="50" t="s">
        <v>2677</v>
      </c>
      <c r="B124" s="49" t="s">
        <v>2169</v>
      </c>
      <c r="C124" s="167"/>
      <c r="D124" s="194">
        <v>632.741</v>
      </c>
      <c r="E124" s="128">
        <v>3.0</v>
      </c>
      <c r="F124" s="197"/>
      <c r="G124" s="197">
        <v>1.22</v>
      </c>
      <c r="H124" s="197">
        <f t="shared" si="52"/>
        <v>1.25</v>
      </c>
      <c r="I124" s="197">
        <v>1.3</v>
      </c>
      <c r="J124" s="197">
        <v>1.15</v>
      </c>
      <c r="K124" s="162">
        <f t="shared" si="1"/>
        <v>4327.711162</v>
      </c>
      <c r="L124" s="201">
        <v>0.183</v>
      </c>
      <c r="M124" s="118">
        <v>0.866</v>
      </c>
      <c r="N124" s="118">
        <v>0.3</v>
      </c>
      <c r="O124" s="118">
        <f t="shared" si="53"/>
        <v>1.349</v>
      </c>
      <c r="P124" s="118">
        <f>L124+M124+2.2</f>
        <v>3.249</v>
      </c>
      <c r="Q124" s="199">
        <f t="shared" si="3"/>
        <v>3208.088334</v>
      </c>
      <c r="R124" s="162">
        <f t="shared" si="4"/>
        <v>1332.013285</v>
      </c>
    </row>
    <row r="125" ht="37.5" customHeight="1">
      <c r="A125" s="50" t="s">
        <v>2678</v>
      </c>
      <c r="B125" s="49" t="s">
        <v>2164</v>
      </c>
      <c r="C125" s="156"/>
      <c r="D125" s="194">
        <v>20722.5</v>
      </c>
      <c r="E125" s="195">
        <v>1.0</v>
      </c>
      <c r="F125" s="197"/>
      <c r="G125" s="197"/>
      <c r="H125" s="197">
        <v>1.1</v>
      </c>
      <c r="I125" s="197">
        <v>1.3</v>
      </c>
      <c r="J125" s="197">
        <v>1.45</v>
      </c>
      <c r="K125" s="162">
        <f t="shared" si="1"/>
        <v>42968.10375</v>
      </c>
      <c r="L125" s="198" t="s">
        <v>303</v>
      </c>
      <c r="M125" s="158" t="s">
        <v>303</v>
      </c>
      <c r="N125" s="158" t="s">
        <v>303</v>
      </c>
      <c r="O125" s="158">
        <v>13.55</v>
      </c>
      <c r="P125" s="118">
        <f>O125</f>
        <v>13.55</v>
      </c>
      <c r="Q125" s="199">
        <f t="shared" si="3"/>
        <v>3171.077768</v>
      </c>
      <c r="R125" s="162">
        <f t="shared" si="4"/>
        <v>3171.077768</v>
      </c>
    </row>
    <row r="126" ht="37.5" customHeight="1">
      <c r="A126" s="50" t="s">
        <v>2679</v>
      </c>
      <c r="B126" s="50" t="s">
        <v>1769</v>
      </c>
      <c r="C126" s="156"/>
      <c r="D126" s="194">
        <v>1889.593</v>
      </c>
      <c r="E126" s="128">
        <v>1.0</v>
      </c>
      <c r="F126" s="203"/>
      <c r="G126" s="197"/>
      <c r="H126" s="197"/>
      <c r="I126" s="197">
        <v>1.3</v>
      </c>
      <c r="J126" s="197">
        <v>1.65</v>
      </c>
      <c r="K126" s="162">
        <f t="shared" si="1"/>
        <v>4053.176985</v>
      </c>
      <c r="L126" s="198" t="s">
        <v>303</v>
      </c>
      <c r="M126" s="158" t="s">
        <v>303</v>
      </c>
      <c r="N126" s="158" t="s">
        <v>303</v>
      </c>
      <c r="O126" s="118">
        <v>1.283</v>
      </c>
      <c r="P126" s="118">
        <v>2.717</v>
      </c>
      <c r="Q126" s="199">
        <f t="shared" si="3"/>
        <v>3159.140284</v>
      </c>
      <c r="R126" s="162">
        <f t="shared" si="4"/>
        <v>1491.783947</v>
      </c>
    </row>
    <row r="127" ht="37.5" customHeight="1">
      <c r="A127" s="50" t="s">
        <v>2680</v>
      </c>
      <c r="B127" s="49" t="s">
        <v>2169</v>
      </c>
      <c r="C127" s="167"/>
      <c r="D127" s="194">
        <v>4992.135</v>
      </c>
      <c r="E127" s="128">
        <v>1.0</v>
      </c>
      <c r="F127" s="197"/>
      <c r="G127" s="197">
        <v>1.22</v>
      </c>
      <c r="H127" s="197">
        <f>1.25</f>
        <v>1.25</v>
      </c>
      <c r="I127" s="197">
        <v>1.3</v>
      </c>
      <c r="J127" s="197">
        <v>1.15</v>
      </c>
      <c r="K127" s="162">
        <f t="shared" si="1"/>
        <v>11381.44378</v>
      </c>
      <c r="L127" s="201">
        <v>1.9</v>
      </c>
      <c r="M127" s="118">
        <v>1.317</v>
      </c>
      <c r="N127" s="118">
        <v>0.4</v>
      </c>
      <c r="O127" s="118">
        <f>SUM(L127:N127)</f>
        <v>3.617</v>
      </c>
      <c r="P127" s="118">
        <f t="shared" ref="P127:P129" si="54">O127</f>
        <v>3.617</v>
      </c>
      <c r="Q127" s="199">
        <f t="shared" si="3"/>
        <v>3146.652967</v>
      </c>
      <c r="R127" s="162">
        <f t="shared" si="4"/>
        <v>3146.652967</v>
      </c>
    </row>
    <row r="128" ht="37.5" customHeight="1">
      <c r="A128" s="50" t="s">
        <v>2681</v>
      </c>
      <c r="B128" s="49" t="s">
        <v>2164</v>
      </c>
      <c r="C128" s="49"/>
      <c r="D128" s="194">
        <v>21431.0</v>
      </c>
      <c r="E128" s="195">
        <v>1.0</v>
      </c>
      <c r="F128" s="197"/>
      <c r="G128" s="197"/>
      <c r="H128" s="197"/>
      <c r="I128" s="197">
        <v>1.3</v>
      </c>
      <c r="J128" s="197">
        <v>1.45</v>
      </c>
      <c r="K128" s="162">
        <f t="shared" si="1"/>
        <v>40397.435</v>
      </c>
      <c r="L128" s="198" t="s">
        <v>303</v>
      </c>
      <c r="M128" s="158" t="s">
        <v>303</v>
      </c>
      <c r="N128" s="158" t="s">
        <v>303</v>
      </c>
      <c r="O128" s="158">
        <v>12.92</v>
      </c>
      <c r="P128" s="118">
        <f t="shared" si="54"/>
        <v>12.92</v>
      </c>
      <c r="Q128" s="199">
        <f t="shared" si="3"/>
        <v>3126.736455</v>
      </c>
      <c r="R128" s="162">
        <f t="shared" si="4"/>
        <v>3126.736455</v>
      </c>
    </row>
    <row r="129" ht="37.5" customHeight="1">
      <c r="A129" s="169" t="s">
        <v>2682</v>
      </c>
      <c r="B129" s="204" t="s">
        <v>2180</v>
      </c>
      <c r="C129" s="182"/>
      <c r="D129" s="205">
        <f>467.238+467.238*1.45+467.238*1.9+467.238*2.35+467.238*2.8+467.238*3.25+467.238*3.7+467.238*4.15+467.238*4.5</f>
        <v>11727.6738</v>
      </c>
      <c r="E129" s="135">
        <v>1.0</v>
      </c>
      <c r="F129" s="206"/>
      <c r="G129" s="206">
        <v>1.22</v>
      </c>
      <c r="H129" s="206">
        <f>1.25*0.666</f>
        <v>0.8325</v>
      </c>
      <c r="I129" s="206">
        <v>1.3</v>
      </c>
      <c r="J129" s="206">
        <v>1.15</v>
      </c>
      <c r="K129" s="177">
        <f t="shared" si="1"/>
        <v>17807.26178</v>
      </c>
      <c r="L129" s="207">
        <v>0.083</v>
      </c>
      <c r="M129" s="175">
        <v>5.333</v>
      </c>
      <c r="N129" s="175">
        <v>0.333</v>
      </c>
      <c r="O129" s="175">
        <f>SUM(L129:N129)</f>
        <v>5.749</v>
      </c>
      <c r="P129" s="175">
        <f t="shared" si="54"/>
        <v>5.749</v>
      </c>
      <c r="Q129" s="208">
        <f t="shared" si="3"/>
        <v>3097.45378</v>
      </c>
      <c r="R129" s="177">
        <f t="shared" si="4"/>
        <v>3097.45378</v>
      </c>
    </row>
    <row r="130" ht="37.5" customHeight="1">
      <c r="A130" s="50" t="s">
        <v>2292</v>
      </c>
      <c r="B130" s="50" t="s">
        <v>1769</v>
      </c>
      <c r="C130" s="156"/>
      <c r="D130" s="194">
        <v>1827.135</v>
      </c>
      <c r="E130" s="128">
        <v>1.0</v>
      </c>
      <c r="F130" s="203"/>
      <c r="G130" s="197"/>
      <c r="H130" s="197"/>
      <c r="I130" s="197">
        <v>1.3</v>
      </c>
      <c r="J130" s="197">
        <v>1.65</v>
      </c>
      <c r="K130" s="162">
        <f t="shared" si="1"/>
        <v>3919.204575</v>
      </c>
      <c r="L130" s="198" t="s">
        <v>303</v>
      </c>
      <c r="M130" s="158" t="s">
        <v>303</v>
      </c>
      <c r="N130" s="158" t="s">
        <v>303</v>
      </c>
      <c r="O130" s="118">
        <v>1.283</v>
      </c>
      <c r="P130" s="118">
        <v>2.2</v>
      </c>
      <c r="Q130" s="199">
        <f t="shared" si="3"/>
        <v>3054.719076</v>
      </c>
      <c r="R130" s="162">
        <f t="shared" si="4"/>
        <v>1781.456625</v>
      </c>
    </row>
    <row r="131" ht="37.5" customHeight="1">
      <c r="A131" s="169" t="s">
        <v>2683</v>
      </c>
      <c r="B131" s="204" t="s">
        <v>2180</v>
      </c>
      <c r="C131" s="182"/>
      <c r="D131" s="174">
        <v>10566.5</v>
      </c>
      <c r="E131" s="135">
        <v>1.0</v>
      </c>
      <c r="F131" s="206"/>
      <c r="G131" s="206">
        <v>1.22</v>
      </c>
      <c r="H131" s="206">
        <f t="shared" ref="H131:H132" si="55">1.25*0.666</f>
        <v>0.8325</v>
      </c>
      <c r="I131" s="206">
        <v>1.3</v>
      </c>
      <c r="J131" s="206">
        <v>1.15</v>
      </c>
      <c r="K131" s="177">
        <f t="shared" si="1"/>
        <v>16044.13926</v>
      </c>
      <c r="L131" s="207">
        <v>0.166</v>
      </c>
      <c r="M131" s="175">
        <v>4.95</v>
      </c>
      <c r="N131" s="175">
        <v>0.25</v>
      </c>
      <c r="O131" s="175">
        <f t="shared" ref="O131:O132" si="56">SUM(L131:N131)</f>
        <v>5.366</v>
      </c>
      <c r="P131" s="175">
        <f t="shared" ref="P131:P134" si="57">O131</f>
        <v>5.366</v>
      </c>
      <c r="Q131" s="208">
        <f t="shared" si="3"/>
        <v>2989.96259</v>
      </c>
      <c r="R131" s="177">
        <f t="shared" si="4"/>
        <v>2989.96259</v>
      </c>
    </row>
    <row r="132" ht="37.5" customHeight="1">
      <c r="A132" s="169" t="s">
        <v>2684</v>
      </c>
      <c r="B132" s="130" t="s">
        <v>2180</v>
      </c>
      <c r="C132" s="182"/>
      <c r="D132" s="184">
        <v>9938.703</v>
      </c>
      <c r="E132" s="135">
        <v>1.0</v>
      </c>
      <c r="F132" s="216">
        <v>1.2</v>
      </c>
      <c r="G132" s="206">
        <v>1.22</v>
      </c>
      <c r="H132" s="206">
        <f t="shared" si="55"/>
        <v>0.8325</v>
      </c>
      <c r="I132" s="206">
        <v>1.3</v>
      </c>
      <c r="J132" s="216">
        <v>1.15</v>
      </c>
      <c r="K132" s="177">
        <f t="shared" si="1"/>
        <v>18109.0732</v>
      </c>
      <c r="L132" s="207">
        <v>0.083</v>
      </c>
      <c r="M132" s="175">
        <v>5.9</v>
      </c>
      <c r="N132" s="175">
        <v>0.25</v>
      </c>
      <c r="O132" s="175">
        <f t="shared" si="56"/>
        <v>6.233</v>
      </c>
      <c r="P132" s="175">
        <f t="shared" si="57"/>
        <v>6.233</v>
      </c>
      <c r="Q132" s="208">
        <f t="shared" si="3"/>
        <v>2905.354276</v>
      </c>
      <c r="R132" s="177">
        <f t="shared" si="4"/>
        <v>2905.354276</v>
      </c>
    </row>
    <row r="133" ht="37.5" customHeight="1">
      <c r="A133" s="50" t="s">
        <v>2685</v>
      </c>
      <c r="B133" s="49" t="s">
        <v>2164</v>
      </c>
      <c r="C133" s="49"/>
      <c r="D133" s="194">
        <v>25496.0</v>
      </c>
      <c r="E133" s="128">
        <v>1.0</v>
      </c>
      <c r="F133" s="197"/>
      <c r="G133" s="197"/>
      <c r="H133" s="197"/>
      <c r="I133" s="197">
        <v>1.3</v>
      </c>
      <c r="J133" s="197">
        <v>1.45</v>
      </c>
      <c r="K133" s="162">
        <f t="shared" si="1"/>
        <v>48059.96</v>
      </c>
      <c r="L133" s="198" t="s">
        <v>303</v>
      </c>
      <c r="M133" s="158" t="s">
        <v>303</v>
      </c>
      <c r="N133" s="158" t="s">
        <v>303</v>
      </c>
      <c r="O133" s="158">
        <v>16.8</v>
      </c>
      <c r="P133" s="118">
        <f t="shared" si="57"/>
        <v>16.8</v>
      </c>
      <c r="Q133" s="199">
        <f t="shared" si="3"/>
        <v>2860.711905</v>
      </c>
      <c r="R133" s="162">
        <f t="shared" si="4"/>
        <v>2860.711905</v>
      </c>
    </row>
    <row r="134" ht="37.5" customHeight="1">
      <c r="A134" s="50" t="s">
        <v>2686</v>
      </c>
      <c r="B134" s="49" t="s">
        <v>2169</v>
      </c>
      <c r="C134" s="44"/>
      <c r="D134" s="209">
        <v>644.59</v>
      </c>
      <c r="E134" s="128">
        <v>8.0</v>
      </c>
      <c r="F134" s="197">
        <f>(1+1.05+1.1+1.15+1.2+1.25+1.3+1.3)/8</f>
        <v>1.16875</v>
      </c>
      <c r="G134" s="197">
        <v>1.22</v>
      </c>
      <c r="H134" s="197">
        <v>1.25</v>
      </c>
      <c r="I134" s="197">
        <v>1.3</v>
      </c>
      <c r="J134" s="197">
        <v>1.15</v>
      </c>
      <c r="K134" s="162">
        <f t="shared" si="1"/>
        <v>13740.61626</v>
      </c>
      <c r="L134" s="201">
        <v>0.233</v>
      </c>
      <c r="M134" s="118">
        <f>0.633*7</f>
        <v>4.431</v>
      </c>
      <c r="N134" s="118">
        <v>0.25</v>
      </c>
      <c r="O134" s="118">
        <f>SUM(L134:N134)</f>
        <v>4.914</v>
      </c>
      <c r="P134" s="118">
        <f t="shared" si="57"/>
        <v>4.914</v>
      </c>
      <c r="Q134" s="199">
        <f t="shared" si="3"/>
        <v>2796.218204</v>
      </c>
      <c r="R134" s="162">
        <f t="shared" si="4"/>
        <v>2796.218204</v>
      </c>
    </row>
    <row r="135" ht="37.5" customHeight="1">
      <c r="A135" s="50" t="s">
        <v>2687</v>
      </c>
      <c r="B135" s="50" t="s">
        <v>1769</v>
      </c>
      <c r="C135" s="49"/>
      <c r="D135" s="194">
        <v>1629.75</v>
      </c>
      <c r="E135" s="128">
        <v>1.0</v>
      </c>
      <c r="F135" s="203"/>
      <c r="G135" s="197"/>
      <c r="H135" s="197"/>
      <c r="I135" s="197">
        <v>1.3</v>
      </c>
      <c r="J135" s="197">
        <v>1.65</v>
      </c>
      <c r="K135" s="162">
        <f t="shared" si="1"/>
        <v>3495.81375</v>
      </c>
      <c r="L135" s="198" t="s">
        <v>303</v>
      </c>
      <c r="M135" s="158" t="s">
        <v>303</v>
      </c>
      <c r="N135" s="158" t="s">
        <v>303</v>
      </c>
      <c r="O135" s="118">
        <v>1.283</v>
      </c>
      <c r="P135" s="118">
        <v>9.417</v>
      </c>
      <c r="Q135" s="199">
        <f t="shared" si="3"/>
        <v>2724.718433</v>
      </c>
      <c r="R135" s="162">
        <f t="shared" si="4"/>
        <v>371.2237177</v>
      </c>
    </row>
    <row r="136" ht="37.5" customHeight="1">
      <c r="A136" s="50" t="s">
        <v>2688</v>
      </c>
      <c r="B136" s="49" t="s">
        <v>2164</v>
      </c>
      <c r="C136" s="49"/>
      <c r="D136" s="194">
        <v>27228.0</v>
      </c>
      <c r="E136" s="195">
        <v>1.0</v>
      </c>
      <c r="F136" s="197"/>
      <c r="G136" s="197"/>
      <c r="H136" s="197"/>
      <c r="I136" s="197">
        <v>1.3</v>
      </c>
      <c r="J136" s="197">
        <v>1.45</v>
      </c>
      <c r="K136" s="162">
        <f t="shared" si="1"/>
        <v>51324.78</v>
      </c>
      <c r="L136" s="198" t="s">
        <v>303</v>
      </c>
      <c r="M136" s="158" t="s">
        <v>303</v>
      </c>
      <c r="N136" s="158" t="s">
        <v>303</v>
      </c>
      <c r="O136" s="118">
        <v>18.917</v>
      </c>
      <c r="P136" s="118">
        <f t="shared" ref="P136:P137" si="58">O136</f>
        <v>18.917</v>
      </c>
      <c r="Q136" s="199">
        <f t="shared" si="3"/>
        <v>2713.15642</v>
      </c>
      <c r="R136" s="162">
        <f t="shared" si="4"/>
        <v>2713.15642</v>
      </c>
    </row>
    <row r="137" ht="37.5" customHeight="1">
      <c r="A137" s="50" t="s">
        <v>2689</v>
      </c>
      <c r="B137" s="49" t="s">
        <v>2164</v>
      </c>
      <c r="C137" s="49"/>
      <c r="D137" s="200">
        <v>26546.087</v>
      </c>
      <c r="E137" s="128">
        <v>1.0</v>
      </c>
      <c r="F137" s="197"/>
      <c r="G137" s="197"/>
      <c r="H137" s="197"/>
      <c r="I137" s="197">
        <v>1.3</v>
      </c>
      <c r="J137" s="197">
        <f>71132/53549</f>
        <v>1.328353471</v>
      </c>
      <c r="K137" s="162">
        <f t="shared" si="1"/>
        <v>45841.36284</v>
      </c>
      <c r="L137" s="198" t="s">
        <v>303</v>
      </c>
      <c r="M137" s="158" t="s">
        <v>303</v>
      </c>
      <c r="N137" s="158" t="s">
        <v>303</v>
      </c>
      <c r="O137" s="158">
        <v>16.933</v>
      </c>
      <c r="P137" s="118">
        <f t="shared" si="58"/>
        <v>16.933</v>
      </c>
      <c r="Q137" s="199">
        <f t="shared" si="3"/>
        <v>2707.220388</v>
      </c>
      <c r="R137" s="162">
        <f t="shared" si="4"/>
        <v>2707.220388</v>
      </c>
    </row>
    <row r="138" ht="37.5" customHeight="1">
      <c r="A138" s="50" t="s">
        <v>2690</v>
      </c>
      <c r="B138" s="50" t="s">
        <v>1769</v>
      </c>
      <c r="C138" s="49"/>
      <c r="D138" s="194">
        <v>1470.779</v>
      </c>
      <c r="E138" s="128">
        <v>1.0</v>
      </c>
      <c r="F138" s="203"/>
      <c r="G138" s="197"/>
      <c r="H138" s="197">
        <v>1.1</v>
      </c>
      <c r="I138" s="197">
        <v>1.3</v>
      </c>
      <c r="J138" s="197">
        <v>1.65</v>
      </c>
      <c r="K138" s="162">
        <f t="shared" si="1"/>
        <v>3470.303051</v>
      </c>
      <c r="L138" s="198" t="s">
        <v>303</v>
      </c>
      <c r="M138" s="158" t="s">
        <v>303</v>
      </c>
      <c r="N138" s="158" t="s">
        <v>303</v>
      </c>
      <c r="O138" s="118">
        <v>1.283</v>
      </c>
      <c r="P138" s="118">
        <v>4.417</v>
      </c>
      <c r="Q138" s="199">
        <f t="shared" si="3"/>
        <v>2704.834802</v>
      </c>
      <c r="R138" s="162">
        <f t="shared" si="4"/>
        <v>785.6696967</v>
      </c>
    </row>
    <row r="139" ht="37.5" customHeight="1">
      <c r="A139" s="50" t="s">
        <v>2691</v>
      </c>
      <c r="B139" s="49" t="s">
        <v>1779</v>
      </c>
      <c r="C139" s="44"/>
      <c r="D139" s="194">
        <v>1626.523</v>
      </c>
      <c r="E139" s="128">
        <v>1.0</v>
      </c>
      <c r="F139" s="197">
        <v>1.3</v>
      </c>
      <c r="G139" s="197">
        <v>1.22</v>
      </c>
      <c r="H139" s="197">
        <f>1.25</f>
        <v>1.25</v>
      </c>
      <c r="I139" s="197">
        <v>1.3</v>
      </c>
      <c r="J139" s="197">
        <v>1.1</v>
      </c>
      <c r="K139" s="162">
        <f t="shared" si="1"/>
        <v>4611.152042</v>
      </c>
      <c r="L139" s="201">
        <v>0.55</v>
      </c>
      <c r="M139" s="118">
        <v>0.0</v>
      </c>
      <c r="N139" s="118">
        <v>1.167</v>
      </c>
      <c r="O139" s="118">
        <f>SUM(L139:N139)</f>
        <v>1.717</v>
      </c>
      <c r="P139" s="118">
        <f t="shared" ref="P139:P140" si="59">O139</f>
        <v>1.717</v>
      </c>
      <c r="Q139" s="199">
        <f t="shared" si="3"/>
        <v>2685.586512</v>
      </c>
      <c r="R139" s="162">
        <f t="shared" si="4"/>
        <v>2685.586512</v>
      </c>
    </row>
    <row r="140" ht="37.5" customHeight="1">
      <c r="A140" s="50" t="s">
        <v>2692</v>
      </c>
      <c r="B140" s="49" t="s">
        <v>2164</v>
      </c>
      <c r="C140" s="49"/>
      <c r="D140" s="194">
        <v>23244.0</v>
      </c>
      <c r="E140" s="195">
        <v>1.0</v>
      </c>
      <c r="F140" s="197"/>
      <c r="G140" s="197"/>
      <c r="H140" s="197"/>
      <c r="I140" s="197">
        <v>1.3</v>
      </c>
      <c r="J140" s="197">
        <f>71132/53549</f>
        <v>1.328353471</v>
      </c>
      <c r="K140" s="162">
        <f t="shared" si="1"/>
        <v>40139.12249</v>
      </c>
      <c r="L140" s="198" t="s">
        <v>303</v>
      </c>
      <c r="M140" s="158" t="s">
        <v>303</v>
      </c>
      <c r="N140" s="158" t="s">
        <v>303</v>
      </c>
      <c r="O140" s="158">
        <v>14.97</v>
      </c>
      <c r="P140" s="118">
        <f t="shared" si="59"/>
        <v>14.97</v>
      </c>
      <c r="Q140" s="199">
        <f t="shared" si="3"/>
        <v>2681.304108</v>
      </c>
      <c r="R140" s="162">
        <f t="shared" si="4"/>
        <v>2681.304108</v>
      </c>
    </row>
    <row r="141" ht="37.5" customHeight="1">
      <c r="A141" s="50" t="s">
        <v>2693</v>
      </c>
      <c r="B141" s="49" t="s">
        <v>2164</v>
      </c>
      <c r="C141" s="105"/>
      <c r="D141" s="194">
        <v>14974.0</v>
      </c>
      <c r="E141" s="128">
        <v>1.0</v>
      </c>
      <c r="F141" s="197"/>
      <c r="G141" s="197"/>
      <c r="H141" s="197"/>
      <c r="I141" s="197">
        <v>1.3</v>
      </c>
      <c r="J141" s="197">
        <v>1.45</v>
      </c>
      <c r="K141" s="162">
        <f t="shared" si="1"/>
        <v>28225.99</v>
      </c>
      <c r="L141" s="198" t="s">
        <v>303</v>
      </c>
      <c r="M141" s="158" t="s">
        <v>303</v>
      </c>
      <c r="N141" s="158" t="s">
        <v>303</v>
      </c>
      <c r="O141" s="158">
        <v>10.6</v>
      </c>
      <c r="P141" s="158">
        <v>10.6</v>
      </c>
      <c r="Q141" s="199">
        <f t="shared" si="3"/>
        <v>2662.829245</v>
      </c>
      <c r="R141" s="162">
        <f t="shared" si="4"/>
        <v>2662.829245</v>
      </c>
    </row>
    <row r="142" ht="37.5" customHeight="1">
      <c r="A142" s="117" t="s">
        <v>2694</v>
      </c>
      <c r="B142" s="117" t="s">
        <v>2164</v>
      </c>
      <c r="C142" s="49"/>
      <c r="D142" s="194">
        <v>15596.0</v>
      </c>
      <c r="E142" s="195">
        <v>1.0</v>
      </c>
      <c r="F142" s="197"/>
      <c r="G142" s="197"/>
      <c r="H142" s="197"/>
      <c r="I142" s="196">
        <v>1.3</v>
      </c>
      <c r="J142" s="197">
        <v>1.45</v>
      </c>
      <c r="K142" s="162">
        <f t="shared" si="1"/>
        <v>29398.46</v>
      </c>
      <c r="L142" s="198" t="s">
        <v>303</v>
      </c>
      <c r="M142" s="158" t="s">
        <v>303</v>
      </c>
      <c r="N142" s="158" t="s">
        <v>303</v>
      </c>
      <c r="O142" s="158">
        <v>11.67</v>
      </c>
      <c r="P142" s="158">
        <v>11.67</v>
      </c>
      <c r="Q142" s="199">
        <f t="shared" si="3"/>
        <v>2519.148243</v>
      </c>
      <c r="R142" s="162">
        <f t="shared" si="4"/>
        <v>2519.148243</v>
      </c>
    </row>
    <row r="143" ht="37.5" customHeight="1">
      <c r="A143" s="50" t="s">
        <v>2695</v>
      </c>
      <c r="B143" s="49" t="s">
        <v>852</v>
      </c>
      <c r="C143" s="44"/>
      <c r="D143" s="194">
        <f>3127.583/1.05</f>
        <v>2978.650476</v>
      </c>
      <c r="E143" s="128">
        <v>1.0</v>
      </c>
      <c r="F143" s="197"/>
      <c r="G143" s="197">
        <v>1.22</v>
      </c>
      <c r="H143" s="197">
        <f t="shared" ref="H143:H144" si="60">1.25</f>
        <v>1.25</v>
      </c>
      <c r="I143" s="197">
        <v>1.3</v>
      </c>
      <c r="J143" s="197">
        <v>1.15</v>
      </c>
      <c r="K143" s="162">
        <f t="shared" si="1"/>
        <v>6790.950754</v>
      </c>
      <c r="L143" s="201">
        <v>0.833</v>
      </c>
      <c r="M143" s="118">
        <v>0.0</v>
      </c>
      <c r="N143" s="118">
        <v>1.917</v>
      </c>
      <c r="O143" s="118">
        <f t="shared" ref="O143:O145" si="61">SUM(L143:N143)</f>
        <v>2.75</v>
      </c>
      <c r="P143" s="118">
        <f t="shared" ref="P143:P144" si="62">O143</f>
        <v>2.75</v>
      </c>
      <c r="Q143" s="199">
        <f t="shared" si="3"/>
        <v>2469.436638</v>
      </c>
      <c r="R143" s="162">
        <f t="shared" si="4"/>
        <v>2469.436638</v>
      </c>
    </row>
    <row r="144" ht="37.5" customHeight="1">
      <c r="A144" s="117" t="s">
        <v>2696</v>
      </c>
      <c r="B144" s="111" t="s">
        <v>2169</v>
      </c>
      <c r="C144" s="44"/>
      <c r="D144" s="194">
        <v>541.777</v>
      </c>
      <c r="E144" s="128">
        <v>5.0</v>
      </c>
      <c r="F144" s="197"/>
      <c r="G144" s="197">
        <v>1.22</v>
      </c>
      <c r="H144" s="197">
        <f t="shared" si="60"/>
        <v>1.25</v>
      </c>
      <c r="I144" s="197">
        <v>1.3</v>
      </c>
      <c r="J144" s="197">
        <v>1.15</v>
      </c>
      <c r="K144" s="162">
        <f t="shared" si="1"/>
        <v>6175.919189</v>
      </c>
      <c r="L144" s="198">
        <v>0.283</v>
      </c>
      <c r="M144" s="158">
        <v>1.917</v>
      </c>
      <c r="N144" s="158">
        <v>0.333</v>
      </c>
      <c r="O144" s="118">
        <f t="shared" si="61"/>
        <v>2.533</v>
      </c>
      <c r="P144" s="118">
        <f t="shared" si="62"/>
        <v>2.533</v>
      </c>
      <c r="Q144" s="199">
        <f t="shared" si="3"/>
        <v>2438.183652</v>
      </c>
      <c r="R144" s="162">
        <f t="shared" si="4"/>
        <v>2438.183652</v>
      </c>
    </row>
    <row r="145" ht="37.5" customHeight="1">
      <c r="A145" s="169" t="s">
        <v>2697</v>
      </c>
      <c r="B145" s="204" t="s">
        <v>2180</v>
      </c>
      <c r="C145" s="133"/>
      <c r="D145" s="205">
        <v>9738.56</v>
      </c>
      <c r="E145" s="135">
        <v>1.0</v>
      </c>
      <c r="F145" s="206"/>
      <c r="G145" s="206">
        <v>1.22</v>
      </c>
      <c r="H145" s="206">
        <f>1.25*0.666</f>
        <v>0.8325</v>
      </c>
      <c r="I145" s="206">
        <v>1.3</v>
      </c>
      <c r="J145" s="206">
        <v>1.15</v>
      </c>
      <c r="K145" s="177">
        <f t="shared" si="1"/>
        <v>14786.99785</v>
      </c>
      <c r="L145" s="207">
        <v>0.083</v>
      </c>
      <c r="M145" s="175">
        <f>0.349*16</f>
        <v>5.584</v>
      </c>
      <c r="N145" s="175">
        <v>0.45</v>
      </c>
      <c r="O145" s="175">
        <f t="shared" si="61"/>
        <v>6.117</v>
      </c>
      <c r="P145" s="175">
        <f>L145+M145+0.566</f>
        <v>6.233</v>
      </c>
      <c r="Q145" s="208">
        <f t="shared" si="3"/>
        <v>2417.361101</v>
      </c>
      <c r="R145" s="177">
        <f t="shared" si="4"/>
        <v>2372.37251</v>
      </c>
    </row>
    <row r="146" ht="37.5" customHeight="1">
      <c r="A146" s="50" t="s">
        <v>2698</v>
      </c>
      <c r="B146" s="50" t="s">
        <v>1769</v>
      </c>
      <c r="C146" s="49"/>
      <c r="D146" s="194">
        <v>2348.083</v>
      </c>
      <c r="E146" s="128">
        <v>1.0</v>
      </c>
      <c r="F146" s="203"/>
      <c r="G146" s="197"/>
      <c r="H146" s="197"/>
      <c r="I146" s="197">
        <v>1.3</v>
      </c>
      <c r="J146" s="197">
        <v>1.65</v>
      </c>
      <c r="K146" s="162">
        <f t="shared" si="1"/>
        <v>5036.638035</v>
      </c>
      <c r="L146" s="198" t="s">
        <v>303</v>
      </c>
      <c r="M146" s="158" t="s">
        <v>303</v>
      </c>
      <c r="N146" s="158" t="s">
        <v>303</v>
      </c>
      <c r="O146" s="118">
        <v>2.167</v>
      </c>
      <c r="P146" s="118">
        <v>2.167</v>
      </c>
      <c r="Q146" s="199">
        <f t="shared" si="3"/>
        <v>2324.244594</v>
      </c>
      <c r="R146" s="162">
        <f t="shared" si="4"/>
        <v>2324.244594</v>
      </c>
    </row>
    <row r="147" ht="37.5" customHeight="1">
      <c r="A147" s="170" t="s">
        <v>2699</v>
      </c>
      <c r="B147" s="204" t="s">
        <v>2180</v>
      </c>
      <c r="C147" s="133"/>
      <c r="D147" s="205">
        <v>7835.409</v>
      </c>
      <c r="E147" s="135">
        <v>1.0</v>
      </c>
      <c r="F147" s="206"/>
      <c r="G147" s="216">
        <v>1.22</v>
      </c>
      <c r="H147" s="206">
        <f t="shared" ref="H147:H148" si="63">1.25*0.666</f>
        <v>0.8325</v>
      </c>
      <c r="I147" s="206">
        <v>1.3</v>
      </c>
      <c r="J147" s="206">
        <v>1.15</v>
      </c>
      <c r="K147" s="177">
        <f t="shared" si="1"/>
        <v>11897.25956</v>
      </c>
      <c r="L147" s="215">
        <v>0.1</v>
      </c>
      <c r="M147" s="175">
        <v>4.833</v>
      </c>
      <c r="N147" s="175">
        <v>0.267</v>
      </c>
      <c r="O147" s="175">
        <f t="shared" ref="O147:O149" si="64">SUM(L147:N147)</f>
        <v>5.2</v>
      </c>
      <c r="P147" s="175">
        <f t="shared" ref="P147:P149" si="65">O147</f>
        <v>5.2</v>
      </c>
      <c r="Q147" s="208">
        <f t="shared" si="3"/>
        <v>2287.934531</v>
      </c>
      <c r="R147" s="177">
        <f t="shared" si="4"/>
        <v>2287.934531</v>
      </c>
    </row>
    <row r="148" ht="37.5" customHeight="1">
      <c r="A148" s="169" t="s">
        <v>2700</v>
      </c>
      <c r="B148" s="204" t="s">
        <v>2180</v>
      </c>
      <c r="C148" s="133"/>
      <c r="D148" s="205">
        <v>8958.206</v>
      </c>
      <c r="E148" s="135">
        <v>1.0</v>
      </c>
      <c r="F148" s="206"/>
      <c r="G148" s="206">
        <v>1.22</v>
      </c>
      <c r="H148" s="206">
        <f t="shared" si="63"/>
        <v>0.8325</v>
      </c>
      <c r="I148" s="206">
        <v>1.3</v>
      </c>
      <c r="J148" s="206">
        <v>1.15</v>
      </c>
      <c r="K148" s="177">
        <f t="shared" si="1"/>
        <v>13602.11088</v>
      </c>
      <c r="L148" s="207">
        <v>0.1</v>
      </c>
      <c r="M148" s="175">
        <f>0.464*12</f>
        <v>5.568</v>
      </c>
      <c r="N148" s="175">
        <v>0.283</v>
      </c>
      <c r="O148" s="175">
        <f t="shared" si="64"/>
        <v>5.951</v>
      </c>
      <c r="P148" s="175">
        <f t="shared" si="65"/>
        <v>5.951</v>
      </c>
      <c r="Q148" s="208">
        <f t="shared" si="3"/>
        <v>2285.684906</v>
      </c>
      <c r="R148" s="177">
        <f t="shared" si="4"/>
        <v>2285.684906</v>
      </c>
    </row>
    <row r="149" ht="37.5" customHeight="1">
      <c r="A149" s="50" t="s">
        <v>2701</v>
      </c>
      <c r="B149" s="49" t="s">
        <v>2169</v>
      </c>
      <c r="C149" s="49"/>
      <c r="D149" s="194">
        <v>219.531</v>
      </c>
      <c r="E149" s="128">
        <v>15.0</v>
      </c>
      <c r="F149" s="197"/>
      <c r="G149" s="197">
        <v>1.22</v>
      </c>
      <c r="H149" s="197">
        <f>1.25</f>
        <v>1.25</v>
      </c>
      <c r="I149" s="197">
        <v>1.3</v>
      </c>
      <c r="J149" s="197">
        <v>1.15</v>
      </c>
      <c r="K149" s="162">
        <f t="shared" si="1"/>
        <v>7507.548579</v>
      </c>
      <c r="L149" s="201">
        <v>1.0</v>
      </c>
      <c r="M149" s="118">
        <v>1.867</v>
      </c>
      <c r="N149" s="118">
        <v>0.467</v>
      </c>
      <c r="O149" s="118">
        <f t="shared" si="64"/>
        <v>3.334</v>
      </c>
      <c r="P149" s="118">
        <f t="shared" si="65"/>
        <v>3.334</v>
      </c>
      <c r="Q149" s="199">
        <f t="shared" si="3"/>
        <v>2251.814211</v>
      </c>
      <c r="R149" s="162">
        <f t="shared" si="4"/>
        <v>2251.814211</v>
      </c>
    </row>
    <row r="150" ht="37.5" customHeight="1">
      <c r="A150" s="50" t="s">
        <v>2702</v>
      </c>
      <c r="B150" s="50" t="s">
        <v>1769</v>
      </c>
      <c r="C150" s="49"/>
      <c r="D150" s="194">
        <v>1335.097</v>
      </c>
      <c r="E150" s="128">
        <v>1.0</v>
      </c>
      <c r="F150" s="203"/>
      <c r="G150" s="197"/>
      <c r="H150" s="197"/>
      <c r="I150" s="197">
        <v>1.3</v>
      </c>
      <c r="J150" s="197">
        <v>1.65</v>
      </c>
      <c r="K150" s="162">
        <f t="shared" si="1"/>
        <v>2863.783065</v>
      </c>
      <c r="L150" s="198" t="s">
        <v>303</v>
      </c>
      <c r="M150" s="158" t="s">
        <v>303</v>
      </c>
      <c r="N150" s="158" t="s">
        <v>303</v>
      </c>
      <c r="O150" s="118">
        <v>1.283</v>
      </c>
      <c r="P150" s="118">
        <v>1.367</v>
      </c>
      <c r="Q150" s="199">
        <f t="shared" si="3"/>
        <v>2232.099037</v>
      </c>
      <c r="R150" s="162">
        <f t="shared" si="4"/>
        <v>2094.940062</v>
      </c>
    </row>
    <row r="151" ht="37.5" customHeight="1">
      <c r="A151" s="170" t="s">
        <v>2703</v>
      </c>
      <c r="B151" s="204" t="s">
        <v>2180</v>
      </c>
      <c r="C151" s="133"/>
      <c r="D151" s="205">
        <v>5489.095</v>
      </c>
      <c r="E151" s="135">
        <v>1.0</v>
      </c>
      <c r="F151" s="206"/>
      <c r="G151" s="216">
        <v>1.22</v>
      </c>
      <c r="H151" s="206">
        <f>1.25*0.666</f>
        <v>0.8325</v>
      </c>
      <c r="I151" s="206">
        <v>1.3</v>
      </c>
      <c r="J151" s="206">
        <v>1.15</v>
      </c>
      <c r="K151" s="177">
        <f t="shared" si="1"/>
        <v>8334.624008</v>
      </c>
      <c r="L151" s="215">
        <v>0.083</v>
      </c>
      <c r="M151" s="175">
        <v>3.467</v>
      </c>
      <c r="N151" s="175">
        <v>0.267</v>
      </c>
      <c r="O151" s="175">
        <f>SUM(L151:N151)</f>
        <v>3.817</v>
      </c>
      <c r="P151" s="175">
        <f>O151</f>
        <v>3.817</v>
      </c>
      <c r="Q151" s="208">
        <f t="shared" si="3"/>
        <v>2183.553578</v>
      </c>
      <c r="R151" s="177">
        <f t="shared" si="4"/>
        <v>2183.553578</v>
      </c>
    </row>
    <row r="152" ht="37.5" customHeight="1">
      <c r="A152" s="50" t="s">
        <v>2704</v>
      </c>
      <c r="B152" s="50" t="s">
        <v>1769</v>
      </c>
      <c r="C152" s="49"/>
      <c r="D152" s="194">
        <v>1275.593</v>
      </c>
      <c r="E152" s="128">
        <v>1.0</v>
      </c>
      <c r="F152" s="203"/>
      <c r="G152" s="197"/>
      <c r="H152" s="197"/>
      <c r="I152" s="197">
        <v>1.3</v>
      </c>
      <c r="J152" s="197">
        <v>1.65</v>
      </c>
      <c r="K152" s="162">
        <f t="shared" si="1"/>
        <v>2736.146985</v>
      </c>
      <c r="L152" s="198" t="s">
        <v>303</v>
      </c>
      <c r="M152" s="158" t="s">
        <v>303</v>
      </c>
      <c r="N152" s="158" t="s">
        <v>303</v>
      </c>
      <c r="O152" s="118">
        <v>1.283</v>
      </c>
      <c r="P152" s="118">
        <v>2.4</v>
      </c>
      <c r="Q152" s="199">
        <f t="shared" si="3"/>
        <v>2132.616512</v>
      </c>
      <c r="R152" s="162">
        <f t="shared" si="4"/>
        <v>1140.061244</v>
      </c>
    </row>
    <row r="153" ht="37.5" customHeight="1">
      <c r="A153" s="50" t="s">
        <v>2705</v>
      </c>
      <c r="B153" s="50" t="s">
        <v>1769</v>
      </c>
      <c r="C153" s="49"/>
      <c r="D153" s="194">
        <v>1263.349</v>
      </c>
      <c r="E153" s="128">
        <v>1.0</v>
      </c>
      <c r="F153" s="203"/>
      <c r="G153" s="197"/>
      <c r="H153" s="197"/>
      <c r="I153" s="197">
        <v>1.3</v>
      </c>
      <c r="J153" s="197">
        <v>1.65</v>
      </c>
      <c r="K153" s="162">
        <f t="shared" si="1"/>
        <v>2709.883605</v>
      </c>
      <c r="L153" s="198" t="s">
        <v>303</v>
      </c>
      <c r="M153" s="158" t="s">
        <v>303</v>
      </c>
      <c r="N153" s="158" t="s">
        <v>303</v>
      </c>
      <c r="O153" s="118">
        <v>1.283</v>
      </c>
      <c r="P153" s="118">
        <v>6.3</v>
      </c>
      <c r="Q153" s="199">
        <f t="shared" si="3"/>
        <v>2112.146224</v>
      </c>
      <c r="R153" s="162">
        <f t="shared" si="4"/>
        <v>430.1402548</v>
      </c>
    </row>
    <row r="154" ht="37.5" customHeight="1">
      <c r="A154" s="50" t="s">
        <v>2706</v>
      </c>
      <c r="B154" s="50" t="s">
        <v>1769</v>
      </c>
      <c r="C154" s="49"/>
      <c r="D154" s="194">
        <v>1247.0</v>
      </c>
      <c r="E154" s="128">
        <v>1.0</v>
      </c>
      <c r="F154" s="203"/>
      <c r="G154" s="197"/>
      <c r="H154" s="197"/>
      <c r="I154" s="197">
        <v>1.3</v>
      </c>
      <c r="J154" s="196">
        <v>1.65</v>
      </c>
      <c r="K154" s="162">
        <f t="shared" si="1"/>
        <v>2674.815</v>
      </c>
      <c r="L154" s="198" t="s">
        <v>303</v>
      </c>
      <c r="M154" s="158" t="s">
        <v>303</v>
      </c>
      <c r="N154" s="158" t="s">
        <v>303</v>
      </c>
      <c r="O154" s="118">
        <v>1.283</v>
      </c>
      <c r="P154" s="118">
        <v>1.7</v>
      </c>
      <c r="Q154" s="199">
        <f t="shared" si="3"/>
        <v>2084.812938</v>
      </c>
      <c r="R154" s="162">
        <f t="shared" si="4"/>
        <v>1573.420588</v>
      </c>
    </row>
    <row r="155" ht="37.5" customHeight="1">
      <c r="A155" s="50" t="s">
        <v>2707</v>
      </c>
      <c r="B155" s="50" t="s">
        <v>1769</v>
      </c>
      <c r="C155" s="49"/>
      <c r="D155" s="194">
        <v>1241.911</v>
      </c>
      <c r="E155" s="128">
        <v>1.0</v>
      </c>
      <c r="F155" s="203"/>
      <c r="G155" s="197"/>
      <c r="H155" s="197"/>
      <c r="I155" s="197">
        <v>1.3</v>
      </c>
      <c r="J155" s="197">
        <v>1.65</v>
      </c>
      <c r="K155" s="162">
        <f t="shared" si="1"/>
        <v>2663.899095</v>
      </c>
      <c r="L155" s="198" t="s">
        <v>303</v>
      </c>
      <c r="M155" s="158" t="s">
        <v>303</v>
      </c>
      <c r="N155" s="158" t="s">
        <v>303</v>
      </c>
      <c r="O155" s="118">
        <v>1.283</v>
      </c>
      <c r="P155" s="118">
        <v>4.833</v>
      </c>
      <c r="Q155" s="199">
        <f t="shared" si="3"/>
        <v>2076.304829</v>
      </c>
      <c r="R155" s="162">
        <f t="shared" si="4"/>
        <v>551.18955</v>
      </c>
    </row>
    <row r="156" ht="37.5" customHeight="1">
      <c r="A156" s="50" t="s">
        <v>2708</v>
      </c>
      <c r="B156" s="50" t="s">
        <v>1769</v>
      </c>
      <c r="C156" s="49"/>
      <c r="D156" s="194">
        <v>1119.568</v>
      </c>
      <c r="E156" s="128">
        <v>1.0</v>
      </c>
      <c r="F156" s="203"/>
      <c r="G156" s="197"/>
      <c r="H156" s="197">
        <v>1.1</v>
      </c>
      <c r="I156" s="197">
        <v>1.3</v>
      </c>
      <c r="J156" s="197">
        <v>1.65</v>
      </c>
      <c r="K156" s="162">
        <f t="shared" si="1"/>
        <v>2641.620696</v>
      </c>
      <c r="L156" s="198" t="s">
        <v>303</v>
      </c>
      <c r="M156" s="158" t="s">
        <v>303</v>
      </c>
      <c r="N156" s="158" t="s">
        <v>303</v>
      </c>
      <c r="O156" s="118">
        <v>1.283</v>
      </c>
      <c r="P156" s="118">
        <v>4.083</v>
      </c>
      <c r="Q156" s="199">
        <f t="shared" si="3"/>
        <v>2058.940527</v>
      </c>
      <c r="R156" s="162">
        <f t="shared" si="4"/>
        <v>646.9803321</v>
      </c>
    </row>
    <row r="157" ht="37.5" customHeight="1">
      <c r="A157" s="50" t="s">
        <v>2709</v>
      </c>
      <c r="B157" s="50" t="s">
        <v>1769</v>
      </c>
      <c r="C157" s="49"/>
      <c r="D157" s="194">
        <v>1176.547</v>
      </c>
      <c r="E157" s="128">
        <v>1.0</v>
      </c>
      <c r="F157" s="203"/>
      <c r="G157" s="197"/>
      <c r="H157" s="197"/>
      <c r="I157" s="197">
        <v>1.3</v>
      </c>
      <c r="J157" s="197">
        <v>1.65</v>
      </c>
      <c r="K157" s="162">
        <f t="shared" si="1"/>
        <v>2523.693315</v>
      </c>
      <c r="L157" s="198" t="s">
        <v>303</v>
      </c>
      <c r="M157" s="158" t="s">
        <v>303</v>
      </c>
      <c r="N157" s="158" t="s">
        <v>303</v>
      </c>
      <c r="O157" s="118">
        <v>1.283</v>
      </c>
      <c r="P157" s="118">
        <v>1.7</v>
      </c>
      <c r="Q157" s="199">
        <f t="shared" si="3"/>
        <v>1967.025187</v>
      </c>
      <c r="R157" s="162">
        <f t="shared" si="4"/>
        <v>1484.525479</v>
      </c>
    </row>
    <row r="158" ht="37.5" customHeight="1">
      <c r="A158" s="50" t="s">
        <v>2710</v>
      </c>
      <c r="B158" s="49" t="s">
        <v>2169</v>
      </c>
      <c r="C158" s="49"/>
      <c r="D158" s="194">
        <v>5750.584</v>
      </c>
      <c r="E158" s="128">
        <v>1.0</v>
      </c>
      <c r="F158" s="197"/>
      <c r="G158" s="197">
        <f>AVERAGE(1.17,1.1)</f>
        <v>1.135</v>
      </c>
      <c r="H158" s="197">
        <v>1.25</v>
      </c>
      <c r="I158" s="197">
        <v>1.3</v>
      </c>
      <c r="J158" s="197">
        <v>1.1</v>
      </c>
      <c r="K158" s="162">
        <f t="shared" si="1"/>
        <v>11666.8567</v>
      </c>
      <c r="L158" s="201">
        <v>5.7</v>
      </c>
      <c r="M158" s="118">
        <v>0.0</v>
      </c>
      <c r="N158" s="118">
        <v>0.233</v>
      </c>
      <c r="O158" s="118">
        <f>SUM(L158:N158)</f>
        <v>5.933</v>
      </c>
      <c r="P158" s="118">
        <f>O158</f>
        <v>5.933</v>
      </c>
      <c r="Q158" s="199">
        <f t="shared" si="3"/>
        <v>1966.434637</v>
      </c>
      <c r="R158" s="162">
        <f t="shared" si="4"/>
        <v>1966.434637</v>
      </c>
    </row>
    <row r="159" ht="37.5" customHeight="1">
      <c r="A159" s="50" t="s">
        <v>2294</v>
      </c>
      <c r="B159" s="50" t="s">
        <v>1769</v>
      </c>
      <c r="C159" s="49"/>
      <c r="D159" s="194">
        <v>1165.917</v>
      </c>
      <c r="E159" s="128">
        <v>1.0</v>
      </c>
      <c r="F159" s="203"/>
      <c r="G159" s="197"/>
      <c r="H159" s="197"/>
      <c r="I159" s="197">
        <v>1.3</v>
      </c>
      <c r="J159" s="197">
        <v>1.65</v>
      </c>
      <c r="K159" s="162">
        <f t="shared" si="1"/>
        <v>2500.891965</v>
      </c>
      <c r="L159" s="198" t="s">
        <v>303</v>
      </c>
      <c r="M159" s="158" t="s">
        <v>303</v>
      </c>
      <c r="N159" s="158" t="s">
        <v>303</v>
      </c>
      <c r="O159" s="118">
        <v>1.283</v>
      </c>
      <c r="P159" s="118">
        <v>1.45</v>
      </c>
      <c r="Q159" s="199">
        <f t="shared" si="3"/>
        <v>1949.253285</v>
      </c>
      <c r="R159" s="162">
        <f t="shared" si="4"/>
        <v>1724.753079</v>
      </c>
    </row>
    <row r="160" ht="37.5" customHeight="1">
      <c r="A160" s="169" t="s">
        <v>2711</v>
      </c>
      <c r="B160" s="204" t="s">
        <v>2180</v>
      </c>
      <c r="C160" s="133"/>
      <c r="D160" s="205">
        <v>7755.952</v>
      </c>
      <c r="E160" s="135">
        <v>1.0</v>
      </c>
      <c r="F160" s="206"/>
      <c r="G160" s="206">
        <v>1.22</v>
      </c>
      <c r="H160" s="206">
        <f>1.25*0.666</f>
        <v>0.8325</v>
      </c>
      <c r="I160" s="206">
        <v>1.3</v>
      </c>
      <c r="J160" s="206">
        <v>1.15</v>
      </c>
      <c r="K160" s="177">
        <f t="shared" si="1"/>
        <v>11776.61231</v>
      </c>
      <c r="L160" s="207">
        <v>0.083</v>
      </c>
      <c r="M160" s="175">
        <f>0.349*16</f>
        <v>5.584</v>
      </c>
      <c r="N160" s="175">
        <v>0.45</v>
      </c>
      <c r="O160" s="175">
        <f>SUM(L160:N160)</f>
        <v>6.117</v>
      </c>
      <c r="P160" s="175">
        <f>L160+M160+0.566</f>
        <v>6.233</v>
      </c>
      <c r="Q160" s="208">
        <f t="shared" si="3"/>
        <v>1925.226796</v>
      </c>
      <c r="R160" s="177">
        <f t="shared" si="4"/>
        <v>1889.39713</v>
      </c>
    </row>
    <row r="161" ht="37.5" customHeight="1">
      <c r="A161" s="50" t="s">
        <v>2712</v>
      </c>
      <c r="B161" s="49" t="s">
        <v>2164</v>
      </c>
      <c r="C161" s="49"/>
      <c r="D161" s="194">
        <f>2393.303/1.15</f>
        <v>2081.133043</v>
      </c>
      <c r="E161" s="195">
        <v>1.0</v>
      </c>
      <c r="F161" s="197"/>
      <c r="G161" s="197"/>
      <c r="H161" s="197"/>
      <c r="I161" s="197">
        <v>1.3</v>
      </c>
      <c r="J161" s="197"/>
      <c r="K161" s="162">
        <f t="shared" si="1"/>
        <v>2705.472957</v>
      </c>
      <c r="L161" s="198" t="s">
        <v>303</v>
      </c>
      <c r="M161" s="158" t="s">
        <v>303</v>
      </c>
      <c r="N161" s="158" t="s">
        <v>303</v>
      </c>
      <c r="O161" s="158">
        <v>1.483</v>
      </c>
      <c r="P161" s="118">
        <f t="shared" ref="P161:P163" si="66">O161</f>
        <v>1.483</v>
      </c>
      <c r="Q161" s="199">
        <f t="shared" si="3"/>
        <v>1824.324313</v>
      </c>
      <c r="R161" s="162">
        <f t="shared" si="4"/>
        <v>1824.324313</v>
      </c>
    </row>
    <row r="162" ht="37.5" customHeight="1">
      <c r="A162" s="50" t="s">
        <v>328</v>
      </c>
      <c r="B162" s="49" t="s">
        <v>2169</v>
      </c>
      <c r="C162" s="44"/>
      <c r="D162" s="194">
        <f>548.544/1.3</f>
        <v>421.9569231</v>
      </c>
      <c r="E162" s="128">
        <v>1.0</v>
      </c>
      <c r="F162" s="197"/>
      <c r="G162" s="197">
        <v>1.22</v>
      </c>
      <c r="H162" s="197">
        <f t="shared" ref="H162:H163" si="67">1.25</f>
        <v>1.25</v>
      </c>
      <c r="I162" s="197">
        <v>1.3</v>
      </c>
      <c r="J162" s="197">
        <v>1.1</v>
      </c>
      <c r="K162" s="162">
        <f t="shared" si="1"/>
        <v>920.18256</v>
      </c>
      <c r="L162" s="201">
        <v>0.233</v>
      </c>
      <c r="M162" s="118">
        <v>0.0</v>
      </c>
      <c r="N162" s="118">
        <v>0.283</v>
      </c>
      <c r="O162" s="118">
        <f t="shared" ref="O162:O165" si="68">SUM(L162:N162)</f>
        <v>0.516</v>
      </c>
      <c r="P162" s="118">
        <f t="shared" si="66"/>
        <v>0.516</v>
      </c>
      <c r="Q162" s="199">
        <f t="shared" si="3"/>
        <v>1783.299535</v>
      </c>
      <c r="R162" s="162">
        <f t="shared" si="4"/>
        <v>1783.299535</v>
      </c>
    </row>
    <row r="163" ht="37.5" customHeight="1">
      <c r="A163" s="50" t="s">
        <v>2713</v>
      </c>
      <c r="B163" s="49" t="s">
        <v>2169</v>
      </c>
      <c r="C163" s="49"/>
      <c r="D163" s="194">
        <v>708.702</v>
      </c>
      <c r="E163" s="128">
        <v>1.0</v>
      </c>
      <c r="F163" s="197">
        <v>1.15</v>
      </c>
      <c r="G163" s="197">
        <v>1.22</v>
      </c>
      <c r="H163" s="197">
        <f t="shared" si="67"/>
        <v>1.25</v>
      </c>
      <c r="I163" s="197">
        <v>1.3</v>
      </c>
      <c r="J163" s="197">
        <v>1.15</v>
      </c>
      <c r="K163" s="162">
        <f t="shared" si="1"/>
        <v>1858.114768</v>
      </c>
      <c r="L163" s="201">
        <v>0.566</v>
      </c>
      <c r="M163" s="118">
        <v>0.2</v>
      </c>
      <c r="N163" s="118">
        <v>0.283</v>
      </c>
      <c r="O163" s="118">
        <f t="shared" si="68"/>
        <v>1.049</v>
      </c>
      <c r="P163" s="118">
        <f t="shared" si="66"/>
        <v>1.049</v>
      </c>
      <c r="Q163" s="199">
        <f t="shared" si="3"/>
        <v>1771.320084</v>
      </c>
      <c r="R163" s="162">
        <f t="shared" si="4"/>
        <v>1771.320084</v>
      </c>
    </row>
    <row r="164" ht="37.5" customHeight="1">
      <c r="A164" s="169" t="s">
        <v>2714</v>
      </c>
      <c r="B164" s="204" t="s">
        <v>2180</v>
      </c>
      <c r="C164" s="133"/>
      <c r="D164" s="205">
        <v>7078.546</v>
      </c>
      <c r="E164" s="135">
        <v>1.0</v>
      </c>
      <c r="F164" s="206"/>
      <c r="G164" s="206">
        <v>1.22</v>
      </c>
      <c r="H164" s="206">
        <f t="shared" ref="H164:H165" si="69">1.25*0.666</f>
        <v>0.8325</v>
      </c>
      <c r="I164" s="206">
        <v>1.3</v>
      </c>
      <c r="J164" s="206">
        <v>1.15</v>
      </c>
      <c r="K164" s="177">
        <f t="shared" si="1"/>
        <v>10748.04124</v>
      </c>
      <c r="L164" s="207">
        <v>0.083</v>
      </c>
      <c r="M164" s="175">
        <f>0.349*16</f>
        <v>5.584</v>
      </c>
      <c r="N164" s="175">
        <v>0.45</v>
      </c>
      <c r="O164" s="175">
        <f t="shared" si="68"/>
        <v>6.117</v>
      </c>
      <c r="P164" s="175">
        <f>L164+M164+0.566</f>
        <v>6.233</v>
      </c>
      <c r="Q164" s="208">
        <f t="shared" si="3"/>
        <v>1757.077201</v>
      </c>
      <c r="R164" s="177">
        <f t="shared" si="4"/>
        <v>1724.376904</v>
      </c>
    </row>
    <row r="165" ht="37.5" customHeight="1">
      <c r="A165" s="169" t="s">
        <v>2715</v>
      </c>
      <c r="B165" s="204" t="s">
        <v>2180</v>
      </c>
      <c r="C165" s="133"/>
      <c r="D165" s="205">
        <v>4106.344</v>
      </c>
      <c r="E165" s="135">
        <v>1.0</v>
      </c>
      <c r="F165" s="206"/>
      <c r="G165" s="216">
        <v>1.22</v>
      </c>
      <c r="H165" s="206">
        <f t="shared" si="69"/>
        <v>0.8325</v>
      </c>
      <c r="I165" s="206">
        <v>1.3</v>
      </c>
      <c r="J165" s="206">
        <v>1.15</v>
      </c>
      <c r="K165" s="177">
        <f t="shared" si="1"/>
        <v>6235.059384</v>
      </c>
      <c r="L165" s="215">
        <v>0.1</v>
      </c>
      <c r="M165" s="172">
        <v>3.2</v>
      </c>
      <c r="N165" s="175">
        <v>0.25</v>
      </c>
      <c r="O165" s="175">
        <f t="shared" si="68"/>
        <v>3.55</v>
      </c>
      <c r="P165" s="175">
        <f>L165+M165+0.333</f>
        <v>3.633</v>
      </c>
      <c r="Q165" s="208">
        <f t="shared" si="3"/>
        <v>1756.354756</v>
      </c>
      <c r="R165" s="177">
        <f t="shared" si="4"/>
        <v>1716.228842</v>
      </c>
    </row>
    <row r="166" ht="37.5" customHeight="1">
      <c r="A166" s="50" t="s">
        <v>2716</v>
      </c>
      <c r="B166" s="50" t="s">
        <v>1769</v>
      </c>
      <c r="C166" s="49"/>
      <c r="D166" s="194">
        <v>911.376</v>
      </c>
      <c r="E166" s="128">
        <v>1.0</v>
      </c>
      <c r="F166" s="203"/>
      <c r="G166" s="197"/>
      <c r="H166" s="196">
        <v>1.1</v>
      </c>
      <c r="I166" s="197">
        <v>1.3</v>
      </c>
      <c r="J166" s="197">
        <v>1.65</v>
      </c>
      <c r="K166" s="162">
        <f t="shared" si="1"/>
        <v>2150.391672</v>
      </c>
      <c r="L166" s="198" t="s">
        <v>303</v>
      </c>
      <c r="M166" s="158" t="s">
        <v>303</v>
      </c>
      <c r="N166" s="158" t="s">
        <v>303</v>
      </c>
      <c r="O166" s="118">
        <v>1.283</v>
      </c>
      <c r="P166" s="118">
        <v>7.2</v>
      </c>
      <c r="Q166" s="199">
        <f t="shared" si="3"/>
        <v>1676.065216</v>
      </c>
      <c r="R166" s="162">
        <f t="shared" si="4"/>
        <v>298.66551</v>
      </c>
    </row>
    <row r="167" ht="37.5" customHeight="1">
      <c r="A167" s="50" t="s">
        <v>2717</v>
      </c>
      <c r="B167" s="50" t="s">
        <v>1756</v>
      </c>
      <c r="C167" s="49"/>
      <c r="D167" s="194">
        <v>1142.722</v>
      </c>
      <c r="E167" s="128">
        <v>1.0</v>
      </c>
      <c r="F167" s="197"/>
      <c r="G167" s="197"/>
      <c r="H167" s="197"/>
      <c r="I167" s="197">
        <v>1.3</v>
      </c>
      <c r="J167" s="197">
        <v>1.3</v>
      </c>
      <c r="K167" s="162">
        <f t="shared" si="1"/>
        <v>1931.20018</v>
      </c>
      <c r="L167" s="201">
        <v>0.0</v>
      </c>
      <c r="M167" s="118">
        <v>1.183</v>
      </c>
      <c r="N167" s="118">
        <v>0.0</v>
      </c>
      <c r="O167" s="118">
        <f>SUM(L167:N167)</f>
        <v>1.183</v>
      </c>
      <c r="P167" s="118">
        <f>O167</f>
        <v>1.183</v>
      </c>
      <c r="Q167" s="199">
        <f t="shared" si="3"/>
        <v>1632.46</v>
      </c>
      <c r="R167" s="162">
        <f t="shared" si="4"/>
        <v>1632.46</v>
      </c>
    </row>
    <row r="168" ht="37.5" customHeight="1">
      <c r="A168" s="50" t="s">
        <v>2718</v>
      </c>
      <c r="B168" s="50" t="s">
        <v>1769</v>
      </c>
      <c r="C168" s="217"/>
      <c r="D168" s="194">
        <v>1596.552</v>
      </c>
      <c r="E168" s="128">
        <v>1.0</v>
      </c>
      <c r="F168" s="203"/>
      <c r="G168" s="197"/>
      <c r="H168" s="197"/>
      <c r="I168" s="197">
        <v>1.3</v>
      </c>
      <c r="J168" s="196">
        <v>1.65</v>
      </c>
      <c r="K168" s="162">
        <f t="shared" si="1"/>
        <v>3424.60404</v>
      </c>
      <c r="L168" s="198" t="s">
        <v>303</v>
      </c>
      <c r="M168" s="158" t="s">
        <v>303</v>
      </c>
      <c r="N168" s="158" t="s">
        <v>303</v>
      </c>
      <c r="O168" s="118">
        <v>2.167</v>
      </c>
      <c r="P168" s="118">
        <v>2.167</v>
      </c>
      <c r="Q168" s="199">
        <f t="shared" si="3"/>
        <v>1580.34335</v>
      </c>
      <c r="R168" s="162">
        <f t="shared" si="4"/>
        <v>1580.34335</v>
      </c>
    </row>
    <row r="169" ht="37.5" customHeight="1">
      <c r="A169" s="50" t="s">
        <v>2719</v>
      </c>
      <c r="B169" s="49" t="s">
        <v>2164</v>
      </c>
      <c r="C169" s="156"/>
      <c r="D169" s="194">
        <v>16677.0</v>
      </c>
      <c r="E169" s="195">
        <v>1.0</v>
      </c>
      <c r="F169" s="197"/>
      <c r="G169" s="197"/>
      <c r="H169" s="197"/>
      <c r="I169" s="197">
        <v>1.3</v>
      </c>
      <c r="J169" s="197">
        <v>1.45</v>
      </c>
      <c r="K169" s="162">
        <f t="shared" si="1"/>
        <v>31436.145</v>
      </c>
      <c r="L169" s="198" t="s">
        <v>303</v>
      </c>
      <c r="M169" s="158" t="s">
        <v>303</v>
      </c>
      <c r="N169" s="158" t="s">
        <v>303</v>
      </c>
      <c r="O169" s="158">
        <v>20.3</v>
      </c>
      <c r="P169" s="118">
        <f>O169</f>
        <v>20.3</v>
      </c>
      <c r="Q169" s="199">
        <f t="shared" si="3"/>
        <v>1548.578571</v>
      </c>
      <c r="R169" s="162">
        <f t="shared" si="4"/>
        <v>1548.578571</v>
      </c>
    </row>
    <row r="170" ht="37.5" customHeight="1">
      <c r="A170" s="50" t="s">
        <v>2307</v>
      </c>
      <c r="B170" s="50" t="s">
        <v>1769</v>
      </c>
      <c r="C170" s="156"/>
      <c r="D170" s="194">
        <v>884.697</v>
      </c>
      <c r="E170" s="128">
        <v>1.0</v>
      </c>
      <c r="F170" s="203"/>
      <c r="G170" s="197"/>
      <c r="H170" s="197"/>
      <c r="I170" s="197">
        <v>1.3</v>
      </c>
      <c r="J170" s="197">
        <v>1.65</v>
      </c>
      <c r="K170" s="162">
        <f t="shared" si="1"/>
        <v>1897.675065</v>
      </c>
      <c r="L170" s="198" t="s">
        <v>303</v>
      </c>
      <c r="M170" s="158" t="s">
        <v>303</v>
      </c>
      <c r="N170" s="158" t="s">
        <v>303</v>
      </c>
      <c r="O170" s="118">
        <v>1.283</v>
      </c>
      <c r="P170" s="118">
        <v>1.7</v>
      </c>
      <c r="Q170" s="199">
        <f t="shared" si="3"/>
        <v>1479.092023</v>
      </c>
      <c r="R170" s="162">
        <f t="shared" si="4"/>
        <v>1116.27945</v>
      </c>
    </row>
    <row r="171" ht="37.5" customHeight="1">
      <c r="A171" s="50" t="s">
        <v>2720</v>
      </c>
      <c r="B171" s="50" t="s">
        <v>1756</v>
      </c>
      <c r="C171" s="156"/>
      <c r="D171" s="194">
        <v>369.886</v>
      </c>
      <c r="E171" s="128">
        <v>1.0</v>
      </c>
      <c r="F171" s="197"/>
      <c r="G171" s="197"/>
      <c r="H171" s="197">
        <f>1+2+1.65</f>
        <v>4.65</v>
      </c>
      <c r="I171" s="197">
        <v>1.3</v>
      </c>
      <c r="J171" s="197">
        <v>1.3</v>
      </c>
      <c r="K171" s="162">
        <f t="shared" si="1"/>
        <v>2906.749131</v>
      </c>
      <c r="L171" s="201">
        <v>0.0</v>
      </c>
      <c r="M171" s="118">
        <v>2.066</v>
      </c>
      <c r="N171" s="118">
        <v>0.0</v>
      </c>
      <c r="O171" s="118">
        <f>SUM(L171:N171)</f>
        <v>2.066</v>
      </c>
      <c r="P171" s="118">
        <f t="shared" ref="P171:P174" si="70">O171</f>
        <v>2.066</v>
      </c>
      <c r="Q171" s="199">
        <f t="shared" si="3"/>
        <v>1406.945368</v>
      </c>
      <c r="R171" s="162">
        <f t="shared" si="4"/>
        <v>1406.945368</v>
      </c>
    </row>
    <row r="172" ht="37.5" customHeight="1">
      <c r="A172" s="50" t="s">
        <v>2721</v>
      </c>
      <c r="B172" s="49" t="s">
        <v>2164</v>
      </c>
      <c r="C172" s="49"/>
      <c r="D172" s="194">
        <f>641.536/1.15*10</f>
        <v>5578.573913</v>
      </c>
      <c r="E172" s="195">
        <v>1.0</v>
      </c>
      <c r="F172" s="197"/>
      <c r="G172" s="197"/>
      <c r="H172" s="197"/>
      <c r="I172" s="197">
        <v>1.3</v>
      </c>
      <c r="J172" s="197"/>
      <c r="K172" s="162">
        <f t="shared" si="1"/>
        <v>7252.146087</v>
      </c>
      <c r="L172" s="198" t="s">
        <v>303</v>
      </c>
      <c r="M172" s="158" t="s">
        <v>303</v>
      </c>
      <c r="N172" s="158" t="s">
        <v>303</v>
      </c>
      <c r="O172" s="158">
        <v>6.617</v>
      </c>
      <c r="P172" s="118">
        <f t="shared" si="70"/>
        <v>6.617</v>
      </c>
      <c r="Q172" s="199">
        <f t="shared" si="3"/>
        <v>1095.987016</v>
      </c>
      <c r="R172" s="162">
        <f t="shared" si="4"/>
        <v>1095.987016</v>
      </c>
    </row>
    <row r="173" ht="37.5" customHeight="1">
      <c r="A173" s="50" t="s">
        <v>1339</v>
      </c>
      <c r="B173" s="50" t="s">
        <v>1756</v>
      </c>
      <c r="C173" s="49"/>
      <c r="D173" s="194">
        <v>453.735</v>
      </c>
      <c r="E173" s="128">
        <v>1.0</v>
      </c>
      <c r="F173" s="197"/>
      <c r="G173" s="197"/>
      <c r="H173" s="197"/>
      <c r="I173" s="197">
        <v>1.3</v>
      </c>
      <c r="J173" s="197">
        <v>1.3</v>
      </c>
      <c r="K173" s="162">
        <f t="shared" si="1"/>
        <v>766.81215</v>
      </c>
      <c r="L173" s="201">
        <v>0.0</v>
      </c>
      <c r="M173" s="118">
        <v>1.067</v>
      </c>
      <c r="N173" s="118">
        <v>0.0</v>
      </c>
      <c r="O173" s="118">
        <f t="shared" ref="O173:O174" si="71">SUM(L173:N173)</f>
        <v>1.067</v>
      </c>
      <c r="P173" s="118">
        <f t="shared" si="70"/>
        <v>1.067</v>
      </c>
      <c r="Q173" s="199">
        <f t="shared" si="3"/>
        <v>718.6618088</v>
      </c>
      <c r="R173" s="162">
        <f t="shared" si="4"/>
        <v>718.6618088</v>
      </c>
    </row>
    <row r="174" ht="37.5" customHeight="1">
      <c r="A174" s="50" t="s">
        <v>2722</v>
      </c>
      <c r="B174" s="49" t="s">
        <v>2169</v>
      </c>
      <c r="C174" s="49"/>
      <c r="D174" s="200" t="s">
        <v>1047</v>
      </c>
      <c r="E174" s="128">
        <v>1.0</v>
      </c>
      <c r="F174" s="197"/>
      <c r="G174" s="197">
        <v>1.22</v>
      </c>
      <c r="H174" s="197">
        <f>1.25</f>
        <v>1.25</v>
      </c>
      <c r="I174" s="197">
        <v>1.3</v>
      </c>
      <c r="J174" s="197">
        <v>1.15</v>
      </c>
      <c r="K174" s="162">
        <f t="shared" si="1"/>
        <v>2.279875</v>
      </c>
      <c r="L174" s="201">
        <v>0.55</v>
      </c>
      <c r="M174" s="118">
        <v>0.0</v>
      </c>
      <c r="N174" s="118">
        <v>1.183</v>
      </c>
      <c r="O174" s="118">
        <f t="shared" si="71"/>
        <v>1.733</v>
      </c>
      <c r="P174" s="118">
        <f t="shared" si="70"/>
        <v>1.733</v>
      </c>
      <c r="Q174" s="199">
        <f t="shared" si="3"/>
        <v>1.315565493</v>
      </c>
      <c r="R174" s="162">
        <f t="shared" si="4"/>
        <v>1.315565493</v>
      </c>
    </row>
  </sheetData>
  <autoFilter ref="$A$1:$R$174">
    <sortState ref="A1:R174">
      <sortCondition descending="1" ref="Q1:Q174"/>
      <sortCondition descending="1" ref="R1:R174"/>
      <sortCondition ref="B1:B174"/>
      <sortCondition ref="A1:A174"/>
      <sortCondition descending="1" ref="K1:K174"/>
    </sortState>
  </autoFilter>
  <customSheetViews>
    <customSheetView guid="{42FF7369-DFF1-4459-B38A-6794E95557C7}" filter="1" showAutoFilter="1">
      <autoFilter ref="$A$1:$R$174">
        <sortState ref="A1:R174">
          <sortCondition descending="1" ref="R1:R174"/>
          <sortCondition descending="1" ref="Q1:Q174"/>
          <sortCondition ref="A1:A174"/>
        </sortState>
      </autoFilter>
    </customSheetView>
    <customSheetView guid="{35F7EC9E-5013-4F85-8863-F5A487ACE091}" filter="1" showAutoFilter="1">
      <autoFilter ref="$A$1:$R$174">
        <sortState ref="A1:R174">
          <sortCondition descending="1" ref="Q1:Q174"/>
          <sortCondition descending="1" ref="R1:R174"/>
          <sortCondition ref="A1:A174"/>
        </sortState>
      </autoFilter>
    </customSheetView>
  </customSheetViews>
  <conditionalFormatting sqref="C27">
    <cfRule type="containsText" dxfId="4" priority="1" operator="containsText" text="~?">
      <formula>NOT(ISERROR(SEARCH(("~?"),(C27))))</formula>
    </cfRule>
  </conditionalFormatting>
  <conditionalFormatting sqref="B2:B7 C2:C3 C5:C7 B9:B23 C9:C27 C29:C31 C41:C45 C47 C50:C174 B53 B56:B174 A58:A61 E107:G111 H107:H110 D108:D111">
    <cfRule type="containsText" dxfId="4" priority="2" operator="containsText" text="!">
      <formula>NOT(ISERROR(SEARCH(("!"),(B2))))</formula>
    </cfRule>
  </conditionalFormatting>
  <conditionalFormatting sqref="Q2:Q174">
    <cfRule type="colorScale" priority="3">
      <colorScale>
        <cfvo type="min"/>
        <cfvo type="percentile" val="50"/>
        <cfvo type="max"/>
        <color rgb="FFE67C73"/>
        <color rgb="FFFFD666"/>
        <color rgb="FF57BB8A"/>
      </colorScale>
    </cfRule>
  </conditionalFormatting>
  <conditionalFormatting sqref="R2:R174">
    <cfRule type="colorScale" priority="4">
      <colorScale>
        <cfvo type="min"/>
        <cfvo type="percentile" val="50"/>
        <cfvo type="max"/>
        <color rgb="FFE67C73"/>
        <color rgb="FFFFD666"/>
        <color rgb="FF57BB8A"/>
      </colorScale>
    </cfRule>
  </conditionalFormatting>
  <conditionalFormatting sqref="K2:K174">
    <cfRule type="colorScale" priority="5">
      <colorScale>
        <cfvo type="min"/>
        <cfvo type="percentile" val="50"/>
        <cfvo type="max"/>
        <color rgb="FFE67C73"/>
        <color rgb="FFFFD666"/>
        <color rgb="FF57BB8A"/>
      </colorScale>
    </cfRule>
  </conditionalFormatting>
  <conditionalFormatting sqref="A1:R174">
    <cfRule type="containsText" dxfId="4" priority="6" operator="containsText" text="~?">
      <formula>NOT(ISERROR(SEARCH(("~?"),(A1))))</formula>
    </cfRule>
  </conditionalFormatting>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hidden="1" min="1" max="1" width="4.75"/>
    <col customWidth="1" min="2" max="2" width="9.5"/>
    <col customWidth="1" min="3" max="3" width="11.25"/>
    <col customWidth="1" min="4" max="4" width="9.5"/>
    <col customWidth="1" min="5" max="5" width="9.63"/>
    <col customWidth="1" min="6" max="6" width="31.75"/>
    <col customWidth="1" min="7" max="7" width="10.25"/>
    <col customWidth="1" min="8" max="8" width="9.88"/>
    <col customWidth="1" min="9" max="9" width="22.63"/>
    <col customWidth="1" min="10" max="10" width="8.13"/>
    <col customWidth="1" min="11" max="11" width="7.63"/>
    <col customWidth="1" min="12" max="15" width="8.63"/>
    <col customWidth="1" min="16" max="16" width="14.63"/>
    <col customWidth="1" min="17" max="17" width="19.75"/>
  </cols>
  <sheetData>
    <row r="1" ht="19.5" customHeight="1">
      <c r="A1" s="218" t="s">
        <v>1676</v>
      </c>
      <c r="D1" s="219" t="s">
        <v>2723</v>
      </c>
    </row>
    <row r="2" ht="31.5" customHeight="1">
      <c r="A2" s="153" t="s">
        <v>292</v>
      </c>
      <c r="B2" s="153" t="s">
        <v>2724</v>
      </c>
      <c r="C2" s="153" t="s">
        <v>641</v>
      </c>
      <c r="D2" s="153" t="s">
        <v>2725</v>
      </c>
      <c r="E2" s="220" t="s">
        <v>2726</v>
      </c>
      <c r="F2" s="153" t="s">
        <v>300</v>
      </c>
      <c r="G2" s="153" t="s">
        <v>2727</v>
      </c>
      <c r="H2" s="153" t="s">
        <v>2728</v>
      </c>
      <c r="I2" s="153" t="s">
        <v>2729</v>
      </c>
      <c r="J2" s="153" t="s">
        <v>2730</v>
      </c>
      <c r="K2" s="153" t="s">
        <v>2731</v>
      </c>
      <c r="L2" s="153" t="s">
        <v>2732</v>
      </c>
      <c r="M2" s="153" t="s">
        <v>2733</v>
      </c>
      <c r="N2" s="153" t="s">
        <v>2734</v>
      </c>
      <c r="O2" s="153" t="s">
        <v>2735</v>
      </c>
      <c r="P2" s="153" t="s">
        <v>2736</v>
      </c>
      <c r="Q2" s="221" t="s">
        <v>2737</v>
      </c>
    </row>
    <row r="3" ht="45.0" customHeight="1">
      <c r="A3" s="50">
        <v>1.0</v>
      </c>
      <c r="B3" s="50" t="s">
        <v>2738</v>
      </c>
      <c r="C3" s="50" t="s">
        <v>2739</v>
      </c>
      <c r="D3" s="222">
        <v>299440.0</v>
      </c>
      <c r="E3" s="223">
        <f t="shared" ref="E3:E4" si="1">D3/2</f>
        <v>149720</v>
      </c>
      <c r="F3" s="50" t="s">
        <v>2740</v>
      </c>
      <c r="G3" s="50" t="s">
        <v>2741</v>
      </c>
      <c r="H3" s="50" t="s">
        <v>2742</v>
      </c>
      <c r="I3" s="50" t="s">
        <v>2743</v>
      </c>
      <c r="J3" s="50" t="s">
        <v>2744</v>
      </c>
      <c r="K3" s="50" t="s">
        <v>2745</v>
      </c>
      <c r="L3" s="50" t="s">
        <v>2746</v>
      </c>
      <c r="M3" s="50">
        <f>24*3</f>
        <v>72</v>
      </c>
      <c r="N3" s="224">
        <f>O3/3</f>
        <v>115.5246914</v>
      </c>
      <c r="O3" s="224">
        <f>IFERROR(E3/M3/6, "N/A")</f>
        <v>346.5740741</v>
      </c>
      <c r="P3" s="50" t="s">
        <v>2747</v>
      </c>
      <c r="Q3" s="225" t="s">
        <v>2748</v>
      </c>
    </row>
    <row r="4" ht="45.0" customHeight="1">
      <c r="A4" s="50">
        <v>2.0</v>
      </c>
      <c r="B4" s="50" t="s">
        <v>2738</v>
      </c>
      <c r="C4" s="50" t="s">
        <v>2749</v>
      </c>
      <c r="D4" s="222">
        <v>253511.0</v>
      </c>
      <c r="E4" s="223">
        <f t="shared" si="1"/>
        <v>126755.5</v>
      </c>
      <c r="F4" s="50" t="s">
        <v>2740</v>
      </c>
      <c r="G4" s="50" t="s">
        <v>2741</v>
      </c>
      <c r="H4" s="50" t="s">
        <v>2742</v>
      </c>
      <c r="I4" s="50" t="s">
        <v>2750</v>
      </c>
      <c r="J4" s="50" t="s">
        <v>2751</v>
      </c>
      <c r="K4" s="50" t="s">
        <v>2752</v>
      </c>
      <c r="L4" s="50" t="s">
        <v>2753</v>
      </c>
      <c r="M4" s="50">
        <v>12.883</v>
      </c>
      <c r="N4" s="224">
        <f>O4</f>
        <v>273.3048289</v>
      </c>
      <c r="O4" s="224">
        <f>IFERROR(E4/M4/6/6, "N/A")</f>
        <v>273.3048289</v>
      </c>
      <c r="P4" s="50" t="s">
        <v>2754</v>
      </c>
      <c r="Q4" s="225" t="s">
        <v>2748</v>
      </c>
    </row>
    <row r="5" ht="45.0" customHeight="1">
      <c r="A5" s="50">
        <v>3.0</v>
      </c>
      <c r="B5" s="50" t="s">
        <v>2738</v>
      </c>
      <c r="C5" s="50" t="s">
        <v>2755</v>
      </c>
      <c r="D5" s="222">
        <v>125126.0</v>
      </c>
      <c r="E5" s="223">
        <f t="shared" ref="E5:E12" si="2">D5</f>
        <v>125126</v>
      </c>
      <c r="F5" s="50" t="s">
        <v>2756</v>
      </c>
      <c r="G5" s="50" t="s">
        <v>2757</v>
      </c>
      <c r="H5" s="50" t="s">
        <v>2742</v>
      </c>
      <c r="I5" s="50" t="s">
        <v>582</v>
      </c>
      <c r="J5" s="50" t="s">
        <v>2758</v>
      </c>
      <c r="K5" s="50" t="s">
        <v>2759</v>
      </c>
      <c r="L5" s="50" t="s">
        <v>2746</v>
      </c>
      <c r="M5" s="50">
        <v>30.0</v>
      </c>
      <c r="N5" s="224">
        <f>O5/3</f>
        <v>231.7148148</v>
      </c>
      <c r="O5" s="224">
        <f t="shared" ref="O5:O9" si="3">IFERROR(E5/M5/6, "N/A")</f>
        <v>695.1444444</v>
      </c>
      <c r="P5" s="50" t="s">
        <v>2760</v>
      </c>
      <c r="Q5" s="225" t="s">
        <v>2748</v>
      </c>
    </row>
    <row r="6" ht="45.0" customHeight="1">
      <c r="A6" s="50">
        <v>4.0</v>
      </c>
      <c r="B6" s="50" t="s">
        <v>2738</v>
      </c>
      <c r="C6" s="50" t="s">
        <v>2761</v>
      </c>
      <c r="D6" s="222">
        <v>170255.0</v>
      </c>
      <c r="E6" s="223">
        <f t="shared" si="2"/>
        <v>170255</v>
      </c>
      <c r="F6" s="50" t="s">
        <v>2762</v>
      </c>
      <c r="G6" s="50" t="s">
        <v>2763</v>
      </c>
      <c r="H6" s="50" t="s">
        <v>2742</v>
      </c>
      <c r="I6" s="50" t="s">
        <v>2764</v>
      </c>
      <c r="J6" s="50" t="s">
        <v>2744</v>
      </c>
      <c r="K6" s="50" t="s">
        <v>2765</v>
      </c>
      <c r="L6" s="50" t="s">
        <v>2746</v>
      </c>
      <c r="M6" s="50">
        <v>14.95</v>
      </c>
      <c r="N6" s="224" t="s">
        <v>2766</v>
      </c>
      <c r="O6" s="224">
        <f t="shared" si="3"/>
        <v>1898.049052</v>
      </c>
      <c r="P6" s="50" t="s">
        <v>2767</v>
      </c>
      <c r="Q6" s="225" t="s">
        <v>2748</v>
      </c>
    </row>
    <row r="7" ht="45.0" customHeight="1">
      <c r="A7" s="50">
        <v>5.0</v>
      </c>
      <c r="B7" s="50" t="s">
        <v>2768</v>
      </c>
      <c r="C7" s="50" t="s">
        <v>2769</v>
      </c>
      <c r="D7" s="222">
        <v>153455.0</v>
      </c>
      <c r="E7" s="223">
        <f t="shared" si="2"/>
        <v>153455</v>
      </c>
      <c r="F7" s="50"/>
      <c r="G7" s="50" t="s">
        <v>2770</v>
      </c>
      <c r="H7" s="50" t="s">
        <v>2771</v>
      </c>
      <c r="I7" s="50" t="s">
        <v>2772</v>
      </c>
      <c r="J7" s="50" t="s">
        <v>2744</v>
      </c>
      <c r="K7" s="50" t="s">
        <v>2752</v>
      </c>
      <c r="L7" s="50" t="s">
        <v>2753</v>
      </c>
      <c r="M7" s="50">
        <v>20.733</v>
      </c>
      <c r="N7" s="224">
        <f t="shared" ref="N7:N8" si="4">O7/3</f>
        <v>411.1936419</v>
      </c>
      <c r="O7" s="224">
        <f t="shared" si="3"/>
        <v>1233.580926</v>
      </c>
      <c r="P7" s="50"/>
      <c r="Q7" s="225" t="s">
        <v>2773</v>
      </c>
    </row>
    <row r="8" ht="45.0" customHeight="1">
      <c r="A8" s="50">
        <v>6.0</v>
      </c>
      <c r="B8" s="50" t="s">
        <v>2768</v>
      </c>
      <c r="C8" s="50" t="s">
        <v>2774</v>
      </c>
      <c r="D8" s="222">
        <v>196586.0</v>
      </c>
      <c r="E8" s="223">
        <f t="shared" si="2"/>
        <v>196586</v>
      </c>
      <c r="F8" s="50" t="s">
        <v>2775</v>
      </c>
      <c r="G8" s="50" t="s">
        <v>2776</v>
      </c>
      <c r="H8" s="50" t="s">
        <v>2771</v>
      </c>
      <c r="I8" s="50" t="s">
        <v>2777</v>
      </c>
      <c r="J8" s="50" t="s">
        <v>2758</v>
      </c>
      <c r="K8" s="50" t="s">
        <v>2745</v>
      </c>
      <c r="L8" s="50" t="s">
        <v>2778</v>
      </c>
      <c r="M8" s="50">
        <v>17.417</v>
      </c>
      <c r="N8" s="224">
        <f t="shared" si="4"/>
        <v>627.0565795</v>
      </c>
      <c r="O8" s="224">
        <f t="shared" si="3"/>
        <v>1881.169738</v>
      </c>
      <c r="P8" s="50" t="s">
        <v>2779</v>
      </c>
      <c r="Q8" s="225" t="s">
        <v>2773</v>
      </c>
    </row>
    <row r="9" ht="45.0" customHeight="1">
      <c r="A9" s="50">
        <v>7.0</v>
      </c>
      <c r="B9" s="50" t="s">
        <v>2780</v>
      </c>
      <c r="C9" s="50" t="s">
        <v>2781</v>
      </c>
      <c r="D9" s="222">
        <v>12117.0</v>
      </c>
      <c r="E9" s="223">
        <f t="shared" si="2"/>
        <v>12117</v>
      </c>
      <c r="F9" s="50" t="s">
        <v>2782</v>
      </c>
      <c r="G9" s="50" t="s">
        <v>2783</v>
      </c>
      <c r="H9" s="50" t="s">
        <v>2784</v>
      </c>
      <c r="I9" s="50" t="s">
        <v>2785</v>
      </c>
      <c r="J9" s="50" t="s">
        <v>2758</v>
      </c>
      <c r="K9" s="50" t="s">
        <v>2765</v>
      </c>
      <c r="L9" s="50" t="s">
        <v>2746</v>
      </c>
      <c r="M9" s="50" t="s">
        <v>2786</v>
      </c>
      <c r="N9" s="224" t="s">
        <v>2787</v>
      </c>
      <c r="O9" s="224" t="str">
        <f t="shared" si="3"/>
        <v>N/A</v>
      </c>
      <c r="P9" s="50"/>
      <c r="Q9" s="225" t="s">
        <v>2752</v>
      </c>
    </row>
    <row r="10" ht="45.0" customHeight="1">
      <c r="A10" s="50">
        <v>8.0</v>
      </c>
      <c r="B10" s="50" t="s">
        <v>2780</v>
      </c>
      <c r="C10" s="50" t="s">
        <v>2788</v>
      </c>
      <c r="D10" s="222">
        <v>76035.0</v>
      </c>
      <c r="E10" s="223">
        <f t="shared" si="2"/>
        <v>76035</v>
      </c>
      <c r="F10" s="50" t="s">
        <v>2789</v>
      </c>
      <c r="G10" s="50" t="s">
        <v>2790</v>
      </c>
      <c r="H10" s="50" t="s">
        <v>2784</v>
      </c>
      <c r="I10" s="50" t="s">
        <v>2791</v>
      </c>
      <c r="J10" s="50" t="s">
        <v>2792</v>
      </c>
      <c r="K10" s="50" t="s">
        <v>2745</v>
      </c>
      <c r="L10" s="50" t="s">
        <v>2746</v>
      </c>
      <c r="M10" s="50">
        <v>2.3</v>
      </c>
      <c r="N10" s="224">
        <f>O10/4/3</f>
        <v>390.2762681</v>
      </c>
      <c r="O10" s="224">
        <f>IFERROR(E10/M10/6*0.85, "N/A")</f>
        <v>4683.315217</v>
      </c>
      <c r="P10" s="50" t="s">
        <v>2793</v>
      </c>
      <c r="Q10" s="225" t="s">
        <v>2752</v>
      </c>
    </row>
    <row r="11" ht="45.0" customHeight="1">
      <c r="A11" s="50">
        <v>9.0</v>
      </c>
      <c r="B11" s="50" t="s">
        <v>2780</v>
      </c>
      <c r="C11" s="50" t="s">
        <v>2794</v>
      </c>
      <c r="D11" s="222">
        <v>277639.0</v>
      </c>
      <c r="E11" s="223">
        <f t="shared" si="2"/>
        <v>277639</v>
      </c>
      <c r="F11" s="50"/>
      <c r="G11" s="50" t="s">
        <v>2795</v>
      </c>
      <c r="H11" s="50" t="s">
        <v>2784</v>
      </c>
      <c r="I11" s="50" t="s">
        <v>2796</v>
      </c>
      <c r="J11" s="50" t="s">
        <v>2792</v>
      </c>
      <c r="K11" s="50" t="s">
        <v>2752</v>
      </c>
      <c r="L11" s="50" t="s">
        <v>2744</v>
      </c>
      <c r="M11" s="50">
        <v>14.0</v>
      </c>
      <c r="N11" s="224">
        <f>O11/3/3</f>
        <v>104.0534171</v>
      </c>
      <c r="O11" s="224">
        <f>IFERROR(E11/M11/6/3*0.85, "N/A")</f>
        <v>936.480754</v>
      </c>
      <c r="P11" s="50" t="s">
        <v>2797</v>
      </c>
      <c r="Q11" s="225" t="s">
        <v>2752</v>
      </c>
    </row>
    <row r="12" ht="45.0" customHeight="1">
      <c r="A12" s="50">
        <v>10.0</v>
      </c>
      <c r="B12" s="50" t="s">
        <v>2798</v>
      </c>
      <c r="C12" s="50" t="s">
        <v>2799</v>
      </c>
      <c r="D12" s="222">
        <v>182640.0</v>
      </c>
      <c r="E12" s="223">
        <f t="shared" si="2"/>
        <v>182640</v>
      </c>
      <c r="F12" s="50" t="s">
        <v>2800</v>
      </c>
      <c r="G12" s="50" t="s">
        <v>2801</v>
      </c>
      <c r="H12" s="50" t="s">
        <v>2771</v>
      </c>
      <c r="I12" s="50" t="s">
        <v>2802</v>
      </c>
      <c r="J12" s="50" t="s">
        <v>2792</v>
      </c>
      <c r="K12" s="50" t="s">
        <v>2752</v>
      </c>
      <c r="L12" s="50" t="s">
        <v>2753</v>
      </c>
      <c r="M12" s="50">
        <v>15.0</v>
      </c>
      <c r="N12" s="226" t="s">
        <v>582</v>
      </c>
      <c r="O12" s="224">
        <f t="shared" ref="O12:O13" si="5">IFERROR(E12/M12/6, "N/A")</f>
        <v>2029.333333</v>
      </c>
      <c r="P12" s="50" t="s">
        <v>2803</v>
      </c>
      <c r="Q12" s="225" t="s">
        <v>2752</v>
      </c>
    </row>
    <row r="13" ht="45.0" customHeight="1">
      <c r="A13" s="50">
        <v>11.0</v>
      </c>
      <c r="B13" s="50" t="s">
        <v>2798</v>
      </c>
      <c r="C13" s="50" t="s">
        <v>2804</v>
      </c>
      <c r="D13" s="222">
        <v>247148.0</v>
      </c>
      <c r="E13" s="223">
        <f>D13/5</f>
        <v>49429.6</v>
      </c>
      <c r="F13" s="50" t="s">
        <v>2805</v>
      </c>
      <c r="G13" s="50" t="s">
        <v>2776</v>
      </c>
      <c r="H13" s="50" t="s">
        <v>2771</v>
      </c>
      <c r="I13" s="50" t="s">
        <v>2806</v>
      </c>
      <c r="J13" s="50" t="s">
        <v>2758</v>
      </c>
      <c r="K13" s="50" t="s">
        <v>2807</v>
      </c>
      <c r="L13" s="50" t="s">
        <v>2746</v>
      </c>
      <c r="M13" s="50">
        <v>30.0</v>
      </c>
      <c r="N13" s="224">
        <f>O13/3</f>
        <v>91.5362963</v>
      </c>
      <c r="O13" s="224">
        <f t="shared" si="5"/>
        <v>274.6088889</v>
      </c>
      <c r="P13" s="50"/>
      <c r="Q13" s="225" t="s">
        <v>2752</v>
      </c>
    </row>
    <row r="14" ht="45.0" customHeight="1">
      <c r="A14" s="50">
        <v>12.0</v>
      </c>
      <c r="B14" s="50" t="s">
        <v>2808</v>
      </c>
      <c r="C14" s="50" t="s">
        <v>2809</v>
      </c>
      <c r="D14" s="222">
        <v>663786.0</v>
      </c>
      <c r="E14" s="223">
        <f>D14/2</f>
        <v>331893</v>
      </c>
      <c r="F14" s="50" t="s">
        <v>2810</v>
      </c>
      <c r="G14" s="50" t="s">
        <v>2811</v>
      </c>
      <c r="H14" s="50" t="s">
        <v>2812</v>
      </c>
      <c r="I14" s="50" t="s">
        <v>2813</v>
      </c>
      <c r="J14" s="50" t="s">
        <v>2744</v>
      </c>
      <c r="K14" s="50" t="s">
        <v>2765</v>
      </c>
      <c r="L14" s="50" t="s">
        <v>2746</v>
      </c>
      <c r="M14" s="50">
        <f>5*1.5</f>
        <v>7.5</v>
      </c>
      <c r="N14" s="224">
        <f>O14/3/3</f>
        <v>696.5655556</v>
      </c>
      <c r="O14" s="224">
        <f>IFERROR(E14/M14/6*0.85, "N/A")</f>
        <v>6269.09</v>
      </c>
      <c r="P14" s="50" t="s">
        <v>2814</v>
      </c>
      <c r="Q14" s="225" t="s">
        <v>2815</v>
      </c>
    </row>
    <row r="15" ht="45.0" customHeight="1">
      <c r="A15" s="50">
        <v>13.0</v>
      </c>
      <c r="B15" s="50" t="s">
        <v>2808</v>
      </c>
      <c r="C15" s="50" t="s">
        <v>2816</v>
      </c>
      <c r="D15" s="222">
        <v>397638.0</v>
      </c>
      <c r="E15" s="223">
        <f t="shared" ref="E15:E25" si="6">D15</f>
        <v>397638</v>
      </c>
      <c r="F15" s="50" t="s">
        <v>2817</v>
      </c>
      <c r="G15" s="50" t="s">
        <v>2818</v>
      </c>
      <c r="H15" s="50" t="s">
        <v>2819</v>
      </c>
      <c r="I15" s="50" t="s">
        <v>2820</v>
      </c>
      <c r="J15" s="50" t="s">
        <v>2758</v>
      </c>
      <c r="K15" s="50" t="s">
        <v>2821</v>
      </c>
      <c r="L15" s="50" t="s">
        <v>2744</v>
      </c>
      <c r="M15" s="50">
        <v>36.0</v>
      </c>
      <c r="N15" s="224">
        <f>O15/3</f>
        <v>613.6388889</v>
      </c>
      <c r="O15" s="224">
        <f>IFERROR(E15/M15/6, "N/A")</f>
        <v>1840.916667</v>
      </c>
      <c r="P15" s="50"/>
      <c r="Q15" s="225" t="s">
        <v>2815</v>
      </c>
    </row>
    <row r="16" ht="45.0" customHeight="1">
      <c r="A16" s="50">
        <v>14.0</v>
      </c>
      <c r="B16" s="50" t="s">
        <v>2822</v>
      </c>
      <c r="C16" s="50" t="s">
        <v>2823</v>
      </c>
      <c r="D16" s="222">
        <v>480831.0</v>
      </c>
      <c r="E16" s="223">
        <f t="shared" si="6"/>
        <v>480831</v>
      </c>
      <c r="F16" s="50"/>
      <c r="G16" s="50" t="s">
        <v>2824</v>
      </c>
      <c r="H16" s="50" t="s">
        <v>2825</v>
      </c>
      <c r="I16" s="50" t="s">
        <v>2826</v>
      </c>
      <c r="J16" s="50" t="s">
        <v>2758</v>
      </c>
      <c r="K16" s="50" t="s">
        <v>2752</v>
      </c>
      <c r="L16" s="50" t="s">
        <v>2746</v>
      </c>
      <c r="M16" s="50">
        <v>45.0</v>
      </c>
      <c r="N16" s="224">
        <f>O16/45*18/3</f>
        <v>593.6185185</v>
      </c>
      <c r="O16" s="224">
        <f>IFERROR(E16/M16/6*45/18, "N/A")</f>
        <v>4452.138889</v>
      </c>
      <c r="P16" s="50" t="s">
        <v>2827</v>
      </c>
      <c r="Q16" s="225" t="s">
        <v>2752</v>
      </c>
    </row>
    <row r="17" ht="45.0" customHeight="1">
      <c r="A17" s="50">
        <v>15.0</v>
      </c>
      <c r="B17" s="50" t="s">
        <v>2822</v>
      </c>
      <c r="C17" s="50" t="s">
        <v>2828</v>
      </c>
      <c r="D17" s="222">
        <v>409156.0</v>
      </c>
      <c r="E17" s="223">
        <f t="shared" si="6"/>
        <v>409156</v>
      </c>
      <c r="F17" s="50" t="s">
        <v>2829</v>
      </c>
      <c r="G17" s="50" t="s">
        <v>2757</v>
      </c>
      <c r="H17" s="50" t="s">
        <v>2825</v>
      </c>
      <c r="I17" s="50" t="s">
        <v>2830</v>
      </c>
      <c r="J17" s="50" t="s">
        <v>2758</v>
      </c>
      <c r="K17" s="50" t="s">
        <v>2807</v>
      </c>
      <c r="L17" s="50" t="s">
        <v>2753</v>
      </c>
      <c r="M17" s="50">
        <v>20.0</v>
      </c>
      <c r="N17" s="224">
        <f>O17/6/3</f>
        <v>189.4240741</v>
      </c>
      <c r="O17" s="224">
        <f t="shared" ref="O17:O28" si="7">IFERROR(E17/M17/6, "N/A")</f>
        <v>3409.633333</v>
      </c>
      <c r="P17" s="50" t="s">
        <v>2831</v>
      </c>
      <c r="Q17" s="225" t="s">
        <v>2752</v>
      </c>
    </row>
    <row r="18" ht="45.0" customHeight="1">
      <c r="A18" s="50">
        <v>16.0</v>
      </c>
      <c r="B18" s="50" t="s">
        <v>2822</v>
      </c>
      <c r="C18" s="50" t="s">
        <v>2832</v>
      </c>
      <c r="D18" s="222">
        <v>167594.0</v>
      </c>
      <c r="E18" s="223">
        <f t="shared" si="6"/>
        <v>167594</v>
      </c>
      <c r="F18" s="50"/>
      <c r="G18" s="50" t="s">
        <v>2833</v>
      </c>
      <c r="H18" s="50" t="s">
        <v>2825</v>
      </c>
      <c r="I18" s="50" t="s">
        <v>2834</v>
      </c>
      <c r="J18" s="50" t="s">
        <v>2758</v>
      </c>
      <c r="K18" s="50" t="s">
        <v>2759</v>
      </c>
      <c r="L18" s="50" t="s">
        <v>2744</v>
      </c>
      <c r="M18" s="50" t="s">
        <v>2786</v>
      </c>
      <c r="N18" s="226" t="s">
        <v>582</v>
      </c>
      <c r="O18" s="224" t="str">
        <f t="shared" si="7"/>
        <v>N/A</v>
      </c>
      <c r="P18" s="50"/>
      <c r="Q18" s="225" t="s">
        <v>2752</v>
      </c>
    </row>
    <row r="19" ht="45.0" customHeight="1">
      <c r="A19" s="50">
        <v>17.0</v>
      </c>
      <c r="B19" s="50" t="s">
        <v>2822</v>
      </c>
      <c r="C19" s="50" t="s">
        <v>2835</v>
      </c>
      <c r="D19" s="222">
        <v>423189.0</v>
      </c>
      <c r="E19" s="223">
        <f t="shared" si="6"/>
        <v>423189</v>
      </c>
      <c r="F19" s="50" t="s">
        <v>2836</v>
      </c>
      <c r="G19" s="50" t="s">
        <v>582</v>
      </c>
      <c r="H19" s="50" t="s">
        <v>2825</v>
      </c>
      <c r="I19" s="50" t="s">
        <v>2837</v>
      </c>
      <c r="J19" s="50" t="s">
        <v>2758</v>
      </c>
      <c r="K19" s="50" t="s">
        <v>2807</v>
      </c>
      <c r="L19" s="50" t="s">
        <v>2778</v>
      </c>
      <c r="M19" s="50">
        <v>24.783</v>
      </c>
      <c r="N19" s="224">
        <f>O19/4</f>
        <v>711.4907396</v>
      </c>
      <c r="O19" s="224">
        <f t="shared" si="7"/>
        <v>2845.962958</v>
      </c>
      <c r="P19" s="50"/>
      <c r="Q19" s="225" t="s">
        <v>2752</v>
      </c>
    </row>
    <row r="20" ht="45.0" customHeight="1">
      <c r="A20" s="50">
        <v>18.0</v>
      </c>
      <c r="B20" s="50" t="s">
        <v>2838</v>
      </c>
      <c r="C20" s="50" t="s">
        <v>2839</v>
      </c>
      <c r="D20" s="222">
        <v>295535.0</v>
      </c>
      <c r="E20" s="223">
        <f t="shared" si="6"/>
        <v>295535</v>
      </c>
      <c r="F20" s="50"/>
      <c r="G20" s="50" t="s">
        <v>2840</v>
      </c>
      <c r="H20" s="50" t="s">
        <v>2841</v>
      </c>
      <c r="I20" s="50" t="s">
        <v>2842</v>
      </c>
      <c r="J20" s="50" t="s">
        <v>2758</v>
      </c>
      <c r="K20" s="50" t="s">
        <v>2752</v>
      </c>
      <c r="L20" s="50" t="s">
        <v>2753</v>
      </c>
      <c r="M20" s="50">
        <v>10.0</v>
      </c>
      <c r="N20" s="224">
        <f>O20*2/3/3/2</f>
        <v>547.287037</v>
      </c>
      <c r="O20" s="224">
        <f t="shared" si="7"/>
        <v>4925.583333</v>
      </c>
      <c r="P20" s="50" t="s">
        <v>2843</v>
      </c>
      <c r="Q20" s="225" t="s">
        <v>2844</v>
      </c>
    </row>
    <row r="21" ht="45.0" customHeight="1">
      <c r="A21" s="50">
        <v>19.0</v>
      </c>
      <c r="B21" s="50" t="s">
        <v>2838</v>
      </c>
      <c r="C21" s="50" t="s">
        <v>2845</v>
      </c>
      <c r="D21" s="222">
        <v>262082.0</v>
      </c>
      <c r="E21" s="223">
        <f t="shared" si="6"/>
        <v>262082</v>
      </c>
      <c r="F21" s="50"/>
      <c r="G21" s="50" t="s">
        <v>2846</v>
      </c>
      <c r="H21" s="50" t="s">
        <v>582</v>
      </c>
      <c r="I21" s="50" t="s">
        <v>2847</v>
      </c>
      <c r="J21" s="50" t="s">
        <v>2751</v>
      </c>
      <c r="K21" s="50" t="s">
        <v>2752</v>
      </c>
      <c r="L21" s="50" t="s">
        <v>2746</v>
      </c>
      <c r="M21" s="50">
        <v>30.0</v>
      </c>
      <c r="N21" s="224">
        <f t="shared" ref="N21:N37" si="8">O21/3</f>
        <v>485.337037</v>
      </c>
      <c r="O21" s="224">
        <f t="shared" si="7"/>
        <v>1456.011111</v>
      </c>
      <c r="P21" s="50"/>
      <c r="Q21" s="225" t="s">
        <v>2844</v>
      </c>
    </row>
    <row r="22" ht="45.0" customHeight="1">
      <c r="A22" s="50">
        <v>20.0</v>
      </c>
      <c r="B22" s="50" t="s">
        <v>2848</v>
      </c>
      <c r="C22" s="50" t="s">
        <v>2849</v>
      </c>
      <c r="D22" s="222">
        <v>288027.0</v>
      </c>
      <c r="E22" s="223">
        <f t="shared" si="6"/>
        <v>288027</v>
      </c>
      <c r="F22" s="50"/>
      <c r="G22" s="50" t="s">
        <v>2833</v>
      </c>
      <c r="H22" s="50" t="s">
        <v>2825</v>
      </c>
      <c r="I22" s="50" t="s">
        <v>2850</v>
      </c>
      <c r="J22" s="50" t="s">
        <v>2758</v>
      </c>
      <c r="K22" s="50" t="s">
        <v>2807</v>
      </c>
      <c r="L22" s="50" t="s">
        <v>2753</v>
      </c>
      <c r="M22" s="50">
        <v>45.0</v>
      </c>
      <c r="N22" s="224">
        <f t="shared" si="8"/>
        <v>355.5888889</v>
      </c>
      <c r="O22" s="224">
        <f t="shared" si="7"/>
        <v>1066.766667</v>
      </c>
      <c r="P22" s="50"/>
      <c r="Q22" s="225" t="s">
        <v>2752</v>
      </c>
    </row>
    <row r="23" ht="45.0" customHeight="1">
      <c r="A23" s="50">
        <v>21.0</v>
      </c>
      <c r="B23" s="50" t="s">
        <v>2848</v>
      </c>
      <c r="C23" s="50" t="s">
        <v>2851</v>
      </c>
      <c r="D23" s="222">
        <v>480445.0</v>
      </c>
      <c r="E23" s="223">
        <f t="shared" si="6"/>
        <v>480445</v>
      </c>
      <c r="F23" s="50" t="s">
        <v>2852</v>
      </c>
      <c r="G23" s="50" t="s">
        <v>2824</v>
      </c>
      <c r="H23" s="50" t="s">
        <v>2825</v>
      </c>
      <c r="I23" s="50" t="s">
        <v>2853</v>
      </c>
      <c r="J23" s="50" t="s">
        <v>2758</v>
      </c>
      <c r="K23" s="50" t="s">
        <v>2807</v>
      </c>
      <c r="L23" s="50" t="s">
        <v>2753</v>
      </c>
      <c r="M23" s="50">
        <v>30.0</v>
      </c>
      <c r="N23" s="224">
        <f t="shared" si="8"/>
        <v>889.712963</v>
      </c>
      <c r="O23" s="224">
        <f t="shared" si="7"/>
        <v>2669.138889</v>
      </c>
      <c r="P23" s="50"/>
      <c r="Q23" s="225" t="s">
        <v>2752</v>
      </c>
    </row>
    <row r="24" ht="45.0" customHeight="1">
      <c r="A24" s="50">
        <v>22.0</v>
      </c>
      <c r="B24" s="50" t="s">
        <v>2854</v>
      </c>
      <c r="C24" s="50" t="s">
        <v>2855</v>
      </c>
      <c r="D24" s="222">
        <v>391079.0</v>
      </c>
      <c r="E24" s="223">
        <f t="shared" si="6"/>
        <v>391079</v>
      </c>
      <c r="F24" s="50"/>
      <c r="G24" s="50" t="s">
        <v>2795</v>
      </c>
      <c r="H24" s="50" t="s">
        <v>2742</v>
      </c>
      <c r="I24" s="50" t="s">
        <v>2856</v>
      </c>
      <c r="J24" s="50" t="s">
        <v>2751</v>
      </c>
      <c r="K24" s="50" t="s">
        <v>2821</v>
      </c>
      <c r="L24" s="50" t="s">
        <v>2753</v>
      </c>
      <c r="M24" s="50">
        <v>30.0</v>
      </c>
      <c r="N24" s="224">
        <f t="shared" si="8"/>
        <v>724.2203704</v>
      </c>
      <c r="O24" s="224">
        <f t="shared" si="7"/>
        <v>2172.661111</v>
      </c>
      <c r="P24" s="50"/>
      <c r="Q24" s="225" t="s">
        <v>2752</v>
      </c>
    </row>
    <row r="25" ht="45.0" customHeight="1">
      <c r="A25" s="50">
        <v>23.0</v>
      </c>
      <c r="B25" s="50" t="s">
        <v>2854</v>
      </c>
      <c r="C25" s="50" t="s">
        <v>2857</v>
      </c>
      <c r="D25" s="222">
        <v>543552.0</v>
      </c>
      <c r="E25" s="223">
        <f t="shared" si="6"/>
        <v>543552</v>
      </c>
      <c r="F25" s="50" t="s">
        <v>2858</v>
      </c>
      <c r="G25" s="50" t="s">
        <v>582</v>
      </c>
      <c r="H25" s="50" t="s">
        <v>582</v>
      </c>
      <c r="I25" s="50" t="s">
        <v>2859</v>
      </c>
      <c r="J25" s="50" t="s">
        <v>2758</v>
      </c>
      <c r="K25" s="50" t="s">
        <v>2821</v>
      </c>
      <c r="L25" s="50" t="s">
        <v>2778</v>
      </c>
      <c r="M25" s="50">
        <v>45.0</v>
      </c>
      <c r="N25" s="224">
        <f t="shared" si="8"/>
        <v>671.0518519</v>
      </c>
      <c r="O25" s="224">
        <f t="shared" si="7"/>
        <v>2013.155556</v>
      </c>
      <c r="P25" s="50"/>
      <c r="Q25" s="225" t="s">
        <v>2752</v>
      </c>
    </row>
    <row r="26" ht="45.0" customHeight="1">
      <c r="A26" s="50">
        <v>24.0</v>
      </c>
      <c r="B26" s="50" t="s">
        <v>2860</v>
      </c>
      <c r="C26" s="50" t="s">
        <v>2861</v>
      </c>
      <c r="D26" s="222">
        <v>530451.0</v>
      </c>
      <c r="E26" s="223">
        <v>589792.0</v>
      </c>
      <c r="F26" s="50"/>
      <c r="G26" s="50" t="s">
        <v>2862</v>
      </c>
      <c r="H26" s="50" t="s">
        <v>2771</v>
      </c>
      <c r="I26" s="50" t="s">
        <v>2863</v>
      </c>
      <c r="J26" s="50" t="s">
        <v>2758</v>
      </c>
      <c r="K26" s="50" t="s">
        <v>2807</v>
      </c>
      <c r="L26" s="50" t="s">
        <v>2864</v>
      </c>
      <c r="M26" s="117">
        <v>91.5</v>
      </c>
      <c r="N26" s="224">
        <f t="shared" si="8"/>
        <v>358.1007893</v>
      </c>
      <c r="O26" s="224">
        <f t="shared" si="7"/>
        <v>1074.302368</v>
      </c>
      <c r="P26" s="50"/>
      <c r="Q26" s="225" t="s">
        <v>2752</v>
      </c>
    </row>
    <row r="27" ht="45.0" customHeight="1">
      <c r="A27" s="50">
        <v>25.0</v>
      </c>
      <c r="B27" s="50" t="s">
        <v>2860</v>
      </c>
      <c r="C27" s="50" t="s">
        <v>2865</v>
      </c>
      <c r="D27" s="222">
        <v>537446.0</v>
      </c>
      <c r="E27" s="223">
        <v>597570.0</v>
      </c>
      <c r="F27" s="50"/>
      <c r="G27" s="50" t="s">
        <v>2866</v>
      </c>
      <c r="H27" s="50" t="s">
        <v>2771</v>
      </c>
      <c r="I27" s="50" t="s">
        <v>2867</v>
      </c>
      <c r="J27" s="50" t="s">
        <v>2744</v>
      </c>
      <c r="K27" s="50" t="s">
        <v>2759</v>
      </c>
      <c r="L27" s="50" t="s">
        <v>2753</v>
      </c>
      <c r="M27" s="50">
        <v>90.9</v>
      </c>
      <c r="N27" s="224">
        <f t="shared" si="8"/>
        <v>365.2181885</v>
      </c>
      <c r="O27" s="224">
        <f t="shared" si="7"/>
        <v>1095.654565</v>
      </c>
      <c r="P27" s="50"/>
      <c r="Q27" s="225" t="s">
        <v>2752</v>
      </c>
    </row>
    <row r="28" ht="45.0" customHeight="1">
      <c r="A28" s="50">
        <v>26.0</v>
      </c>
      <c r="B28" s="50" t="s">
        <v>2860</v>
      </c>
      <c r="C28" s="50" t="s">
        <v>2868</v>
      </c>
      <c r="D28" s="222">
        <v>250154.0</v>
      </c>
      <c r="E28" s="223">
        <v>278139.0</v>
      </c>
      <c r="F28" s="50" t="s">
        <v>2869</v>
      </c>
      <c r="G28" s="50" t="s">
        <v>2870</v>
      </c>
      <c r="H28" s="50" t="s">
        <v>2771</v>
      </c>
      <c r="I28" s="50" t="s">
        <v>2871</v>
      </c>
      <c r="J28" s="50" t="s">
        <v>2758</v>
      </c>
      <c r="K28" s="50" t="s">
        <v>2807</v>
      </c>
      <c r="L28" s="50" t="s">
        <v>2753</v>
      </c>
      <c r="M28" s="117">
        <v>45.65</v>
      </c>
      <c r="N28" s="224">
        <f t="shared" si="8"/>
        <v>338.4921504</v>
      </c>
      <c r="O28" s="224">
        <f t="shared" si="7"/>
        <v>1015.476451</v>
      </c>
      <c r="P28" s="50"/>
      <c r="Q28" s="225" t="s">
        <v>2752</v>
      </c>
    </row>
    <row r="29" ht="45.0" customHeight="1">
      <c r="A29" s="50">
        <v>27.0</v>
      </c>
      <c r="B29" s="50" t="s">
        <v>2860</v>
      </c>
      <c r="C29" s="50" t="s">
        <v>2872</v>
      </c>
      <c r="D29" s="222">
        <v>756068.0</v>
      </c>
      <c r="E29" s="223">
        <v>840649.0</v>
      </c>
      <c r="F29" s="50" t="s">
        <v>2873</v>
      </c>
      <c r="G29" s="50" t="s">
        <v>2770</v>
      </c>
      <c r="H29" s="50" t="s">
        <v>2771</v>
      </c>
      <c r="I29" s="50" t="s">
        <v>2874</v>
      </c>
      <c r="J29" s="50" t="s">
        <v>2744</v>
      </c>
      <c r="K29" s="50" t="s">
        <v>2875</v>
      </c>
      <c r="L29" s="50" t="s">
        <v>2746</v>
      </c>
      <c r="M29" s="117">
        <v>80.0</v>
      </c>
      <c r="N29" s="224">
        <f t="shared" si="8"/>
        <v>648.6489198</v>
      </c>
      <c r="O29" s="224">
        <f>IFERROR(E29/M29/6/0.9, "N/A")</f>
        <v>1945.946759</v>
      </c>
      <c r="P29" s="50"/>
      <c r="Q29" s="225" t="s">
        <v>2752</v>
      </c>
    </row>
    <row r="30" ht="45.0" customHeight="1">
      <c r="A30" s="50">
        <v>28.0</v>
      </c>
      <c r="B30" s="50" t="s">
        <v>2876</v>
      </c>
      <c r="C30" s="50" t="s">
        <v>2877</v>
      </c>
      <c r="D30" s="222">
        <v>23163.0</v>
      </c>
      <c r="E30" s="223">
        <f t="shared" ref="E30:E46" si="9">D30</f>
        <v>23163</v>
      </c>
      <c r="F30" s="50"/>
      <c r="G30" s="50" t="s">
        <v>2757</v>
      </c>
      <c r="H30" s="50" t="s">
        <v>2742</v>
      </c>
      <c r="I30" s="50" t="s">
        <v>2878</v>
      </c>
      <c r="J30" s="50" t="s">
        <v>2751</v>
      </c>
      <c r="K30" s="50" t="s">
        <v>2879</v>
      </c>
      <c r="L30" s="50" t="s">
        <v>2746</v>
      </c>
      <c r="M30" s="50">
        <v>30.0</v>
      </c>
      <c r="N30" s="224">
        <f t="shared" si="8"/>
        <v>85.78888889</v>
      </c>
      <c r="O30" s="224">
        <f t="shared" ref="O30:O52" si="10">IFERROR(E30/M30/3, "N/A")</f>
        <v>257.3666667</v>
      </c>
      <c r="P30" s="50"/>
      <c r="Q30" s="225" t="s">
        <v>2748</v>
      </c>
    </row>
    <row r="31" ht="45.0" customHeight="1">
      <c r="A31" s="50">
        <v>29.0</v>
      </c>
      <c r="B31" s="50" t="s">
        <v>2876</v>
      </c>
      <c r="C31" s="50" t="s">
        <v>2880</v>
      </c>
      <c r="D31" s="222">
        <v>214959.0</v>
      </c>
      <c r="E31" s="223">
        <f t="shared" si="9"/>
        <v>214959</v>
      </c>
      <c r="F31" s="50" t="s">
        <v>2881</v>
      </c>
      <c r="G31" s="50" t="s">
        <v>2833</v>
      </c>
      <c r="H31" s="50" t="s">
        <v>2742</v>
      </c>
      <c r="I31" s="50" t="s">
        <v>2882</v>
      </c>
      <c r="J31" s="50" t="s">
        <v>2792</v>
      </c>
      <c r="K31" s="50" t="s">
        <v>2759</v>
      </c>
      <c r="L31" s="50" t="s">
        <v>2746</v>
      </c>
      <c r="M31" s="50">
        <v>45.0</v>
      </c>
      <c r="N31" s="224">
        <f t="shared" si="8"/>
        <v>530.762963</v>
      </c>
      <c r="O31" s="224">
        <f t="shared" si="10"/>
        <v>1592.288889</v>
      </c>
      <c r="P31" s="50"/>
      <c r="Q31" s="225" t="s">
        <v>2748</v>
      </c>
    </row>
    <row r="32" ht="45.0" customHeight="1">
      <c r="A32" s="50">
        <v>30.0</v>
      </c>
      <c r="B32" s="50" t="s">
        <v>2883</v>
      </c>
      <c r="C32" s="50" t="s">
        <v>2884</v>
      </c>
      <c r="D32" s="222">
        <v>61752.0</v>
      </c>
      <c r="E32" s="223">
        <f t="shared" si="9"/>
        <v>61752</v>
      </c>
      <c r="F32" s="50"/>
      <c r="G32" s="50" t="s">
        <v>2824</v>
      </c>
      <c r="H32" s="50" t="s">
        <v>2825</v>
      </c>
      <c r="I32" s="50" t="s">
        <v>2885</v>
      </c>
      <c r="J32" s="50" t="s">
        <v>2751</v>
      </c>
      <c r="K32" s="50" t="s">
        <v>2765</v>
      </c>
      <c r="L32" s="50" t="s">
        <v>2746</v>
      </c>
      <c r="M32" s="50">
        <v>50.0</v>
      </c>
      <c r="N32" s="224">
        <f t="shared" si="8"/>
        <v>137.2266667</v>
      </c>
      <c r="O32" s="224">
        <f t="shared" si="10"/>
        <v>411.68</v>
      </c>
      <c r="P32" s="50"/>
      <c r="Q32" s="225" t="s">
        <v>2752</v>
      </c>
    </row>
    <row r="33" ht="45.0" customHeight="1">
      <c r="A33" s="50">
        <v>31.0</v>
      </c>
      <c r="B33" s="50" t="s">
        <v>2886</v>
      </c>
      <c r="C33" s="50" t="s">
        <v>2887</v>
      </c>
      <c r="D33" s="222">
        <v>49678.0</v>
      </c>
      <c r="E33" s="223">
        <f t="shared" si="9"/>
        <v>49678</v>
      </c>
      <c r="F33" s="50"/>
      <c r="G33" s="50" t="s">
        <v>2801</v>
      </c>
      <c r="H33" s="50" t="s">
        <v>2742</v>
      </c>
      <c r="I33" s="50" t="s">
        <v>582</v>
      </c>
      <c r="J33" s="50" t="s">
        <v>2751</v>
      </c>
      <c r="K33" s="50" t="s">
        <v>2765</v>
      </c>
      <c r="L33" s="50" t="s">
        <v>2746</v>
      </c>
      <c r="M33" s="50">
        <v>50.0</v>
      </c>
      <c r="N33" s="224">
        <f t="shared" si="8"/>
        <v>110.3955556</v>
      </c>
      <c r="O33" s="224">
        <f t="shared" si="10"/>
        <v>331.1866667</v>
      </c>
      <c r="P33" s="50"/>
      <c r="Q33" s="225" t="s">
        <v>2752</v>
      </c>
    </row>
    <row r="34" ht="45.0" customHeight="1">
      <c r="A34" s="50">
        <v>32.0</v>
      </c>
      <c r="B34" s="50" t="s">
        <v>2886</v>
      </c>
      <c r="C34" s="50" t="s">
        <v>2888</v>
      </c>
      <c r="D34" s="222">
        <v>105803.0</v>
      </c>
      <c r="E34" s="223">
        <f t="shared" si="9"/>
        <v>105803</v>
      </c>
      <c r="F34" s="50" t="s">
        <v>2889</v>
      </c>
      <c r="G34" s="50" t="s">
        <v>2801</v>
      </c>
      <c r="H34" s="50" t="s">
        <v>2742</v>
      </c>
      <c r="I34" s="50" t="s">
        <v>582</v>
      </c>
      <c r="J34" s="50" t="s">
        <v>2751</v>
      </c>
      <c r="K34" s="50" t="s">
        <v>2879</v>
      </c>
      <c r="L34" s="50" t="s">
        <v>2778</v>
      </c>
      <c r="M34" s="50">
        <v>105.0</v>
      </c>
      <c r="N34" s="224">
        <f t="shared" si="8"/>
        <v>111.9608466</v>
      </c>
      <c r="O34" s="224">
        <f t="shared" si="10"/>
        <v>335.8825397</v>
      </c>
      <c r="P34" s="50"/>
      <c r="Q34" s="225" t="s">
        <v>2752</v>
      </c>
    </row>
    <row r="35" ht="45.0" customHeight="1">
      <c r="A35" s="50">
        <v>33.0</v>
      </c>
      <c r="B35" s="50" t="s">
        <v>2890</v>
      </c>
      <c r="C35" s="50" t="s">
        <v>2891</v>
      </c>
      <c r="D35" s="227">
        <v>101053.0</v>
      </c>
      <c r="E35" s="223">
        <f t="shared" si="9"/>
        <v>101053</v>
      </c>
      <c r="F35" s="50"/>
      <c r="G35" s="50" t="s">
        <v>2757</v>
      </c>
      <c r="H35" s="50" t="s">
        <v>2825</v>
      </c>
      <c r="I35" s="50" t="s">
        <v>582</v>
      </c>
      <c r="J35" s="50" t="s">
        <v>2758</v>
      </c>
      <c r="K35" s="50" t="s">
        <v>2765</v>
      </c>
      <c r="L35" s="50" t="s">
        <v>2753</v>
      </c>
      <c r="M35" s="50">
        <v>30.0</v>
      </c>
      <c r="N35" s="224">
        <f t="shared" si="8"/>
        <v>374.2703704</v>
      </c>
      <c r="O35" s="224">
        <f t="shared" si="10"/>
        <v>1122.811111</v>
      </c>
      <c r="P35" s="50"/>
      <c r="Q35" s="225" t="s">
        <v>2752</v>
      </c>
    </row>
    <row r="36" ht="45.0" customHeight="1">
      <c r="A36" s="50">
        <v>34.0</v>
      </c>
      <c r="B36" s="50" t="s">
        <v>2890</v>
      </c>
      <c r="C36" s="50" t="s">
        <v>2892</v>
      </c>
      <c r="D36" s="227">
        <v>111700.0</v>
      </c>
      <c r="E36" s="223">
        <f t="shared" si="9"/>
        <v>111700</v>
      </c>
      <c r="F36" s="50"/>
      <c r="G36" s="50" t="s">
        <v>2795</v>
      </c>
      <c r="H36" s="50" t="s">
        <v>2784</v>
      </c>
      <c r="I36" s="50" t="s">
        <v>582</v>
      </c>
      <c r="J36" s="50" t="s">
        <v>2758</v>
      </c>
      <c r="K36" s="50" t="s">
        <v>2759</v>
      </c>
      <c r="L36" s="50" t="s">
        <v>2744</v>
      </c>
      <c r="M36" s="50">
        <v>28.0</v>
      </c>
      <c r="N36" s="224">
        <f t="shared" si="8"/>
        <v>443.2539683</v>
      </c>
      <c r="O36" s="224">
        <f t="shared" si="10"/>
        <v>1329.761905</v>
      </c>
      <c r="P36" s="50"/>
      <c r="Q36" s="225" t="s">
        <v>2752</v>
      </c>
    </row>
    <row r="37" ht="45.0" customHeight="1">
      <c r="A37" s="50">
        <v>35.0</v>
      </c>
      <c r="B37" s="50" t="s">
        <v>253</v>
      </c>
      <c r="C37" s="50" t="s">
        <v>2893</v>
      </c>
      <c r="D37" s="222">
        <v>133133.0</v>
      </c>
      <c r="E37" s="223">
        <f t="shared" si="9"/>
        <v>133133</v>
      </c>
      <c r="F37" s="50" t="s">
        <v>2894</v>
      </c>
      <c r="G37" s="50" t="s">
        <v>2895</v>
      </c>
      <c r="H37" s="50" t="s">
        <v>2841</v>
      </c>
      <c r="I37" s="50" t="s">
        <v>2896</v>
      </c>
      <c r="J37" s="50" t="s">
        <v>2792</v>
      </c>
      <c r="K37" s="50" t="s">
        <v>2745</v>
      </c>
      <c r="L37" s="50" t="s">
        <v>2746</v>
      </c>
      <c r="M37" s="50">
        <v>60.0</v>
      </c>
      <c r="N37" s="224">
        <f t="shared" si="8"/>
        <v>246.5425926</v>
      </c>
      <c r="O37" s="224">
        <f t="shared" si="10"/>
        <v>739.6277778</v>
      </c>
      <c r="P37" s="50"/>
      <c r="Q37" s="225" t="s">
        <v>2752</v>
      </c>
    </row>
    <row r="38" ht="45.0" customHeight="1">
      <c r="A38" s="50">
        <v>36.0</v>
      </c>
      <c r="B38" s="50" t="s">
        <v>253</v>
      </c>
      <c r="C38" s="50" t="s">
        <v>2897</v>
      </c>
      <c r="D38" s="222">
        <v>21905.0</v>
      </c>
      <c r="E38" s="223">
        <f t="shared" si="9"/>
        <v>21905</v>
      </c>
      <c r="F38" s="50" t="s">
        <v>2898</v>
      </c>
      <c r="G38" s="50" t="s">
        <v>2899</v>
      </c>
      <c r="H38" s="50" t="s">
        <v>2841</v>
      </c>
      <c r="I38" s="50" t="s">
        <v>582</v>
      </c>
      <c r="J38" s="50" t="s">
        <v>2792</v>
      </c>
      <c r="K38" s="50" t="s">
        <v>2765</v>
      </c>
      <c r="L38" s="50" t="s">
        <v>2746</v>
      </c>
      <c r="M38" s="50" t="s">
        <v>582</v>
      </c>
      <c r="N38" s="226" t="s">
        <v>582</v>
      </c>
      <c r="O38" s="224" t="str">
        <f t="shared" si="10"/>
        <v>N/A</v>
      </c>
      <c r="P38" s="50"/>
      <c r="Q38" s="225" t="s">
        <v>2752</v>
      </c>
    </row>
    <row r="39" ht="45.0" customHeight="1">
      <c r="A39" s="50">
        <v>37.0</v>
      </c>
      <c r="B39" s="50" t="s">
        <v>253</v>
      </c>
      <c r="C39" s="50" t="s">
        <v>2900</v>
      </c>
      <c r="D39" s="222">
        <v>117486.0</v>
      </c>
      <c r="E39" s="223">
        <f t="shared" si="9"/>
        <v>117486</v>
      </c>
      <c r="F39" s="50" t="s">
        <v>2901</v>
      </c>
      <c r="G39" s="50" t="s">
        <v>582</v>
      </c>
      <c r="H39" s="50" t="s">
        <v>2841</v>
      </c>
      <c r="I39" s="50" t="s">
        <v>2902</v>
      </c>
      <c r="J39" s="50" t="s">
        <v>2751</v>
      </c>
      <c r="K39" s="50" t="s">
        <v>2903</v>
      </c>
      <c r="L39" s="50" t="s">
        <v>2746</v>
      </c>
      <c r="M39" s="50">
        <v>12.0</v>
      </c>
      <c r="N39" s="224">
        <f>O39/3/3</f>
        <v>362.6111111</v>
      </c>
      <c r="O39" s="224">
        <f t="shared" si="10"/>
        <v>3263.5</v>
      </c>
      <c r="P39" s="117" t="s">
        <v>2904</v>
      </c>
      <c r="Q39" s="225" t="s">
        <v>2752</v>
      </c>
    </row>
    <row r="40" ht="45.0" customHeight="1">
      <c r="A40" s="50">
        <v>38.0</v>
      </c>
      <c r="B40" s="50" t="s">
        <v>2905</v>
      </c>
      <c r="C40" s="50" t="s">
        <v>2906</v>
      </c>
      <c r="D40" s="222">
        <v>112294.0</v>
      </c>
      <c r="E40" s="223">
        <f t="shared" si="9"/>
        <v>112294</v>
      </c>
      <c r="F40" s="50"/>
      <c r="G40" s="50" t="s">
        <v>2770</v>
      </c>
      <c r="H40" s="50" t="s">
        <v>2771</v>
      </c>
      <c r="I40" s="50" t="s">
        <v>2907</v>
      </c>
      <c r="J40" s="50" t="s">
        <v>2744</v>
      </c>
      <c r="K40" s="50" t="s">
        <v>2903</v>
      </c>
      <c r="L40" s="50" t="s">
        <v>2753</v>
      </c>
      <c r="M40" s="50">
        <v>27.817</v>
      </c>
      <c r="N40" s="224">
        <f t="shared" ref="N40:N44" si="11">O40/3</f>
        <v>448.5426578</v>
      </c>
      <c r="O40" s="224">
        <f t="shared" si="10"/>
        <v>1345.627973</v>
      </c>
      <c r="P40" s="50"/>
      <c r="Q40" s="225" t="s">
        <v>2752</v>
      </c>
    </row>
    <row r="41" ht="45.0" customHeight="1">
      <c r="A41" s="50">
        <v>39.0</v>
      </c>
      <c r="B41" s="50" t="s">
        <v>2905</v>
      </c>
      <c r="C41" s="50" t="s">
        <v>2908</v>
      </c>
      <c r="D41" s="222">
        <v>148907.0</v>
      </c>
      <c r="E41" s="223">
        <f t="shared" si="9"/>
        <v>148907</v>
      </c>
      <c r="F41" s="50"/>
      <c r="G41" s="50" t="s">
        <v>2870</v>
      </c>
      <c r="H41" s="50" t="s">
        <v>2771</v>
      </c>
      <c r="I41" s="50" t="s">
        <v>582</v>
      </c>
      <c r="J41" s="50" t="s">
        <v>2758</v>
      </c>
      <c r="K41" s="50" t="s">
        <v>2745</v>
      </c>
      <c r="L41" s="50" t="s">
        <v>2753</v>
      </c>
      <c r="M41" s="50">
        <v>22.967</v>
      </c>
      <c r="N41" s="224">
        <f t="shared" si="11"/>
        <v>720.3910925</v>
      </c>
      <c r="O41" s="224">
        <f t="shared" si="10"/>
        <v>2161.173278</v>
      </c>
      <c r="P41" s="50"/>
      <c r="Q41" s="225" t="s">
        <v>2752</v>
      </c>
    </row>
    <row r="42" ht="45.0" customHeight="1">
      <c r="A42" s="50">
        <v>40.0</v>
      </c>
      <c r="B42" s="50" t="s">
        <v>2909</v>
      </c>
      <c r="C42" s="50" t="s">
        <v>2910</v>
      </c>
      <c r="D42" s="222">
        <v>180621.0</v>
      </c>
      <c r="E42" s="223">
        <f t="shared" si="9"/>
        <v>180621</v>
      </c>
      <c r="F42" s="50" t="s">
        <v>2911</v>
      </c>
      <c r="G42" s="50" t="s">
        <v>2824</v>
      </c>
      <c r="H42" s="50" t="s">
        <v>2912</v>
      </c>
      <c r="I42" s="50" t="s">
        <v>2913</v>
      </c>
      <c r="J42" s="50" t="s">
        <v>2751</v>
      </c>
      <c r="K42" s="50" t="s">
        <v>2875</v>
      </c>
      <c r="L42" s="50" t="s">
        <v>2753</v>
      </c>
      <c r="M42" s="50">
        <v>40.0</v>
      </c>
      <c r="N42" s="224">
        <f t="shared" si="11"/>
        <v>501.725</v>
      </c>
      <c r="O42" s="224">
        <f t="shared" si="10"/>
        <v>1505.175</v>
      </c>
      <c r="P42" s="50"/>
      <c r="Q42" s="225" t="s">
        <v>2752</v>
      </c>
    </row>
    <row r="43" ht="45.0" customHeight="1">
      <c r="A43" s="50">
        <v>41.0</v>
      </c>
      <c r="B43" s="50" t="s">
        <v>2909</v>
      </c>
      <c r="C43" s="50" t="s">
        <v>2914</v>
      </c>
      <c r="D43" s="222">
        <v>144404.0</v>
      </c>
      <c r="E43" s="223">
        <f t="shared" si="9"/>
        <v>144404</v>
      </c>
      <c r="F43" s="50" t="s">
        <v>2911</v>
      </c>
      <c r="G43" s="50" t="s">
        <v>2833</v>
      </c>
      <c r="H43" s="50" t="s">
        <v>2912</v>
      </c>
      <c r="I43" s="50" t="s">
        <v>2913</v>
      </c>
      <c r="J43" s="50" t="s">
        <v>2751</v>
      </c>
      <c r="K43" s="50" t="s">
        <v>2807</v>
      </c>
      <c r="L43" s="50" t="s">
        <v>2778</v>
      </c>
      <c r="M43" s="50">
        <v>45.0</v>
      </c>
      <c r="N43" s="224">
        <f t="shared" si="11"/>
        <v>356.5530864</v>
      </c>
      <c r="O43" s="224">
        <f t="shared" si="10"/>
        <v>1069.659259</v>
      </c>
      <c r="P43" s="50"/>
      <c r="Q43" s="225" t="s">
        <v>2752</v>
      </c>
    </row>
    <row r="44" ht="45.0" customHeight="1">
      <c r="A44" s="50">
        <v>42.0</v>
      </c>
      <c r="B44" s="50" t="s">
        <v>2915</v>
      </c>
      <c r="C44" s="50" t="s">
        <v>2916</v>
      </c>
      <c r="D44" s="222">
        <v>112393.0</v>
      </c>
      <c r="E44" s="223">
        <f t="shared" si="9"/>
        <v>112393</v>
      </c>
      <c r="F44" s="50"/>
      <c r="G44" s="50" t="s">
        <v>2917</v>
      </c>
      <c r="H44" s="50" t="s">
        <v>2812</v>
      </c>
      <c r="I44" s="50" t="s">
        <v>582</v>
      </c>
      <c r="J44" s="50" t="s">
        <v>2744</v>
      </c>
      <c r="K44" s="50" t="s">
        <v>2745</v>
      </c>
      <c r="L44" s="50" t="s">
        <v>2746</v>
      </c>
      <c r="M44" s="50">
        <v>20.0</v>
      </c>
      <c r="N44" s="224">
        <f t="shared" si="11"/>
        <v>624.4055556</v>
      </c>
      <c r="O44" s="224">
        <f t="shared" si="10"/>
        <v>1873.216667</v>
      </c>
      <c r="P44" s="50"/>
      <c r="Q44" s="225" t="s">
        <v>2752</v>
      </c>
    </row>
    <row r="45" ht="45.0" customHeight="1">
      <c r="A45" s="50">
        <v>43.0</v>
      </c>
      <c r="B45" s="50" t="s">
        <v>2915</v>
      </c>
      <c r="C45" s="50" t="s">
        <v>2918</v>
      </c>
      <c r="D45" s="222">
        <v>239073.0</v>
      </c>
      <c r="E45" s="223">
        <f t="shared" si="9"/>
        <v>239073</v>
      </c>
      <c r="F45" s="50"/>
      <c r="G45" s="50" t="s">
        <v>2757</v>
      </c>
      <c r="H45" s="50" t="s">
        <v>2742</v>
      </c>
      <c r="I45" s="50" t="s">
        <v>2919</v>
      </c>
      <c r="J45" s="50" t="s">
        <v>2744</v>
      </c>
      <c r="K45" s="50" t="s">
        <v>2765</v>
      </c>
      <c r="L45" s="50" t="s">
        <v>2753</v>
      </c>
      <c r="M45" s="50">
        <v>15.0</v>
      </c>
      <c r="N45" s="224">
        <f>O45/3/4</f>
        <v>442.7277778</v>
      </c>
      <c r="O45" s="224">
        <f t="shared" si="10"/>
        <v>5312.733333</v>
      </c>
      <c r="P45" s="117" t="s">
        <v>2920</v>
      </c>
      <c r="Q45" s="225" t="s">
        <v>2752</v>
      </c>
    </row>
    <row r="46" ht="45.0" customHeight="1">
      <c r="A46" s="50">
        <v>44.0</v>
      </c>
      <c r="B46" s="50" t="s">
        <v>2915</v>
      </c>
      <c r="C46" s="50" t="s">
        <v>2921</v>
      </c>
      <c r="D46" s="222">
        <v>254999.0</v>
      </c>
      <c r="E46" s="223">
        <f t="shared" si="9"/>
        <v>254999</v>
      </c>
      <c r="F46" s="50"/>
      <c r="G46" s="50" t="s">
        <v>2922</v>
      </c>
      <c r="H46" s="50" t="s">
        <v>2742</v>
      </c>
      <c r="I46" s="50" t="s">
        <v>582</v>
      </c>
      <c r="J46" s="50" t="s">
        <v>2744</v>
      </c>
      <c r="K46" s="50" t="s">
        <v>2765</v>
      </c>
      <c r="L46" s="50" t="s">
        <v>2744</v>
      </c>
      <c r="M46" s="50">
        <v>20.0</v>
      </c>
      <c r="N46" s="224">
        <f>O46/3/3</f>
        <v>472.2203704</v>
      </c>
      <c r="O46" s="224">
        <f t="shared" si="10"/>
        <v>4249.983333</v>
      </c>
      <c r="P46" s="117" t="s">
        <v>2793</v>
      </c>
      <c r="Q46" s="225" t="s">
        <v>2752</v>
      </c>
    </row>
    <row r="47" ht="45.0" customHeight="1">
      <c r="A47" s="50">
        <v>45.0</v>
      </c>
      <c r="B47" s="117" t="s">
        <v>2923</v>
      </c>
      <c r="C47" s="117" t="s">
        <v>2924</v>
      </c>
      <c r="D47" s="227">
        <v>224291.0</v>
      </c>
      <c r="E47" s="228">
        <f>D47*(712/(1133/1.25/1.1/1.25/1.15/2/1.15))/6
</f>
        <v>106794.5446</v>
      </c>
      <c r="F47" s="117" t="s">
        <v>2925</v>
      </c>
      <c r="G47" s="117" t="s">
        <v>2926</v>
      </c>
      <c r="H47" s="117" t="s">
        <v>2784</v>
      </c>
      <c r="I47" s="117" t="s">
        <v>2927</v>
      </c>
      <c r="J47" s="117" t="s">
        <v>2758</v>
      </c>
      <c r="K47" s="50" t="s">
        <v>2765</v>
      </c>
      <c r="L47" s="117" t="s">
        <v>2746</v>
      </c>
      <c r="M47" s="117">
        <v>15.0</v>
      </c>
      <c r="N47" s="224">
        <f t="shared" ref="N47:N52" si="12">O47/3</f>
        <v>791.0707008</v>
      </c>
      <c r="O47" s="224">
        <f t="shared" si="10"/>
        <v>2373.212102</v>
      </c>
      <c r="P47" s="50"/>
      <c r="Q47" s="225" t="s">
        <v>2752</v>
      </c>
    </row>
    <row r="48" ht="45.0" customHeight="1">
      <c r="A48" s="50">
        <v>46.0</v>
      </c>
      <c r="B48" s="117" t="s">
        <v>2923</v>
      </c>
      <c r="C48" s="117" t="s">
        <v>2928</v>
      </c>
      <c r="D48" s="222">
        <v>325278.0</v>
      </c>
      <c r="E48" s="223">
        <f t="shared" ref="E48:E52" si="13">D48</f>
        <v>325278</v>
      </c>
      <c r="F48" s="117"/>
      <c r="G48" s="117" t="s">
        <v>2795</v>
      </c>
      <c r="H48" s="117" t="s">
        <v>2784</v>
      </c>
      <c r="I48" s="117" t="s">
        <v>2929</v>
      </c>
      <c r="J48" s="117" t="s">
        <v>2758</v>
      </c>
      <c r="K48" s="50" t="s">
        <v>2745</v>
      </c>
      <c r="L48" s="117" t="s">
        <v>2930</v>
      </c>
      <c r="M48" s="117">
        <v>95.0</v>
      </c>
      <c r="N48" s="224">
        <f t="shared" si="12"/>
        <v>380.4421053</v>
      </c>
      <c r="O48" s="224">
        <f t="shared" si="10"/>
        <v>1141.326316</v>
      </c>
      <c r="P48" s="50"/>
      <c r="Q48" s="225" t="s">
        <v>2752</v>
      </c>
    </row>
    <row r="49" ht="45.0" customHeight="1">
      <c r="A49" s="50">
        <v>47.0</v>
      </c>
      <c r="B49" s="117" t="s">
        <v>2931</v>
      </c>
      <c r="C49" s="117" t="s">
        <v>2932</v>
      </c>
      <c r="D49" s="222">
        <v>205547.0</v>
      </c>
      <c r="E49" s="223">
        <f t="shared" si="13"/>
        <v>205547</v>
      </c>
      <c r="F49" s="117" t="s">
        <v>2933</v>
      </c>
      <c r="G49" s="117" t="s">
        <v>2934</v>
      </c>
      <c r="H49" s="117" t="s">
        <v>2935</v>
      </c>
      <c r="I49" s="117" t="s">
        <v>2936</v>
      </c>
      <c r="J49" s="117" t="s">
        <v>2758</v>
      </c>
      <c r="K49" s="50" t="s">
        <v>2937</v>
      </c>
      <c r="L49" s="117" t="s">
        <v>2778</v>
      </c>
      <c r="M49" s="117">
        <v>81.567</v>
      </c>
      <c r="N49" s="224">
        <f t="shared" si="12"/>
        <v>279.9974935</v>
      </c>
      <c r="O49" s="224">
        <f t="shared" si="10"/>
        <v>839.9924806</v>
      </c>
      <c r="P49" s="50"/>
      <c r="Q49" s="225" t="s">
        <v>2752</v>
      </c>
    </row>
    <row r="50" ht="45.0" customHeight="1">
      <c r="A50" s="50">
        <v>48.0</v>
      </c>
      <c r="B50" s="117" t="s">
        <v>2931</v>
      </c>
      <c r="C50" s="117" t="s">
        <v>2938</v>
      </c>
      <c r="D50" s="222">
        <v>296370.0</v>
      </c>
      <c r="E50" s="223">
        <f t="shared" si="13"/>
        <v>296370</v>
      </c>
      <c r="F50" s="117"/>
      <c r="G50" s="117" t="s">
        <v>2939</v>
      </c>
      <c r="H50" s="117" t="s">
        <v>2935</v>
      </c>
      <c r="I50" s="50" t="s">
        <v>582</v>
      </c>
      <c r="J50" s="117" t="s">
        <v>2758</v>
      </c>
      <c r="K50" s="117" t="s">
        <v>2875</v>
      </c>
      <c r="L50" s="117" t="s">
        <v>2753</v>
      </c>
      <c r="M50" s="50">
        <v>45.2</v>
      </c>
      <c r="N50" s="224">
        <f t="shared" si="12"/>
        <v>728.539823</v>
      </c>
      <c r="O50" s="224">
        <f t="shared" si="10"/>
        <v>2185.619469</v>
      </c>
      <c r="P50" s="50"/>
      <c r="Q50" s="225" t="s">
        <v>2752</v>
      </c>
    </row>
    <row r="51" ht="45.0" customHeight="1">
      <c r="A51" s="50"/>
      <c r="B51" s="117" t="s">
        <v>2940</v>
      </c>
      <c r="C51" s="117" t="s">
        <v>2941</v>
      </c>
      <c r="D51" s="222">
        <v>206963.0</v>
      </c>
      <c r="E51" s="223">
        <f t="shared" si="13"/>
        <v>206963</v>
      </c>
      <c r="F51" s="117"/>
      <c r="G51" s="50" t="s">
        <v>2895</v>
      </c>
      <c r="H51" s="117" t="s">
        <v>2942</v>
      </c>
      <c r="I51" s="117" t="s">
        <v>2943</v>
      </c>
      <c r="J51" s="117" t="s">
        <v>2758</v>
      </c>
      <c r="K51" s="117" t="s">
        <v>2765</v>
      </c>
      <c r="L51" s="117" t="s">
        <v>2746</v>
      </c>
      <c r="M51" s="50">
        <v>33.167</v>
      </c>
      <c r="N51" s="224">
        <f t="shared" si="12"/>
        <v>693.3364154</v>
      </c>
      <c r="O51" s="224">
        <f t="shared" si="10"/>
        <v>2080.009246</v>
      </c>
      <c r="P51" s="117" t="s">
        <v>2944</v>
      </c>
      <c r="Q51" s="225" t="s">
        <v>2752</v>
      </c>
    </row>
    <row r="52" ht="45.0" customHeight="1">
      <c r="A52" s="50"/>
      <c r="B52" s="117" t="s">
        <v>2940</v>
      </c>
      <c r="C52" s="117" t="s">
        <v>2945</v>
      </c>
      <c r="D52" s="222">
        <v>143884.0</v>
      </c>
      <c r="E52" s="223">
        <f t="shared" si="13"/>
        <v>143884</v>
      </c>
      <c r="F52" s="117"/>
      <c r="G52" s="117" t="s">
        <v>2946</v>
      </c>
      <c r="H52" s="117" t="s">
        <v>2947</v>
      </c>
      <c r="I52" s="117" t="s">
        <v>2948</v>
      </c>
      <c r="J52" s="117" t="s">
        <v>2758</v>
      </c>
      <c r="K52" s="117" t="s">
        <v>2765</v>
      </c>
      <c r="L52" s="117" t="s">
        <v>2753</v>
      </c>
      <c r="M52" s="50">
        <v>37.45</v>
      </c>
      <c r="N52" s="224">
        <f t="shared" si="12"/>
        <v>426.8921525</v>
      </c>
      <c r="O52" s="224">
        <f t="shared" si="10"/>
        <v>1280.676457</v>
      </c>
      <c r="P52" s="117" t="s">
        <v>2949</v>
      </c>
      <c r="Q52" s="225" t="s">
        <v>2752</v>
      </c>
    </row>
  </sheetData>
  <autoFilter ref="$A$2:$Q$52">
    <sortState ref="A2:Q52">
      <sortCondition ref="A2:A52"/>
      <sortCondition ref="B2:B52"/>
      <sortCondition ref="C2:C52"/>
    </sortState>
  </autoFilter>
  <customSheetViews>
    <customSheetView guid="{9A68380F-C1E8-41BB-BAA7-D9E6E59E19C3}" filter="1" showAutoFilter="1">
      <autoFilter ref="$B$2:$Q$52"/>
    </customSheetView>
  </customSheetViews>
  <mergeCells count="2">
    <mergeCell ref="A1:C1"/>
    <mergeCell ref="D1:Q1"/>
  </mergeCells>
  <conditionalFormatting sqref="A1:Q52">
    <cfRule type="cellIs" dxfId="4" priority="1" operator="equal">
      <formula>"!"</formula>
    </cfRule>
  </conditionalFormatting>
  <conditionalFormatting sqref="D3:D52">
    <cfRule type="colorScale" priority="2">
      <colorScale>
        <cfvo type="min"/>
        <cfvo type="max"/>
        <color rgb="FFFFFFFF"/>
        <color rgb="FF57BB8A"/>
      </colorScale>
    </cfRule>
  </conditionalFormatting>
  <conditionalFormatting sqref="O3:O52">
    <cfRule type="colorScale" priority="3">
      <colorScale>
        <cfvo type="min"/>
        <cfvo type="percentile" val="50"/>
        <cfvo type="max"/>
        <color rgb="FFE67C73"/>
        <color rgb="FFFFD666"/>
        <color rgb="FF57BB8A"/>
      </colorScale>
    </cfRule>
  </conditionalFormatting>
  <conditionalFormatting sqref="E3:E52">
    <cfRule type="colorScale" priority="4">
      <colorScale>
        <cfvo type="min"/>
        <cfvo type="max"/>
        <color rgb="FFFFFFFF"/>
        <color rgb="FF57BB8A"/>
      </colorScale>
    </cfRule>
  </conditionalFormatting>
  <conditionalFormatting sqref="N3:N52">
    <cfRule type="colorScale" priority="5">
      <colorScale>
        <cfvo type="min"/>
        <cfvo type="percentile" val="50"/>
        <cfvo type="max"/>
        <color rgb="FFE67C73"/>
        <color rgb="FFFFD666"/>
        <color rgb="FF57BB8A"/>
      </colorScale>
    </cfRule>
  </conditionalFormatting>
  <hyperlinks>
    <hyperlink r:id="rId2" location="gid=1436974827" ref="D1"/>
  </hyperlinks>
  <drawing r:id="rId3"/>
  <legacy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88"/>
    <col customWidth="1" min="2" max="15" width="7.63"/>
    <col customWidth="1" min="16" max="16" width="45.88"/>
  </cols>
  <sheetData>
    <row r="1" ht="15.0" customHeight="1">
      <c r="A1" s="229" t="s">
        <v>2950</v>
      </c>
      <c r="B1" s="230"/>
      <c r="C1" s="231" t="s">
        <v>2951</v>
      </c>
      <c r="D1" s="232"/>
      <c r="E1" s="232"/>
      <c r="F1" s="232"/>
      <c r="G1" s="232"/>
      <c r="H1" s="232"/>
      <c r="I1" s="232"/>
      <c r="J1" s="232"/>
      <c r="K1" s="230"/>
      <c r="L1" s="233" t="s">
        <v>2952</v>
      </c>
      <c r="M1" s="232"/>
      <c r="N1" s="232"/>
      <c r="O1" s="230"/>
      <c r="P1" s="234" t="s">
        <v>300</v>
      </c>
    </row>
    <row r="2" ht="27.0" customHeight="1">
      <c r="A2" s="235" t="s">
        <v>640</v>
      </c>
      <c r="B2" s="236" t="s">
        <v>2953</v>
      </c>
      <c r="C2" s="237" t="s">
        <v>1347</v>
      </c>
      <c r="D2" s="237" t="s">
        <v>2954</v>
      </c>
      <c r="F2" s="237" t="s">
        <v>2955</v>
      </c>
      <c r="H2" s="237" t="s">
        <v>2956</v>
      </c>
      <c r="J2" s="237" t="s">
        <v>2957</v>
      </c>
      <c r="K2" s="238"/>
      <c r="L2" s="237" t="s">
        <v>2958</v>
      </c>
      <c r="M2" s="234" t="s">
        <v>2959</v>
      </c>
      <c r="N2" s="234" t="s">
        <v>2960</v>
      </c>
      <c r="O2" s="239" t="s">
        <v>647</v>
      </c>
      <c r="P2" s="232"/>
    </row>
    <row r="3" ht="45.0" customHeight="1">
      <c r="A3" s="240" t="s">
        <v>2961</v>
      </c>
      <c r="B3" s="241"/>
      <c r="C3" s="242">
        <f>SUM(D3+F3)</f>
        <v>74469</v>
      </c>
      <c r="D3" s="243">
        <v>56676.0</v>
      </c>
      <c r="E3" s="244" t="s">
        <v>582</v>
      </c>
      <c r="F3" s="162">
        <v>17793.0</v>
      </c>
      <c r="G3" s="197" t="s">
        <v>582</v>
      </c>
      <c r="H3" s="243">
        <v>769.0</v>
      </c>
      <c r="I3" s="244" t="s">
        <v>582</v>
      </c>
      <c r="J3" s="162">
        <v>1646.0</v>
      </c>
      <c r="K3" s="245" t="s">
        <v>582</v>
      </c>
      <c r="L3" s="162">
        <f>(658517*3)/21</f>
        <v>94073.85714</v>
      </c>
      <c r="M3" s="246">
        <f t="shared" ref="M3:M7" si="1">L3/C3</f>
        <v>1.26326199</v>
      </c>
      <c r="N3" s="197" t="s">
        <v>582</v>
      </c>
      <c r="O3" s="247">
        <f>((M3/M3)-1)*100</f>
        <v>0</v>
      </c>
      <c r="P3" s="248" t="s">
        <v>2962</v>
      </c>
    </row>
    <row r="4" ht="45.0" customHeight="1">
      <c r="A4" s="240" t="s">
        <v>2963</v>
      </c>
      <c r="B4" s="241"/>
      <c r="C4" s="162">
        <f t="shared" ref="C4:C7" si="2">D4+F4</f>
        <v>74469</v>
      </c>
      <c r="D4" s="243">
        <v>56676.0</v>
      </c>
      <c r="E4" s="244" t="s">
        <v>582</v>
      </c>
      <c r="F4" s="162">
        <v>17793.0</v>
      </c>
      <c r="G4" s="197" t="s">
        <v>582</v>
      </c>
      <c r="H4" s="243">
        <v>769.0</v>
      </c>
      <c r="I4" s="244" t="s">
        <v>582</v>
      </c>
      <c r="J4" s="162">
        <v>1646.0</v>
      </c>
      <c r="K4" s="245" t="s">
        <v>582</v>
      </c>
      <c r="L4" s="162">
        <f>(2817590+2828386+2828386)/5/6/3</f>
        <v>94159.57778</v>
      </c>
      <c r="M4" s="246">
        <f t="shared" si="1"/>
        <v>1.264413082</v>
      </c>
      <c r="N4" s="197" t="s">
        <v>582</v>
      </c>
      <c r="O4" s="247">
        <f>((M4/M3)-1)*100</f>
        <v>0.09112057008</v>
      </c>
      <c r="P4" s="249" t="s">
        <v>2964</v>
      </c>
    </row>
    <row r="5" ht="45.0" customHeight="1">
      <c r="A5" s="240" t="s">
        <v>2965</v>
      </c>
      <c r="B5" s="241"/>
      <c r="C5" s="162">
        <f t="shared" si="2"/>
        <v>96809</v>
      </c>
      <c r="D5" s="243">
        <v>73679.0</v>
      </c>
      <c r="E5" s="244">
        <f>D5/D3</f>
        <v>1.300003529</v>
      </c>
      <c r="F5" s="162">
        <v>23130.0</v>
      </c>
      <c r="G5" s="197">
        <f>F5/F3</f>
        <v>1.299949418</v>
      </c>
      <c r="H5" s="243">
        <v>999.0</v>
      </c>
      <c r="I5" s="244">
        <f>H5/H3</f>
        <v>1.299089727</v>
      </c>
      <c r="J5" s="162">
        <v>2141.0</v>
      </c>
      <c r="K5" s="245">
        <f>J5/J3</f>
        <v>1.30072904</v>
      </c>
      <c r="L5" s="162">
        <f>(842038*2+831243)/21</f>
        <v>119777.0952</v>
      </c>
      <c r="M5" s="197">
        <f t="shared" si="1"/>
        <v>1.237251653</v>
      </c>
      <c r="N5" s="246">
        <f>L5/L4</f>
        <v>1.272064914</v>
      </c>
      <c r="O5" s="247">
        <f t="shared" ref="O5:O7" si="3">((N5/E5)-1)*100</f>
        <v>-2.14911836</v>
      </c>
      <c r="P5" s="248" t="s">
        <v>2966</v>
      </c>
    </row>
    <row r="6" ht="45.0" customHeight="1">
      <c r="A6" s="240" t="s">
        <v>2967</v>
      </c>
      <c r="B6" s="241"/>
      <c r="C6" s="162">
        <f t="shared" si="2"/>
        <v>92951</v>
      </c>
      <c r="D6" s="243">
        <v>70845.0</v>
      </c>
      <c r="E6" s="244">
        <f>D6/D3</f>
        <v>1.25</v>
      </c>
      <c r="F6" s="162">
        <v>22106.0</v>
      </c>
      <c r="G6" s="197">
        <f>F6/F3</f>
        <v>1.242398696</v>
      </c>
      <c r="H6" s="243">
        <v>769.0</v>
      </c>
      <c r="I6" s="244">
        <f>H6/H3</f>
        <v>1</v>
      </c>
      <c r="J6" s="162">
        <v>1646.0</v>
      </c>
      <c r="K6" s="245">
        <f>J6/J3</f>
        <v>1</v>
      </c>
      <c r="L6" s="162">
        <f>(788062+680108+798857)/20</f>
        <v>113351.35</v>
      </c>
      <c r="M6" s="197">
        <f t="shared" si="1"/>
        <v>1.219474239</v>
      </c>
      <c r="N6" s="246">
        <f>L6/L4</f>
        <v>1.203821774</v>
      </c>
      <c r="O6" s="247">
        <f t="shared" si="3"/>
        <v>-3.694258046</v>
      </c>
      <c r="P6" s="248" t="s">
        <v>2968</v>
      </c>
    </row>
    <row r="7" ht="45.0" customHeight="1">
      <c r="A7" s="240" t="s">
        <v>2969</v>
      </c>
      <c r="B7" s="167"/>
      <c r="C7" s="162">
        <f t="shared" si="2"/>
        <v>88638</v>
      </c>
      <c r="D7" s="243">
        <v>70845.0</v>
      </c>
      <c r="E7" s="244">
        <f>D7/D3</f>
        <v>1.25</v>
      </c>
      <c r="F7" s="162">
        <v>17793.0</v>
      </c>
      <c r="G7" s="197">
        <f>F7/F3</f>
        <v>1</v>
      </c>
      <c r="H7" s="243">
        <v>769.0</v>
      </c>
      <c r="I7" s="244">
        <f>H7/H3</f>
        <v>1</v>
      </c>
      <c r="J7" s="162">
        <v>2058.0</v>
      </c>
      <c r="K7" s="245">
        <f>J7/J3</f>
        <v>1.250303767</v>
      </c>
      <c r="L7" s="162">
        <f>(658517*2+669313)/18</f>
        <v>110352.6111</v>
      </c>
      <c r="M7" s="197">
        <f t="shared" si="1"/>
        <v>1.244980833</v>
      </c>
      <c r="N7" s="246">
        <f>L7/L4</f>
        <v>1.171974362</v>
      </c>
      <c r="O7" s="247">
        <f t="shared" si="3"/>
        <v>-6.242051024</v>
      </c>
      <c r="P7" s="248" t="s">
        <v>2970</v>
      </c>
    </row>
    <row r="8" ht="26.25" customHeight="1">
      <c r="A8" s="250" t="s">
        <v>2971</v>
      </c>
      <c r="B8" s="251"/>
      <c r="C8" s="251"/>
      <c r="D8" s="251"/>
      <c r="E8" s="251"/>
      <c r="F8" s="251"/>
      <c r="G8" s="251"/>
      <c r="H8" s="251"/>
      <c r="I8" s="251"/>
      <c r="J8" s="251"/>
      <c r="K8" s="251"/>
      <c r="L8" s="251"/>
      <c r="M8" s="251"/>
      <c r="N8" s="251"/>
      <c r="O8" s="251"/>
      <c r="P8" s="251"/>
    </row>
  </sheetData>
  <mergeCells count="9">
    <mergeCell ref="J2:K2"/>
    <mergeCell ref="A8:P8"/>
    <mergeCell ref="A1:B1"/>
    <mergeCell ref="C1:K1"/>
    <mergeCell ref="L1:O1"/>
    <mergeCell ref="P1:P2"/>
    <mergeCell ref="D2:E2"/>
    <mergeCell ref="F2:G2"/>
    <mergeCell ref="H2:I2"/>
  </mergeCells>
  <conditionalFormatting sqref="A1:P8">
    <cfRule type="containsText" dxfId="4" priority="1" operator="containsText" text="!">
      <formula>NOT(ISERROR(SEARCH(("!"),(A1))))</formula>
    </cfRule>
  </conditionalFormatting>
  <conditionalFormatting sqref="M3:M7">
    <cfRule type="colorScale" priority="2">
      <colorScale>
        <cfvo type="min"/>
        <cfvo type="percentile" val="50"/>
        <cfvo type="max"/>
        <color rgb="FFE67C73"/>
        <color rgb="FFFFD666"/>
        <color rgb="FF57BB8A"/>
      </colorScale>
    </cfRule>
  </conditionalFormatting>
  <conditionalFormatting sqref="N3:N7">
    <cfRule type="colorScale" priority="3">
      <colorScale>
        <cfvo type="min"/>
        <cfvo type="percentile" val="50"/>
        <cfvo type="max"/>
        <color rgb="FFE67C73"/>
        <color rgb="FFFFD666"/>
        <color rgb="FF57BB8A"/>
      </colorScale>
    </cfRule>
  </conditionalFormatting>
  <conditionalFormatting sqref="O3:O7">
    <cfRule type="cellIs" dxfId="10" priority="4" operator="greaterThanOrEqual">
      <formula>0</formula>
    </cfRule>
  </conditionalFormatting>
  <conditionalFormatting sqref="O3:O7">
    <cfRule type="cellIs" dxfId="11" priority="5" operator="lessThan">
      <formula>0</formula>
    </cfRule>
  </conditionalFormatting>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9.63"/>
    <col customWidth="1" min="2" max="31" width="7.63"/>
    <col customWidth="1" min="32" max="32" width="38.75"/>
  </cols>
  <sheetData>
    <row r="1" ht="15.0" customHeight="1">
      <c r="A1" s="252" t="s">
        <v>2950</v>
      </c>
      <c r="B1" s="253" t="s">
        <v>2972</v>
      </c>
      <c r="C1" s="232"/>
      <c r="D1" s="232"/>
      <c r="E1" s="232"/>
      <c r="F1" s="230"/>
      <c r="G1" s="254" t="s">
        <v>2973</v>
      </c>
      <c r="H1" s="232"/>
      <c r="I1" s="232"/>
      <c r="J1" s="232"/>
      <c r="K1" s="230"/>
      <c r="L1" s="255" t="s">
        <v>1656</v>
      </c>
      <c r="M1" s="232"/>
      <c r="N1" s="232"/>
      <c r="O1" s="232"/>
      <c r="P1" s="230"/>
      <c r="Q1" s="256" t="s">
        <v>2974</v>
      </c>
      <c r="R1" s="232"/>
      <c r="S1" s="232"/>
      <c r="T1" s="232"/>
      <c r="U1" s="230"/>
      <c r="V1" s="257" t="s">
        <v>2975</v>
      </c>
      <c r="W1" s="232"/>
      <c r="X1" s="232"/>
      <c r="Y1" s="232"/>
      <c r="Z1" s="230"/>
      <c r="AA1" s="258" t="s">
        <v>1675</v>
      </c>
      <c r="AB1" s="232"/>
      <c r="AC1" s="232"/>
      <c r="AD1" s="232"/>
      <c r="AE1" s="232"/>
      <c r="AF1" s="234" t="s">
        <v>300</v>
      </c>
    </row>
    <row r="2" ht="27.0" customHeight="1">
      <c r="A2" s="259" t="s">
        <v>640</v>
      </c>
      <c r="B2" s="260" t="s">
        <v>2976</v>
      </c>
      <c r="C2" s="260" t="s">
        <v>2977</v>
      </c>
      <c r="D2" s="260" t="s">
        <v>2978</v>
      </c>
      <c r="E2" s="260" t="s">
        <v>2979</v>
      </c>
      <c r="F2" s="261" t="s">
        <v>2980</v>
      </c>
      <c r="G2" s="260" t="s">
        <v>2976</v>
      </c>
      <c r="H2" s="260" t="s">
        <v>2977</v>
      </c>
      <c r="I2" s="260" t="s">
        <v>2978</v>
      </c>
      <c r="J2" s="260" t="s">
        <v>2979</v>
      </c>
      <c r="K2" s="261" t="s">
        <v>2980</v>
      </c>
      <c r="L2" s="260" t="s">
        <v>2976</v>
      </c>
      <c r="M2" s="260" t="s">
        <v>2977</v>
      </c>
      <c r="N2" s="260" t="s">
        <v>2978</v>
      </c>
      <c r="O2" s="260" t="s">
        <v>2979</v>
      </c>
      <c r="P2" s="261" t="s">
        <v>2980</v>
      </c>
      <c r="Q2" s="260" t="s">
        <v>2976</v>
      </c>
      <c r="R2" s="260" t="s">
        <v>2977</v>
      </c>
      <c r="S2" s="260" t="s">
        <v>2978</v>
      </c>
      <c r="T2" s="260" t="s">
        <v>2979</v>
      </c>
      <c r="U2" s="261" t="s">
        <v>2980</v>
      </c>
      <c r="V2" s="260" t="s">
        <v>2976</v>
      </c>
      <c r="W2" s="260" t="s">
        <v>2977</v>
      </c>
      <c r="X2" s="260" t="s">
        <v>2978</v>
      </c>
      <c r="Y2" s="260" t="s">
        <v>2979</v>
      </c>
      <c r="Z2" s="261" t="s">
        <v>2980</v>
      </c>
      <c r="AA2" s="260" t="s">
        <v>2976</v>
      </c>
      <c r="AB2" s="260" t="s">
        <v>2977</v>
      </c>
      <c r="AC2" s="260" t="s">
        <v>2978</v>
      </c>
      <c r="AD2" s="260" t="s">
        <v>2979</v>
      </c>
      <c r="AE2" s="261" t="s">
        <v>2980</v>
      </c>
      <c r="AF2" s="232"/>
    </row>
    <row r="3" ht="22.5" customHeight="1">
      <c r="A3" s="262" t="s">
        <v>2792</v>
      </c>
      <c r="B3" s="263">
        <v>14584.0</v>
      </c>
      <c r="C3" s="263">
        <v>14584.0</v>
      </c>
      <c r="D3" s="263">
        <v>14584.0</v>
      </c>
      <c r="E3" s="263">
        <v>14584.0</v>
      </c>
      <c r="F3" s="264">
        <v>14584.0</v>
      </c>
      <c r="G3" s="263">
        <v>43751.0</v>
      </c>
      <c r="H3" s="263">
        <f>6*9115</f>
        <v>54690</v>
      </c>
      <c r="I3" s="263">
        <v>43751.0</v>
      </c>
      <c r="J3" s="263">
        <f>10*5105</f>
        <v>51050</v>
      </c>
      <c r="K3" s="264">
        <f>14584+39368+17014</f>
        <v>70966</v>
      </c>
      <c r="L3" s="263">
        <f>43751+14584*2</f>
        <v>72919</v>
      </c>
      <c r="M3" s="263">
        <f>6*9115+14584*2</f>
        <v>83858</v>
      </c>
      <c r="N3" s="263">
        <f>43751+14584*2</f>
        <v>72919</v>
      </c>
      <c r="O3" s="263">
        <f>51050+14584*2</f>
        <v>80218</v>
      </c>
      <c r="P3" s="264">
        <f>14584+39368+17014+14584*2</f>
        <v>100134</v>
      </c>
      <c r="Q3" s="263" t="s">
        <v>303</v>
      </c>
      <c r="U3" s="238"/>
      <c r="V3" s="263" t="s">
        <v>303</v>
      </c>
      <c r="Z3" s="238"/>
      <c r="AA3" s="263" t="s">
        <v>303</v>
      </c>
      <c r="AE3" s="238"/>
      <c r="AF3" s="240" t="s">
        <v>2981</v>
      </c>
    </row>
    <row r="4" ht="22.5" customHeight="1">
      <c r="A4" s="238"/>
      <c r="F4" s="238"/>
      <c r="G4" s="118">
        <f>G3/G3</f>
        <v>1</v>
      </c>
      <c r="H4" s="118">
        <f>H3/G3</f>
        <v>1.250028571</v>
      </c>
      <c r="I4" s="118">
        <f>I3/G3</f>
        <v>1</v>
      </c>
      <c r="J4" s="118">
        <f>J3/G3</f>
        <v>1.166830472</v>
      </c>
      <c r="K4" s="159">
        <f>K3/G3</f>
        <v>1.622042925</v>
      </c>
      <c r="L4" s="118">
        <f>L3/L3</f>
        <v>1</v>
      </c>
      <c r="M4" s="118">
        <f>M3/L3</f>
        <v>1.150015771</v>
      </c>
      <c r="N4" s="118">
        <f>N3/L3</f>
        <v>1</v>
      </c>
      <c r="O4" s="118">
        <f>O3/L3</f>
        <v>1.100097368</v>
      </c>
      <c r="P4" s="159">
        <f>P3/L3</f>
        <v>1.373222343</v>
      </c>
      <c r="U4" s="238"/>
      <c r="Z4" s="238"/>
      <c r="AE4" s="238"/>
    </row>
    <row r="5" ht="22.5" customHeight="1">
      <c r="A5" s="265" t="s">
        <v>2982</v>
      </c>
      <c r="B5" s="263">
        <v>22051.0</v>
      </c>
      <c r="C5" s="263">
        <v>22051.0</v>
      </c>
      <c r="D5" s="263">
        <v>22051.0</v>
      </c>
      <c r="E5" s="263">
        <v>22051.0</v>
      </c>
      <c r="F5" s="264">
        <v>22051.0</v>
      </c>
      <c r="G5" s="263">
        <v>66150.0</v>
      </c>
      <c r="H5" s="263">
        <f>6*13782</f>
        <v>82692</v>
      </c>
      <c r="I5" s="263">
        <v>66150.0</v>
      </c>
      <c r="J5" s="263">
        <f>10*6432</f>
        <v>64320</v>
      </c>
      <c r="K5" s="264">
        <f>22051+49604+21438</f>
        <v>93093</v>
      </c>
      <c r="L5" s="263">
        <f>66150+22051*2</f>
        <v>110252</v>
      </c>
      <c r="M5" s="263">
        <f>6*13782+22051*2</f>
        <v>126794</v>
      </c>
      <c r="N5" s="263">
        <f>66150+2*22051</f>
        <v>110252</v>
      </c>
      <c r="O5" s="263">
        <f>64320+22051*2</f>
        <v>108422</v>
      </c>
      <c r="P5" s="264">
        <f>93093+2*22051</f>
        <v>137195</v>
      </c>
      <c r="Q5" s="263" t="s">
        <v>303</v>
      </c>
      <c r="U5" s="238"/>
      <c r="V5" s="263" t="s">
        <v>303</v>
      </c>
      <c r="Z5" s="238"/>
      <c r="AA5" s="266">
        <f>L5*1.35*1.1*1.3*1.22/2.283</f>
        <v>113739.2085</v>
      </c>
      <c r="AB5" s="266">
        <f>M5*1.35*1.1*1.3*1.22/2.75</f>
        <v>108591.4534</v>
      </c>
      <c r="AC5" s="266">
        <f>N5*1.35*1.1*1.3*1.22/3.233</f>
        <v>80317.54189</v>
      </c>
      <c r="AD5" s="266">
        <f>O5*1.35*1.1*1.3*1.22/2.433</f>
        <v>104955.4372</v>
      </c>
      <c r="AE5" s="264" t="s">
        <v>1047</v>
      </c>
    </row>
    <row r="6" ht="22.5" customHeight="1">
      <c r="A6" s="238"/>
      <c r="B6" s="118">
        <f t="shared" ref="B6:P6" si="1">B5/B3</f>
        <v>1.511999451</v>
      </c>
      <c r="C6" s="118">
        <f t="shared" si="1"/>
        <v>1.511999451</v>
      </c>
      <c r="D6" s="118">
        <f t="shared" si="1"/>
        <v>1.511999451</v>
      </c>
      <c r="E6" s="118">
        <f t="shared" si="1"/>
        <v>1.511999451</v>
      </c>
      <c r="F6" s="159">
        <f t="shared" si="1"/>
        <v>1.511999451</v>
      </c>
      <c r="G6" s="118">
        <f t="shared" si="1"/>
        <v>1.511965441</v>
      </c>
      <c r="H6" s="118">
        <f t="shared" si="1"/>
        <v>1.512013165</v>
      </c>
      <c r="I6" s="118">
        <f t="shared" si="1"/>
        <v>1.511965441</v>
      </c>
      <c r="J6" s="118">
        <f t="shared" si="1"/>
        <v>1.259941234</v>
      </c>
      <c r="K6" s="159">
        <f t="shared" si="1"/>
        <v>1.311797199</v>
      </c>
      <c r="L6" s="118">
        <f t="shared" si="1"/>
        <v>1.511979045</v>
      </c>
      <c r="M6" s="118">
        <f t="shared" si="1"/>
        <v>1.512008395</v>
      </c>
      <c r="N6" s="118">
        <f t="shared" si="1"/>
        <v>1.511979045</v>
      </c>
      <c r="O6" s="118">
        <f t="shared" si="1"/>
        <v>1.351591912</v>
      </c>
      <c r="P6" s="159">
        <f t="shared" si="1"/>
        <v>1.370114047</v>
      </c>
      <c r="U6" s="238"/>
      <c r="Z6" s="238"/>
      <c r="AA6" s="267">
        <f t="shared" ref="AA6:AD6" si="2">AA5/138787</f>
        <v>0.8195235034</v>
      </c>
      <c r="AB6" s="166">
        <f t="shared" si="2"/>
        <v>0.7824324566</v>
      </c>
      <c r="AC6" s="166">
        <f t="shared" si="2"/>
        <v>0.5787108439</v>
      </c>
      <c r="AD6" s="166">
        <f t="shared" si="2"/>
        <v>0.7562339208</v>
      </c>
      <c r="AE6" s="159" t="s">
        <v>1047</v>
      </c>
    </row>
    <row r="7" ht="22.5" customHeight="1">
      <c r="A7" s="262" t="s">
        <v>27</v>
      </c>
      <c r="B7" s="263">
        <f>272660/15</f>
        <v>18177.33333</v>
      </c>
      <c r="C7" s="263" t="s">
        <v>303</v>
      </c>
      <c r="D7" s="263" t="s">
        <v>303</v>
      </c>
      <c r="E7" s="263" t="s">
        <v>303</v>
      </c>
      <c r="F7" s="264">
        <f>258076/14</f>
        <v>18434</v>
      </c>
      <c r="G7" s="263">
        <f>264955/5</f>
        <v>52991</v>
      </c>
      <c r="H7" s="118" t="s">
        <v>303</v>
      </c>
      <c r="I7" s="118" t="s">
        <v>303</v>
      </c>
      <c r="J7" s="118" t="s">
        <v>303</v>
      </c>
      <c r="K7" s="264">
        <f>329126/4</f>
        <v>82281.5</v>
      </c>
      <c r="L7" s="263">
        <f>358351/4</f>
        <v>89587.75</v>
      </c>
      <c r="M7" s="263">
        <f>309324/3</f>
        <v>103108</v>
      </c>
      <c r="N7" s="263">
        <f>272657/3</f>
        <v>90885.66667</v>
      </c>
      <c r="O7" s="266">
        <f>298404/3</f>
        <v>99468</v>
      </c>
      <c r="P7" s="264">
        <f>474911/4</f>
        <v>118727.75</v>
      </c>
      <c r="Q7" s="263" t="s">
        <v>303</v>
      </c>
      <c r="U7" s="238"/>
      <c r="V7" s="263" t="s">
        <v>303</v>
      </c>
      <c r="Z7" s="238"/>
      <c r="AA7" s="263" t="s">
        <v>303</v>
      </c>
      <c r="AE7" s="238"/>
      <c r="AF7" s="240" t="s">
        <v>2983</v>
      </c>
    </row>
    <row r="8" ht="22.5" customHeight="1">
      <c r="A8" s="238"/>
      <c r="B8" s="118">
        <f>B7/B3</f>
        <v>1.246388737</v>
      </c>
      <c r="F8" s="159">
        <f t="shared" ref="F8:G8" si="3">F7/F3</f>
        <v>1.263987932</v>
      </c>
      <c r="G8" s="118">
        <f t="shared" si="3"/>
        <v>1.211195173</v>
      </c>
      <c r="K8" s="159">
        <f t="shared" ref="K8:P8" si="4">K7/K3</f>
        <v>1.159449596</v>
      </c>
      <c r="L8" s="118">
        <f t="shared" si="4"/>
        <v>1.228592685</v>
      </c>
      <c r="M8" s="118">
        <f t="shared" si="4"/>
        <v>1.229554723</v>
      </c>
      <c r="N8" s="118">
        <f t="shared" si="4"/>
        <v>1.246392115</v>
      </c>
      <c r="O8" s="118">
        <f t="shared" si="4"/>
        <v>1.239971079</v>
      </c>
      <c r="P8" s="159">
        <f t="shared" si="4"/>
        <v>1.185688677</v>
      </c>
      <c r="U8" s="238"/>
      <c r="Z8" s="238"/>
      <c r="AE8" s="238"/>
    </row>
    <row r="9" ht="22.5" customHeight="1">
      <c r="A9" s="262" t="s">
        <v>2984</v>
      </c>
      <c r="B9" s="263">
        <f>393815/15</f>
        <v>26254.33333</v>
      </c>
      <c r="C9" s="263" t="s">
        <v>303</v>
      </c>
      <c r="D9" s="263" t="s">
        <v>303</v>
      </c>
      <c r="E9" s="263" t="s">
        <v>303</v>
      </c>
      <c r="F9" s="264">
        <f>259310/10</f>
        <v>25931</v>
      </c>
      <c r="G9" s="263">
        <f>395564/5</f>
        <v>79112.8</v>
      </c>
      <c r="H9" s="118" t="s">
        <v>303</v>
      </c>
      <c r="I9" s="118" t="s">
        <v>303</v>
      </c>
      <c r="J9" s="118" t="s">
        <v>303</v>
      </c>
      <c r="K9" s="264">
        <f>416022/4</f>
        <v>104005.5</v>
      </c>
      <c r="L9" s="263">
        <f>395570/3</f>
        <v>131856.6667</v>
      </c>
      <c r="M9" s="263">
        <f>440392/3</f>
        <v>146797.3333</v>
      </c>
      <c r="N9" s="263">
        <f>401963/3</f>
        <v>133987.6667</v>
      </c>
      <c r="O9" s="266">
        <f>394755/3</f>
        <v>131585</v>
      </c>
      <c r="P9" s="264">
        <f>484335/3</f>
        <v>161445</v>
      </c>
      <c r="Q9" s="263" t="s">
        <v>303</v>
      </c>
      <c r="U9" s="238"/>
      <c r="V9" s="263" t="s">
        <v>303</v>
      </c>
      <c r="Z9" s="238"/>
      <c r="AA9" s="266">
        <f>L9*1.35*1.1*1.3*1.22/2.283</f>
        <v>136027.2185</v>
      </c>
      <c r="AB9" s="266">
        <f>M9*1.35*1.1*1.3*1.22/2.75</f>
        <v>125723.1082</v>
      </c>
      <c r="AC9" s="266">
        <f>N9*1.35*1.1*1.3*1.22/3.233</f>
        <v>97608.75113</v>
      </c>
      <c r="AD9" s="266">
        <f>O9*1.35*1.1*1.3*1.22/2.433</f>
        <v>127377.8495</v>
      </c>
      <c r="AE9" s="264" t="s">
        <v>1047</v>
      </c>
    </row>
    <row r="10" ht="22.5" customHeight="1">
      <c r="A10" s="238"/>
      <c r="B10" s="118">
        <f>B9/B5</f>
        <v>1.190618717</v>
      </c>
      <c r="F10" s="159">
        <f t="shared" ref="F10:G10" si="5">F9/F5</f>
        <v>1.175955739</v>
      </c>
      <c r="G10" s="118">
        <f t="shared" si="5"/>
        <v>1.195960695</v>
      </c>
      <c r="K10" s="159">
        <f t="shared" ref="K10:P10" si="6">K9/K5</f>
        <v>1.117221488</v>
      </c>
      <c r="L10" s="118">
        <f t="shared" si="6"/>
        <v>1.195957141</v>
      </c>
      <c r="M10" s="118">
        <f t="shared" si="6"/>
        <v>1.15776246</v>
      </c>
      <c r="N10" s="118">
        <f t="shared" si="6"/>
        <v>1.215285588</v>
      </c>
      <c r="O10" s="118">
        <f t="shared" si="6"/>
        <v>1.213637454</v>
      </c>
      <c r="P10" s="159">
        <f t="shared" si="6"/>
        <v>1.176755713</v>
      </c>
      <c r="U10" s="238"/>
      <c r="Z10" s="238"/>
      <c r="AA10" s="267">
        <f t="shared" ref="AA10:AD10" si="7">AA9/138787</f>
        <v>0.9801149858</v>
      </c>
      <c r="AB10" s="166">
        <f t="shared" si="7"/>
        <v>0.9058709257</v>
      </c>
      <c r="AC10" s="166">
        <f t="shared" si="7"/>
        <v>0.7032989483</v>
      </c>
      <c r="AD10" s="166">
        <f t="shared" si="7"/>
        <v>0.91779381</v>
      </c>
      <c r="AE10" s="159" t="s">
        <v>1047</v>
      </c>
    </row>
    <row r="11" ht="22.5" customHeight="1">
      <c r="A11" s="262" t="s">
        <v>2985</v>
      </c>
      <c r="B11" s="263" t="s">
        <v>303</v>
      </c>
      <c r="C11" s="263" t="s">
        <v>303</v>
      </c>
      <c r="D11" s="263" t="s">
        <v>303</v>
      </c>
      <c r="E11" s="263">
        <f>473089/25</f>
        <v>18923.56</v>
      </c>
      <c r="F11" s="159" t="s">
        <v>303</v>
      </c>
      <c r="G11" s="118" t="s">
        <v>303</v>
      </c>
      <c r="H11" s="118" t="s">
        <v>303</v>
      </c>
      <c r="I11" s="118" t="s">
        <v>303</v>
      </c>
      <c r="J11" s="263">
        <f>418888/4</f>
        <v>104722</v>
      </c>
      <c r="K11" s="159" t="s">
        <v>303</v>
      </c>
      <c r="L11" s="263">
        <f>232967/3</f>
        <v>77655.66667</v>
      </c>
      <c r="M11" s="263">
        <f>347492/3</f>
        <v>115830.6667</v>
      </c>
      <c r="N11" s="263">
        <f>232989/3</f>
        <v>77663</v>
      </c>
      <c r="O11" s="263">
        <f>516250/4</f>
        <v>129062.5</v>
      </c>
      <c r="P11" s="268">
        <f>385568/3</f>
        <v>128522.6667</v>
      </c>
      <c r="Q11" s="266">
        <f>289492/3</f>
        <v>96497.33333</v>
      </c>
      <c r="R11" s="266">
        <f>398936/3</f>
        <v>132978.6667</v>
      </c>
      <c r="S11" s="266">
        <f>286881/3</f>
        <v>95627</v>
      </c>
      <c r="T11" s="263">
        <f>460044/3</f>
        <v>153348</v>
      </c>
      <c r="U11" s="268">
        <f>443210/3</f>
        <v>147736.6667</v>
      </c>
      <c r="V11" s="263" t="s">
        <v>303</v>
      </c>
      <c r="Z11" s="238"/>
      <c r="AA11" s="263" t="s">
        <v>303</v>
      </c>
      <c r="AE11" s="238"/>
      <c r="AF11" s="240" t="s">
        <v>2986</v>
      </c>
    </row>
    <row r="12" ht="22.5" customHeight="1">
      <c r="A12" s="238"/>
      <c r="E12" s="118">
        <f>E11/E3</f>
        <v>1.297556226</v>
      </c>
      <c r="F12" s="238"/>
      <c r="J12" s="118">
        <f>J11/J3</f>
        <v>2.05136141</v>
      </c>
      <c r="K12" s="238"/>
      <c r="L12" s="118">
        <f t="shared" ref="L12:P12" si="8">L11/L3</f>
        <v>1.064957921</v>
      </c>
      <c r="M12" s="118">
        <f t="shared" si="8"/>
        <v>1.381271515</v>
      </c>
      <c r="N12" s="118">
        <f t="shared" si="8"/>
        <v>1.06505849</v>
      </c>
      <c r="O12" s="118">
        <f t="shared" si="8"/>
        <v>1.608897006</v>
      </c>
      <c r="P12" s="159">
        <f t="shared" si="8"/>
        <v>1.283506768</v>
      </c>
      <c r="Q12" s="166">
        <f t="shared" ref="Q12:U12" si="9">Q11/L11</f>
        <v>1.242630931</v>
      </c>
      <c r="R12" s="166">
        <f t="shared" si="9"/>
        <v>1.148043696</v>
      </c>
      <c r="S12" s="166">
        <f t="shared" si="9"/>
        <v>1.231307057</v>
      </c>
      <c r="T12" s="166">
        <f t="shared" si="9"/>
        <v>1.188168523</v>
      </c>
      <c r="U12" s="269">
        <f t="shared" si="9"/>
        <v>1.149498921</v>
      </c>
      <c r="Z12" s="238"/>
      <c r="AE12" s="238"/>
    </row>
    <row r="13" ht="22.5" customHeight="1">
      <c r="A13" s="262" t="s">
        <v>2987</v>
      </c>
      <c r="B13" s="263" t="s">
        <v>303</v>
      </c>
      <c r="C13" s="263" t="s">
        <v>303</v>
      </c>
      <c r="D13" s="263" t="s">
        <v>303</v>
      </c>
      <c r="E13" s="263">
        <f>479316/17</f>
        <v>28195.05882</v>
      </c>
      <c r="F13" s="159" t="s">
        <v>303</v>
      </c>
      <c r="G13" s="118" t="s">
        <v>303</v>
      </c>
      <c r="H13" s="118" t="s">
        <v>303</v>
      </c>
      <c r="I13" s="118" t="s">
        <v>303</v>
      </c>
      <c r="J13" s="263">
        <f>491737/4</f>
        <v>122934.25</v>
      </c>
      <c r="K13" s="159" t="s">
        <v>303</v>
      </c>
      <c r="L13" s="263">
        <f>348656/3</f>
        <v>116218.6667</v>
      </c>
      <c r="M13" s="263">
        <f>496491/3</f>
        <v>165497</v>
      </c>
      <c r="N13" s="263">
        <f>348681/3</f>
        <v>116227</v>
      </c>
      <c r="O13" s="263">
        <f>698147/4</f>
        <v>174536.75</v>
      </c>
      <c r="P13" s="268">
        <f>518887/3</f>
        <v>172962.3333</v>
      </c>
      <c r="Q13" s="266">
        <f>419864/3</f>
        <v>139954.6667</v>
      </c>
      <c r="R13" s="266">
        <f>569122/3</f>
        <v>189707.3333</v>
      </c>
      <c r="S13" s="266">
        <f>418389/3</f>
        <v>139463</v>
      </c>
      <c r="T13" s="263">
        <f>603226/3</f>
        <v>201075.3333</v>
      </c>
      <c r="U13" s="268">
        <f>542031/3</f>
        <v>180677</v>
      </c>
      <c r="V13" s="118" t="s">
        <v>303</v>
      </c>
      <c r="W13" s="118" t="s">
        <v>303</v>
      </c>
      <c r="X13" s="118" t="s">
        <v>303</v>
      </c>
      <c r="Y13" s="266">
        <f>3372933/5/3/1.25</f>
        <v>179889.76</v>
      </c>
      <c r="Z13" s="264">
        <f>2722773/(15-0.163+0.674-0.156+0.522)/1.25</f>
        <v>137193.3237</v>
      </c>
      <c r="AA13" s="263" t="s">
        <v>303</v>
      </c>
      <c r="AB13" s="263" t="s">
        <v>303</v>
      </c>
      <c r="AC13" s="263" t="s">
        <v>303</v>
      </c>
      <c r="AD13" s="266">
        <f>Y13*1.35*1.1*1.3*1.22/2.433</f>
        <v>174138.1676</v>
      </c>
      <c r="AE13" s="268">
        <f>Z13*1.35*1.1*1.3*1.22/2.283</f>
        <v>141532.671</v>
      </c>
    </row>
    <row r="14" ht="22.5" customHeight="1">
      <c r="A14" s="238"/>
      <c r="E14" s="118">
        <f>E13/E5</f>
        <v>1.278629487</v>
      </c>
      <c r="F14" s="238"/>
      <c r="J14" s="118">
        <f>J13/J5</f>
        <v>1.9112912</v>
      </c>
      <c r="K14" s="238"/>
      <c r="L14" s="118">
        <f t="shared" ref="L14:P14" si="10">L13/L5</f>
        <v>1.054118444</v>
      </c>
      <c r="M14" s="118">
        <f t="shared" si="10"/>
        <v>1.30524315</v>
      </c>
      <c r="N14" s="118">
        <f t="shared" si="10"/>
        <v>1.054194028</v>
      </c>
      <c r="O14" s="118">
        <f t="shared" si="10"/>
        <v>1.60979091</v>
      </c>
      <c r="P14" s="159">
        <f t="shared" si="10"/>
        <v>1.26070435</v>
      </c>
      <c r="Q14" s="166">
        <f t="shared" ref="Q14:U14" si="11">Q13/L13</f>
        <v>1.204235694</v>
      </c>
      <c r="R14" s="166">
        <f t="shared" si="11"/>
        <v>1.146288654</v>
      </c>
      <c r="S14" s="166">
        <f t="shared" si="11"/>
        <v>1.199919124</v>
      </c>
      <c r="T14" s="166">
        <f t="shared" si="11"/>
        <v>1.15205155</v>
      </c>
      <c r="U14" s="269">
        <f t="shared" si="11"/>
        <v>1.04460316</v>
      </c>
      <c r="Y14" s="166">
        <f t="shared" ref="Y14:Z14" si="12">Y13/T13</f>
        <v>0.8946386263</v>
      </c>
      <c r="Z14" s="159">
        <f t="shared" si="12"/>
        <v>0.75932921</v>
      </c>
      <c r="AD14" s="166">
        <f t="shared" ref="AD14:AE14" si="13">AD13/138787</f>
        <v>1.254715265</v>
      </c>
      <c r="AE14" s="269">
        <f t="shared" si="13"/>
        <v>1.019783344</v>
      </c>
    </row>
    <row r="15" ht="22.5" customHeight="1">
      <c r="A15" s="262" t="s">
        <v>2988</v>
      </c>
      <c r="B15" s="263" t="s">
        <v>303</v>
      </c>
      <c r="F15" s="238"/>
      <c r="G15" s="263">
        <v>88107.0</v>
      </c>
      <c r="H15" s="118" t="s">
        <v>303</v>
      </c>
      <c r="I15" s="118" t="s">
        <v>303</v>
      </c>
      <c r="J15" s="118" t="s">
        <v>303</v>
      </c>
      <c r="K15" s="264">
        <f>39368+14584+17014+4783*8</f>
        <v>109230</v>
      </c>
      <c r="L15" s="263">
        <f>469099/4</f>
        <v>117274.75</v>
      </c>
      <c r="M15" s="263">
        <f>391443/3</f>
        <v>130481</v>
      </c>
      <c r="N15" s="263">
        <f>355674/3</f>
        <v>118558</v>
      </c>
      <c r="O15" s="266">
        <f>321062/3</f>
        <v>107020.6667</v>
      </c>
      <c r="P15" s="264">
        <f>427287/3</f>
        <v>142429</v>
      </c>
      <c r="Q15" s="263">
        <f>(390608+360137+366944)/9</f>
        <v>124187.6667</v>
      </c>
      <c r="R15" s="266">
        <f>470824/3</f>
        <v>156941.3333</v>
      </c>
      <c r="S15" s="266">
        <f>418107/3</f>
        <v>139369</v>
      </c>
      <c r="T15" s="266">
        <f>360661/3</f>
        <v>120220.3333</v>
      </c>
      <c r="U15" s="264">
        <f>477068/3</f>
        <v>159022.6667</v>
      </c>
      <c r="V15" s="263" t="s">
        <v>303</v>
      </c>
      <c r="Z15" s="238"/>
      <c r="AA15" s="263" t="s">
        <v>303</v>
      </c>
      <c r="AE15" s="238"/>
      <c r="AF15" s="240" t="s">
        <v>2989</v>
      </c>
    </row>
    <row r="16" ht="22.5" customHeight="1">
      <c r="A16" s="238"/>
      <c r="F16" s="238"/>
      <c r="G16" s="118">
        <f>G15/G3</f>
        <v>2.013828255</v>
      </c>
      <c r="K16" s="159">
        <f t="shared" ref="K16:P16" si="14">K15/K3</f>
        <v>1.53918778</v>
      </c>
      <c r="L16" s="118">
        <f t="shared" si="14"/>
        <v>1.608287963</v>
      </c>
      <c r="M16" s="118">
        <f t="shared" si="14"/>
        <v>1.555975578</v>
      </c>
      <c r="N16" s="118">
        <f t="shared" si="14"/>
        <v>1.625886257</v>
      </c>
      <c r="O16" s="118">
        <f t="shared" si="14"/>
        <v>1.334122849</v>
      </c>
      <c r="P16" s="159">
        <f t="shared" si="14"/>
        <v>1.422384005</v>
      </c>
      <c r="Q16" s="166">
        <f t="shared" ref="Q16:U16" si="15">Q15/L15</f>
        <v>1.058946335</v>
      </c>
      <c r="R16" s="166">
        <f t="shared" si="15"/>
        <v>1.2027907</v>
      </c>
      <c r="S16" s="166">
        <f t="shared" si="15"/>
        <v>1.175534338</v>
      </c>
      <c r="T16" s="166">
        <f t="shared" si="15"/>
        <v>1.123337549</v>
      </c>
      <c r="U16" s="269">
        <f t="shared" si="15"/>
        <v>1.116504832</v>
      </c>
      <c r="Z16" s="238"/>
      <c r="AE16" s="238"/>
    </row>
    <row r="17" ht="22.5" customHeight="1">
      <c r="A17" s="262" t="s">
        <v>2990</v>
      </c>
      <c r="B17" s="263" t="s">
        <v>303</v>
      </c>
      <c r="F17" s="238"/>
      <c r="G17" s="263">
        <v>108367.0</v>
      </c>
      <c r="H17" s="118" t="s">
        <v>303</v>
      </c>
      <c r="I17" s="118" t="s">
        <v>303</v>
      </c>
      <c r="J17" s="118" t="s">
        <v>303</v>
      </c>
      <c r="K17" s="264">
        <f>22051+49604+21438+5803+6026+6012+5894+5811+5865+5633+5900</f>
        <v>140037</v>
      </c>
      <c r="L17" s="263">
        <f>609874/4</f>
        <v>152468.5</v>
      </c>
      <c r="M17" s="263">
        <f>591726/3</f>
        <v>197242</v>
      </c>
      <c r="N17" s="263">
        <f>509280/3</f>
        <v>169760</v>
      </c>
      <c r="O17" s="266">
        <f>422854/3</f>
        <v>140951.3333</v>
      </c>
      <c r="P17" s="264">
        <f>563557/3</f>
        <v>187852.3333</v>
      </c>
      <c r="Q17" s="263">
        <f>(535212+515591+533010)/9</f>
        <v>175979.2222</v>
      </c>
      <c r="R17" s="266">
        <f>638853/3</f>
        <v>212951</v>
      </c>
      <c r="S17" s="266">
        <f>565986/3</f>
        <v>188662</v>
      </c>
      <c r="T17" s="266">
        <f>494624/3</f>
        <v>164874.6667</v>
      </c>
      <c r="U17" s="264">
        <f>644365/3</f>
        <v>214788.3333</v>
      </c>
      <c r="V17" s="266">
        <f>175979*(149470/149725)</f>
        <v>175679.2862</v>
      </c>
      <c r="W17" s="266">
        <f>3829835/5/3/1.25</f>
        <v>204257.8667</v>
      </c>
      <c r="X17" s="118" t="s">
        <v>303</v>
      </c>
      <c r="Y17" s="118" t="s">
        <v>303</v>
      </c>
      <c r="Z17" s="264">
        <f>2513329/15/1.25</f>
        <v>134044.2133</v>
      </c>
      <c r="AA17" s="266">
        <f>V17*1.35*1.1*1.3*1.22/2.283</f>
        <v>181235.9228</v>
      </c>
      <c r="AB17" s="266">
        <f>W17*1.35*1.1*1.3*1.22/2.75</f>
        <v>174934.6073</v>
      </c>
      <c r="AC17" s="263" t="s">
        <v>303</v>
      </c>
      <c r="AD17" s="263" t="s">
        <v>303</v>
      </c>
      <c r="AE17" s="268">
        <f>Z17*1.35*1.1*1.3*1.22/2.283</f>
        <v>138283.9561</v>
      </c>
    </row>
    <row r="18" ht="22.5" customHeight="1">
      <c r="A18" s="238"/>
      <c r="F18" s="238"/>
      <c r="G18" s="118">
        <f>G17/G5</f>
        <v>1.638201058</v>
      </c>
      <c r="K18" s="159">
        <f t="shared" ref="K18:P18" si="16">K17/K5</f>
        <v>1.504269924</v>
      </c>
      <c r="L18" s="118">
        <f t="shared" si="16"/>
        <v>1.382909154</v>
      </c>
      <c r="M18" s="118">
        <f t="shared" si="16"/>
        <v>1.555609887</v>
      </c>
      <c r="N18" s="118">
        <f t="shared" si="16"/>
        <v>1.539745311</v>
      </c>
      <c r="O18" s="118">
        <f t="shared" si="16"/>
        <v>1.30002521</v>
      </c>
      <c r="P18" s="159">
        <f t="shared" si="16"/>
        <v>1.369236002</v>
      </c>
      <c r="Q18" s="166">
        <f t="shared" ref="Q18:W18" si="17">Q17/L17</f>
        <v>1.154200522</v>
      </c>
      <c r="R18" s="166">
        <f t="shared" si="17"/>
        <v>1.079643281</v>
      </c>
      <c r="S18" s="166">
        <f t="shared" si="17"/>
        <v>1.111345429</v>
      </c>
      <c r="T18" s="166">
        <f t="shared" si="17"/>
        <v>1.169727613</v>
      </c>
      <c r="U18" s="269">
        <f t="shared" si="17"/>
        <v>1.143389222</v>
      </c>
      <c r="V18" s="166">
        <f t="shared" si="17"/>
        <v>0.998295617</v>
      </c>
      <c r="W18" s="166">
        <f t="shared" si="17"/>
        <v>0.9591777764</v>
      </c>
      <c r="Z18" s="159">
        <f>Z17/U17</f>
        <v>0.6240758576</v>
      </c>
      <c r="AA18" s="267">
        <f t="shared" ref="AA18:AB18" si="18">AA17/138787</f>
        <v>1.30585662</v>
      </c>
      <c r="AB18" s="166">
        <f t="shared" si="18"/>
        <v>1.260453842</v>
      </c>
      <c r="AE18" s="269">
        <f>AE17/138787</f>
        <v>0.9963754246</v>
      </c>
    </row>
    <row r="19" ht="22.5" customHeight="1">
      <c r="A19" s="262" t="s">
        <v>2991</v>
      </c>
      <c r="B19" s="263" t="s">
        <v>303</v>
      </c>
      <c r="F19" s="238"/>
      <c r="G19" s="263" t="s">
        <v>303</v>
      </c>
      <c r="K19" s="238"/>
      <c r="L19" s="263">
        <f>267778/3</f>
        <v>89259.33333</v>
      </c>
      <c r="M19" s="263">
        <f>300595/3</f>
        <v>100198.3333</v>
      </c>
      <c r="N19" s="263">
        <f>274781/3</f>
        <v>91593.66667</v>
      </c>
      <c r="O19" s="266">
        <f>282672/3</f>
        <v>94224</v>
      </c>
      <c r="P19" s="264">
        <f>456560/4</f>
        <v>114140</v>
      </c>
      <c r="Q19" s="266">
        <f>328681/3</f>
        <v>109560.3333</v>
      </c>
      <c r="R19" s="266">
        <f>347492/3</f>
        <v>115830.6667</v>
      </c>
      <c r="S19" s="266">
        <f>333234/3</f>
        <v>111078</v>
      </c>
      <c r="T19" s="266">
        <f>343575/3</f>
        <v>114525</v>
      </c>
      <c r="U19" s="264">
        <f>400001/3</f>
        <v>133333.6667</v>
      </c>
      <c r="V19" s="263" t="s">
        <v>303</v>
      </c>
      <c r="Z19" s="238"/>
      <c r="AA19" s="263" t="s">
        <v>303</v>
      </c>
      <c r="AE19" s="238"/>
      <c r="AF19" s="240" t="s">
        <v>2992</v>
      </c>
    </row>
    <row r="20" ht="22.5" customHeight="1">
      <c r="A20" s="238"/>
      <c r="F20" s="238"/>
      <c r="K20" s="238"/>
      <c r="L20" s="118">
        <f t="shared" ref="L20:P20" si="19">L19/L3</f>
        <v>1.224088829</v>
      </c>
      <c r="M20" s="118">
        <f t="shared" si="19"/>
        <v>1.194857179</v>
      </c>
      <c r="N20" s="118">
        <f t="shared" si="19"/>
        <v>1.256101519</v>
      </c>
      <c r="O20" s="118">
        <f t="shared" si="19"/>
        <v>1.174599217</v>
      </c>
      <c r="P20" s="159">
        <f t="shared" si="19"/>
        <v>1.139872571</v>
      </c>
      <c r="Q20" s="166">
        <f t="shared" ref="Q20:U20" si="20">Q19/L19</f>
        <v>1.2274384</v>
      </c>
      <c r="R20" s="166">
        <f t="shared" si="20"/>
        <v>1.156013906</v>
      </c>
      <c r="S20" s="166">
        <f t="shared" si="20"/>
        <v>1.212725771</v>
      </c>
      <c r="T20" s="166">
        <f t="shared" si="20"/>
        <v>1.215454661</v>
      </c>
      <c r="U20" s="269">
        <f t="shared" si="20"/>
        <v>1.168158986</v>
      </c>
      <c r="Z20" s="238"/>
      <c r="AE20" s="238"/>
    </row>
    <row r="21" ht="22.5" customHeight="1">
      <c r="A21" s="262" t="s">
        <v>2993</v>
      </c>
      <c r="B21" s="263" t="s">
        <v>303</v>
      </c>
      <c r="F21" s="238"/>
      <c r="G21" s="263" t="s">
        <v>303</v>
      </c>
      <c r="K21" s="238"/>
      <c r="L21" s="263">
        <f>401348/3</f>
        <v>133782.6667</v>
      </c>
      <c r="M21" s="263">
        <f>442150/3</f>
        <v>147383.3333</v>
      </c>
      <c r="N21" s="263">
        <f>401348/3</f>
        <v>133782.6667</v>
      </c>
      <c r="O21" s="266">
        <f>378210/3</f>
        <v>126070</v>
      </c>
      <c r="P21" s="264">
        <f>619418/4</f>
        <v>154854.5</v>
      </c>
      <c r="Q21" s="266">
        <f>455574/3</f>
        <v>151858</v>
      </c>
      <c r="R21" s="266">
        <f>489983/3</f>
        <v>163327.6667</v>
      </c>
      <c r="S21" s="266">
        <f>474098/3</f>
        <v>158032.6667</v>
      </c>
      <c r="T21" s="266">
        <f>453391/3</f>
        <v>151130.3333</v>
      </c>
      <c r="U21" s="264">
        <f>526924/3</f>
        <v>175641.3333</v>
      </c>
      <c r="V21" s="118" t="s">
        <v>303</v>
      </c>
      <c r="W21" s="118" t="s">
        <v>303</v>
      </c>
      <c r="X21" s="118" t="s">
        <v>303</v>
      </c>
      <c r="Y21" s="118" t="s">
        <v>303</v>
      </c>
      <c r="Z21" s="264">
        <f>2692853/(16+0.15)/1.25</f>
        <v>133392.0991</v>
      </c>
      <c r="AA21" s="263" t="s">
        <v>303</v>
      </c>
      <c r="AB21" s="263" t="s">
        <v>303</v>
      </c>
      <c r="AC21" s="263" t="s">
        <v>303</v>
      </c>
      <c r="AD21" s="263" t="s">
        <v>303</v>
      </c>
      <c r="AE21" s="268">
        <f>Z21*1.35*1.1*1.3*1.22/2.283</f>
        <v>137611.2158</v>
      </c>
    </row>
    <row r="22" ht="22.5" customHeight="1">
      <c r="A22" s="238"/>
      <c r="F22" s="238"/>
      <c r="K22" s="238"/>
      <c r="L22" s="118">
        <f t="shared" ref="L22:P22" si="21">L21/L5</f>
        <v>1.213426211</v>
      </c>
      <c r="M22" s="118">
        <f t="shared" si="21"/>
        <v>1.16238413</v>
      </c>
      <c r="N22" s="118">
        <f t="shared" si="21"/>
        <v>1.213426211</v>
      </c>
      <c r="O22" s="118">
        <f t="shared" si="21"/>
        <v>1.162771393</v>
      </c>
      <c r="P22" s="159">
        <f t="shared" si="21"/>
        <v>1.128718248</v>
      </c>
      <c r="Q22" s="166">
        <f t="shared" ref="Q22:U22" si="22">Q21/L21</f>
        <v>1.13510968</v>
      </c>
      <c r="R22" s="166">
        <f t="shared" si="22"/>
        <v>1.108182743</v>
      </c>
      <c r="S22" s="166">
        <f t="shared" si="22"/>
        <v>1.18126414</v>
      </c>
      <c r="T22" s="166">
        <f t="shared" si="22"/>
        <v>1.1987811</v>
      </c>
      <c r="U22" s="269">
        <f t="shared" si="22"/>
        <v>1.134234609</v>
      </c>
      <c r="Z22" s="159">
        <f>Z21/U21</f>
        <v>0.7594573358</v>
      </c>
      <c r="AE22" s="269">
        <f>AE21/138787</f>
        <v>0.9915281387</v>
      </c>
    </row>
    <row r="23" ht="22.5" customHeight="1">
      <c r="A23" s="262" t="s">
        <v>2994</v>
      </c>
      <c r="B23" s="263" t="s">
        <v>303</v>
      </c>
      <c r="F23" s="238"/>
      <c r="G23" s="263" t="s">
        <v>303</v>
      </c>
      <c r="K23" s="238"/>
      <c r="L23" s="263">
        <f>338336/4</f>
        <v>84584</v>
      </c>
      <c r="M23" s="263">
        <f>286569/3</f>
        <v>95523</v>
      </c>
      <c r="N23" s="263">
        <f>338336/4</f>
        <v>84584</v>
      </c>
      <c r="O23" s="266">
        <f>275649/3</f>
        <v>91883</v>
      </c>
      <c r="P23" s="264">
        <f>335397/3</f>
        <v>111799</v>
      </c>
      <c r="Q23" s="263">
        <f>280647/3</f>
        <v>93549</v>
      </c>
      <c r="R23" s="266">
        <f>336619/3</f>
        <v>112206.3333</v>
      </c>
      <c r="S23" s="263">
        <f>289232/3</f>
        <v>96410.66667</v>
      </c>
      <c r="T23" s="266">
        <f>350429/3</f>
        <v>116809.6667</v>
      </c>
      <c r="U23" s="264">
        <f>367367/3</f>
        <v>122455.6667</v>
      </c>
      <c r="V23" s="263" t="s">
        <v>303</v>
      </c>
      <c r="Z23" s="238"/>
      <c r="AA23" s="263" t="s">
        <v>303</v>
      </c>
      <c r="AE23" s="238"/>
      <c r="AF23" s="240" t="s">
        <v>2995</v>
      </c>
    </row>
    <row r="24" ht="22.5" customHeight="1">
      <c r="A24" s="238"/>
      <c r="F24" s="238"/>
      <c r="K24" s="238"/>
      <c r="L24" s="118">
        <f t="shared" ref="L24:P24" si="23">L23/L3</f>
        <v>1.159972024</v>
      </c>
      <c r="M24" s="118">
        <f t="shared" si="23"/>
        <v>1.1391042</v>
      </c>
      <c r="N24" s="118">
        <f t="shared" si="23"/>
        <v>1.159972024</v>
      </c>
      <c r="O24" s="118">
        <f t="shared" si="23"/>
        <v>1.145416241</v>
      </c>
      <c r="P24" s="159">
        <f t="shared" si="23"/>
        <v>1.116493898</v>
      </c>
      <c r="Q24" s="166">
        <f t="shared" ref="Q24:U24" si="24">Q23/L23</f>
        <v>1.105989312</v>
      </c>
      <c r="R24" s="166">
        <f t="shared" si="24"/>
        <v>1.174652527</v>
      </c>
      <c r="S24" s="166">
        <f t="shared" si="24"/>
        <v>1.139821558</v>
      </c>
      <c r="T24" s="166">
        <f t="shared" si="24"/>
        <v>1.271287035</v>
      </c>
      <c r="U24" s="269">
        <f t="shared" si="24"/>
        <v>1.095319875</v>
      </c>
      <c r="Z24" s="238"/>
      <c r="AE24" s="238"/>
    </row>
    <row r="25" ht="22.5" customHeight="1">
      <c r="A25" s="262" t="s">
        <v>2996</v>
      </c>
      <c r="B25" s="263" t="s">
        <v>303</v>
      </c>
      <c r="F25" s="238"/>
      <c r="G25" s="263" t="s">
        <v>303</v>
      </c>
      <c r="K25" s="238"/>
      <c r="L25" s="263">
        <f>490000/4</f>
        <v>122500</v>
      </c>
      <c r="M25" s="263">
        <f>417126/3</f>
        <v>139042</v>
      </c>
      <c r="N25" s="263">
        <f>490000/4</f>
        <v>122500</v>
      </c>
      <c r="O25" s="266">
        <f>362010/3</f>
        <v>120670</v>
      </c>
      <c r="P25" s="264">
        <f>597772/4</f>
        <v>149443</v>
      </c>
      <c r="Q25" s="263">
        <f>414211/3</f>
        <v>138070.3333</v>
      </c>
      <c r="R25" s="266">
        <f>494188/3</f>
        <v>164729.3333</v>
      </c>
      <c r="S25" s="263">
        <f>423152/3</f>
        <v>141050.6667</v>
      </c>
      <c r="T25" s="266">
        <f>477359/3</f>
        <v>159119.6667</v>
      </c>
      <c r="U25" s="264">
        <f>478729/3</f>
        <v>159576.3333</v>
      </c>
      <c r="V25" s="263" t="s">
        <v>303</v>
      </c>
      <c r="Z25" s="238"/>
      <c r="AA25" s="270" t="s">
        <v>303</v>
      </c>
      <c r="AE25" s="238"/>
    </row>
    <row r="26" ht="22.5" customHeight="1">
      <c r="A26" s="238"/>
      <c r="F26" s="238"/>
      <c r="K26" s="238"/>
      <c r="L26" s="118">
        <f t="shared" ref="L26:P26" si="25">L25/L5</f>
        <v>1.111090955</v>
      </c>
      <c r="M26" s="118">
        <f t="shared" si="25"/>
        <v>1.096597631</v>
      </c>
      <c r="N26" s="118">
        <f t="shared" si="25"/>
        <v>1.111090955</v>
      </c>
      <c r="O26" s="118">
        <f t="shared" si="25"/>
        <v>1.112966003</v>
      </c>
      <c r="P26" s="159">
        <f t="shared" si="25"/>
        <v>1.08927439</v>
      </c>
      <c r="Q26" s="166">
        <f t="shared" ref="Q26:U26" si="26">Q25/L25</f>
        <v>1.127104762</v>
      </c>
      <c r="R26" s="166">
        <f t="shared" si="26"/>
        <v>1.184745137</v>
      </c>
      <c r="S26" s="166">
        <f t="shared" si="26"/>
        <v>1.151434014</v>
      </c>
      <c r="T26" s="166">
        <f t="shared" si="26"/>
        <v>1.318634844</v>
      </c>
      <c r="U26" s="269">
        <f t="shared" si="26"/>
        <v>1.067807347</v>
      </c>
      <c r="Z26" s="238"/>
      <c r="AA26" s="271"/>
      <c r="AE26" s="238"/>
    </row>
    <row r="27" ht="22.5" customHeight="1">
      <c r="A27" s="262" t="s">
        <v>2997</v>
      </c>
      <c r="B27" s="263">
        <v>14324.0</v>
      </c>
      <c r="C27" s="263">
        <v>14324.0</v>
      </c>
      <c r="D27" s="263">
        <v>14324.0</v>
      </c>
      <c r="E27" s="263">
        <v>14324.0</v>
      </c>
      <c r="F27" s="264">
        <v>14324.0</v>
      </c>
      <c r="G27" s="118" t="s">
        <v>303</v>
      </c>
      <c r="H27" s="263">
        <f>6*8953</f>
        <v>53718</v>
      </c>
      <c r="I27" s="263">
        <v>42971.0</v>
      </c>
      <c r="J27" s="118" t="s">
        <v>303</v>
      </c>
      <c r="K27" s="264">
        <f>39368+14324+16711</f>
        <v>70403</v>
      </c>
      <c r="L27" s="118" t="s">
        <v>303</v>
      </c>
      <c r="M27" s="263">
        <f t="shared" ref="M27:N27" si="27">H27+2*C27</f>
        <v>82366</v>
      </c>
      <c r="N27" s="263">
        <f t="shared" si="27"/>
        <v>71619</v>
      </c>
      <c r="O27" s="118" t="s">
        <v>303</v>
      </c>
      <c r="P27" s="264">
        <f>K27+2*F27</f>
        <v>99051</v>
      </c>
      <c r="Q27" s="263">
        <f>261232/3</f>
        <v>87077.33333</v>
      </c>
      <c r="R27" s="263">
        <f>304848/3</f>
        <v>101616</v>
      </c>
      <c r="S27" s="118" t="s">
        <v>303</v>
      </c>
      <c r="T27" s="118" t="s">
        <v>303</v>
      </c>
      <c r="U27" s="264">
        <f>353678/3</f>
        <v>117892.6667</v>
      </c>
      <c r="V27" s="263" t="s">
        <v>303</v>
      </c>
      <c r="Z27" s="238"/>
      <c r="AA27" s="263" t="s">
        <v>303</v>
      </c>
      <c r="AE27" s="238"/>
      <c r="AF27" s="240" t="s">
        <v>2998</v>
      </c>
    </row>
    <row r="28" ht="22.5" customHeight="1">
      <c r="A28" s="238"/>
      <c r="B28" s="118">
        <f t="shared" ref="B28:F28" si="28">B27/B3</f>
        <v>0.9821722436</v>
      </c>
      <c r="C28" s="118">
        <f t="shared" si="28"/>
        <v>0.9821722436</v>
      </c>
      <c r="D28" s="118">
        <f t="shared" si="28"/>
        <v>0.9821722436</v>
      </c>
      <c r="E28" s="118">
        <f t="shared" si="28"/>
        <v>0.9821722436</v>
      </c>
      <c r="F28" s="159">
        <f t="shared" si="28"/>
        <v>0.9821722436</v>
      </c>
      <c r="H28" s="118">
        <f t="shared" ref="H28:I28" si="29">H27/H3</f>
        <v>0.9822270982</v>
      </c>
      <c r="I28" s="118">
        <f t="shared" si="29"/>
        <v>0.9821718361</v>
      </c>
      <c r="K28" s="159">
        <f>K27/K3</f>
        <v>0.9920666235</v>
      </c>
      <c r="M28" s="118">
        <f t="shared" ref="M28:N28" si="30">M27/M3</f>
        <v>0.9822080183</v>
      </c>
      <c r="N28" s="118">
        <f t="shared" si="30"/>
        <v>0.9821719991</v>
      </c>
      <c r="P28" s="159">
        <f>P27/P3</f>
        <v>0.9891844928</v>
      </c>
      <c r="Q28" s="166">
        <f t="shared" ref="Q28:R28" si="31">Q27/L7</f>
        <v>0.9719781257</v>
      </c>
      <c r="R28" s="166">
        <f t="shared" si="31"/>
        <v>0.9855297358</v>
      </c>
      <c r="U28" s="269">
        <f>U27/P7</f>
        <v>0.9929664014</v>
      </c>
      <c r="Z28" s="238"/>
      <c r="AE28" s="238"/>
    </row>
  </sheetData>
  <mergeCells count="122">
    <mergeCell ref="Q3:U4"/>
    <mergeCell ref="Q5:U6"/>
    <mergeCell ref="Q7:U8"/>
    <mergeCell ref="Q9:U10"/>
    <mergeCell ref="V3:Z4"/>
    <mergeCell ref="AA3:AE4"/>
    <mergeCell ref="AF3:AF6"/>
    <mergeCell ref="V5:Z6"/>
    <mergeCell ref="V7:Z8"/>
    <mergeCell ref="AA7:AE8"/>
    <mergeCell ref="AF7:AF10"/>
    <mergeCell ref="V9:Z10"/>
    <mergeCell ref="V11:Z12"/>
    <mergeCell ref="AA11:AE12"/>
    <mergeCell ref="AF11:AF14"/>
    <mergeCell ref="V13:V14"/>
    <mergeCell ref="W13:W14"/>
    <mergeCell ref="X13:X14"/>
    <mergeCell ref="AC13:AC14"/>
    <mergeCell ref="AA13:AA14"/>
    <mergeCell ref="AB13:AB14"/>
    <mergeCell ref="AF15:AF18"/>
    <mergeCell ref="X17:X18"/>
    <mergeCell ref="Y17:Y18"/>
    <mergeCell ref="AC17:AC18"/>
    <mergeCell ref="AD17:AD18"/>
    <mergeCell ref="AA21:AA22"/>
    <mergeCell ref="AB21:AB22"/>
    <mergeCell ref="AC21:AC22"/>
    <mergeCell ref="AD21:AD22"/>
    <mergeCell ref="AF23:AF26"/>
    <mergeCell ref="V19:Z20"/>
    <mergeCell ref="AA19:AE20"/>
    <mergeCell ref="AF19:AF22"/>
    <mergeCell ref="V21:V22"/>
    <mergeCell ref="W21:W22"/>
    <mergeCell ref="X21:X22"/>
    <mergeCell ref="Y21:Y22"/>
    <mergeCell ref="AA27:AE28"/>
    <mergeCell ref="AF27:AF28"/>
    <mergeCell ref="V23:Z24"/>
    <mergeCell ref="AA23:AE24"/>
    <mergeCell ref="V25:Z26"/>
    <mergeCell ref="AA25:AE26"/>
    <mergeCell ref="S27:S28"/>
    <mergeCell ref="T27:T28"/>
    <mergeCell ref="V27:Z28"/>
    <mergeCell ref="D9:D10"/>
    <mergeCell ref="E9:E10"/>
    <mergeCell ref="D11:D12"/>
    <mergeCell ref="F11:F12"/>
    <mergeCell ref="G11:G12"/>
    <mergeCell ref="D13:D14"/>
    <mergeCell ref="F13:F14"/>
    <mergeCell ref="C7:C8"/>
    <mergeCell ref="C9:C10"/>
    <mergeCell ref="A11:A12"/>
    <mergeCell ref="B11:B12"/>
    <mergeCell ref="C11:C12"/>
    <mergeCell ref="B13:B14"/>
    <mergeCell ref="C13:C14"/>
    <mergeCell ref="B23:F24"/>
    <mergeCell ref="G23:K24"/>
    <mergeCell ref="A25:A26"/>
    <mergeCell ref="B25:F26"/>
    <mergeCell ref="G25:K26"/>
    <mergeCell ref="A27:A28"/>
    <mergeCell ref="G27:G28"/>
    <mergeCell ref="J27:J28"/>
    <mergeCell ref="L27:L28"/>
    <mergeCell ref="O27:O28"/>
    <mergeCell ref="A19:A20"/>
    <mergeCell ref="B19:F20"/>
    <mergeCell ref="G19:K20"/>
    <mergeCell ref="A21:A22"/>
    <mergeCell ref="B21:F22"/>
    <mergeCell ref="G21:K22"/>
    <mergeCell ref="A23:A24"/>
    <mergeCell ref="B1:F1"/>
    <mergeCell ref="G1:K1"/>
    <mergeCell ref="L1:P1"/>
    <mergeCell ref="Q1:U1"/>
    <mergeCell ref="V1:Z1"/>
    <mergeCell ref="AA1:AE1"/>
    <mergeCell ref="AF1:AF2"/>
    <mergeCell ref="A3:A4"/>
    <mergeCell ref="B3:B4"/>
    <mergeCell ref="C3:C4"/>
    <mergeCell ref="D3:D4"/>
    <mergeCell ref="E3:E4"/>
    <mergeCell ref="F3:F4"/>
    <mergeCell ref="A5:A6"/>
    <mergeCell ref="H9:H10"/>
    <mergeCell ref="I9:I10"/>
    <mergeCell ref="H11:H12"/>
    <mergeCell ref="I11:I12"/>
    <mergeCell ref="K11:K12"/>
    <mergeCell ref="A7:A8"/>
    <mergeCell ref="D7:D8"/>
    <mergeCell ref="E7:E8"/>
    <mergeCell ref="H7:H8"/>
    <mergeCell ref="I7:I8"/>
    <mergeCell ref="J7:J8"/>
    <mergeCell ref="A9:A10"/>
    <mergeCell ref="J9:J10"/>
    <mergeCell ref="G13:G14"/>
    <mergeCell ref="H13:H14"/>
    <mergeCell ref="I13:I14"/>
    <mergeCell ref="K13:K14"/>
    <mergeCell ref="A13:A14"/>
    <mergeCell ref="A15:A16"/>
    <mergeCell ref="B15:F16"/>
    <mergeCell ref="H15:H16"/>
    <mergeCell ref="I15:I16"/>
    <mergeCell ref="J15:J16"/>
    <mergeCell ref="V15:Z16"/>
    <mergeCell ref="AA15:AE16"/>
    <mergeCell ref="A17:A18"/>
    <mergeCell ref="B17:F18"/>
    <mergeCell ref="H17:H18"/>
    <mergeCell ref="I17:I18"/>
    <mergeCell ref="J17:J18"/>
  </mergeCells>
  <conditionalFormatting sqref="A1:AF28">
    <cfRule type="containsText" dxfId="4" priority="1" operator="containsText" text="!">
      <formula>NOT(ISERROR(SEARCH(("!"),(A1))))</formula>
    </cfRule>
  </conditionalFormatting>
  <conditionalFormatting sqref="B3:F5 B7:F7 B9:F9 B11:F11 B13:F13 B27:F27">
    <cfRule type="colorScale" priority="2">
      <colorScale>
        <cfvo type="min"/>
        <cfvo type="percentile" val="50"/>
        <cfvo type="max"/>
        <color rgb="FFE67C73"/>
        <color rgb="FFFFD666"/>
        <color rgb="FF57BB8A"/>
      </colorScale>
    </cfRule>
  </conditionalFormatting>
  <conditionalFormatting sqref="G3:K3 G5:K5 G7:K7 G9:K9 G11:K11 G13:K13 G15:K15 G17:K17 G27:K27">
    <cfRule type="colorScale" priority="3">
      <colorScale>
        <cfvo type="min"/>
        <cfvo type="percentile" val="50"/>
        <cfvo type="max"/>
        <color rgb="FFE67C73"/>
        <color rgb="FFFFD666"/>
        <color rgb="FF57BB8A"/>
      </colorScale>
    </cfRule>
  </conditionalFormatting>
  <conditionalFormatting sqref="L3:P3 L5:P5 L7:P7 L9:P9 L11:P11 L13:P13 L15:P15 L17:P17 L19:P19 L21:P21 L23:P23 L25:P25 L27:P27">
    <cfRule type="colorScale" priority="4">
      <colorScale>
        <cfvo type="min"/>
        <cfvo type="percentile" val="50"/>
        <cfvo type="max"/>
        <color rgb="FFE67C73"/>
        <color rgb="FFFFD666"/>
        <color rgb="FF57BB8A"/>
      </colorScale>
    </cfRule>
  </conditionalFormatting>
  <conditionalFormatting sqref="Q7:U7 Q11:U11 Q13:U13 Q15:U15 Q17:U17 Q19:U19 Q21:U21 Q23:U23 Q25:U25 Q27:U27">
    <cfRule type="colorScale" priority="5">
      <colorScale>
        <cfvo type="min"/>
        <cfvo type="percentile" val="50"/>
        <cfvo type="max"/>
        <color rgb="FFE67C73"/>
        <color rgb="FFFFD666"/>
        <color rgb="FF57BB8A"/>
      </colorScale>
    </cfRule>
  </conditionalFormatting>
  <conditionalFormatting sqref="AA5:AE5 AA9:AE9 AA13:AE13 AA17:AE17 AA21:AE21 AA25:AE25 AA27:AE27">
    <cfRule type="colorScale" priority="6">
      <colorScale>
        <cfvo type="min"/>
        <cfvo type="percentile" val="50"/>
        <cfvo type="max"/>
        <color rgb="FFE67C73"/>
        <color rgb="FFFFD666"/>
        <color rgb="FF57BB8A"/>
      </colorScale>
    </cfRule>
  </conditionalFormatting>
  <conditionalFormatting sqref="V13:Z13 V17:Z17 V21:Z21 V25:Z25">
    <cfRule type="colorScale" priority="7">
      <colorScale>
        <cfvo type="min"/>
        <cfvo type="percentile" val="50"/>
        <cfvo type="max"/>
        <color rgb="FFE67C73"/>
        <color rgb="FFFFD666"/>
        <color rgb="FF57BB8A"/>
      </colorScale>
    </cfRule>
  </conditionalFormatting>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88"/>
    <col customWidth="1" min="4" max="4" width="74.75"/>
  </cols>
  <sheetData>
    <row r="1">
      <c r="A1" s="272" t="s">
        <v>2953</v>
      </c>
      <c r="B1" s="272" t="s">
        <v>2999</v>
      </c>
      <c r="C1" s="272" t="s">
        <v>3000</v>
      </c>
      <c r="D1" s="272" t="s">
        <v>640</v>
      </c>
      <c r="E1" s="273" t="s">
        <v>3001</v>
      </c>
      <c r="F1" s="273" t="s">
        <v>3002</v>
      </c>
      <c r="G1" s="272" t="s">
        <v>3003</v>
      </c>
      <c r="H1" s="274"/>
    </row>
    <row r="2">
      <c r="A2" s="275" t="s">
        <v>1122</v>
      </c>
      <c r="B2" s="276" t="s">
        <v>3004</v>
      </c>
      <c r="C2" s="276" t="s">
        <v>3005</v>
      </c>
      <c r="D2" s="275" t="s">
        <v>3006</v>
      </c>
      <c r="E2" s="277">
        <f>633465-7*7114</f>
        <v>583667</v>
      </c>
      <c r="F2" s="277" t="s">
        <v>3007</v>
      </c>
      <c r="G2" s="278">
        <v>5.267</v>
      </c>
      <c r="H2" s="279" t="s">
        <v>3008</v>
      </c>
    </row>
    <row r="3">
      <c r="A3" s="275" t="s">
        <v>1122</v>
      </c>
      <c r="B3" s="276" t="s">
        <v>3004</v>
      </c>
      <c r="C3" s="276" t="s">
        <v>3005</v>
      </c>
      <c r="D3" s="275" t="s">
        <v>3009</v>
      </c>
      <c r="E3" s="277">
        <f>665434-8*7120</f>
        <v>608474</v>
      </c>
      <c r="F3" s="277" t="s">
        <v>3010</v>
      </c>
      <c r="G3" s="278">
        <v>5.6</v>
      </c>
    </row>
    <row r="4">
      <c r="A4" s="275" t="s">
        <v>1126</v>
      </c>
      <c r="B4" s="276" t="s">
        <v>3004</v>
      </c>
      <c r="C4" s="276" t="s">
        <v>3005</v>
      </c>
      <c r="D4" s="275" t="s">
        <v>3011</v>
      </c>
      <c r="E4" s="277">
        <f>866465-11671</f>
        <v>854794</v>
      </c>
      <c r="F4" s="277" t="s">
        <v>3012</v>
      </c>
      <c r="G4" s="278">
        <v>7.833</v>
      </c>
    </row>
    <row r="5">
      <c r="A5" s="276" t="s">
        <v>484</v>
      </c>
      <c r="B5" s="276" t="s">
        <v>3004</v>
      </c>
      <c r="C5" s="276" t="s">
        <v>3013</v>
      </c>
      <c r="D5" s="275" t="s">
        <v>3014</v>
      </c>
      <c r="E5" s="277">
        <f>857340-6*11169-3*2954</f>
        <v>781464</v>
      </c>
      <c r="F5" s="277">
        <v>11169.0</v>
      </c>
      <c r="G5" s="278">
        <v>8.55</v>
      </c>
    </row>
    <row r="6">
      <c r="A6" s="276" t="s">
        <v>484</v>
      </c>
      <c r="B6" s="276" t="s">
        <v>3004</v>
      </c>
      <c r="C6" s="276" t="s">
        <v>3013</v>
      </c>
      <c r="D6" s="275" t="s">
        <v>3015</v>
      </c>
      <c r="E6" s="277">
        <f>730217-8*9155-2421*3</f>
        <v>649714</v>
      </c>
      <c r="F6" s="277">
        <v>9155.0</v>
      </c>
      <c r="G6" s="278">
        <v>8.867</v>
      </c>
    </row>
    <row r="7">
      <c r="A7" s="275" t="s">
        <v>706</v>
      </c>
      <c r="B7" s="276" t="s">
        <v>3004</v>
      </c>
      <c r="C7" s="276" t="s">
        <v>3005</v>
      </c>
      <c r="D7" s="275" t="s">
        <v>3016</v>
      </c>
      <c r="E7" s="277">
        <f>718213-4790</f>
        <v>713423</v>
      </c>
      <c r="F7" s="277">
        <v>4790.0</v>
      </c>
      <c r="G7" s="278">
        <v>9.25</v>
      </c>
    </row>
    <row r="8">
      <c r="A8" s="275" t="s">
        <v>1126</v>
      </c>
      <c r="B8" s="276" t="s">
        <v>3004</v>
      </c>
      <c r="C8" s="276" t="s">
        <v>3005</v>
      </c>
      <c r="D8" s="275" t="s">
        <v>3017</v>
      </c>
      <c r="E8" s="277">
        <f>708809-5836-6060</f>
        <v>696913</v>
      </c>
      <c r="F8" s="277" t="s">
        <v>3018</v>
      </c>
      <c r="G8" s="278">
        <v>9.267</v>
      </c>
    </row>
    <row r="9">
      <c r="A9" s="275" t="s">
        <v>1126</v>
      </c>
      <c r="B9" s="276" t="s">
        <v>3004</v>
      </c>
      <c r="C9" s="276" t="s">
        <v>3005</v>
      </c>
      <c r="D9" s="275" t="s">
        <v>3019</v>
      </c>
      <c r="E9" s="277">
        <f>680811-5195-5442</f>
        <v>670174</v>
      </c>
      <c r="F9" s="277" t="s">
        <v>3020</v>
      </c>
      <c r="G9" s="278">
        <v>9.517</v>
      </c>
      <c r="H9" s="280" t="s">
        <v>3021</v>
      </c>
    </row>
    <row r="10">
      <c r="A10" s="275" t="s">
        <v>3022</v>
      </c>
      <c r="B10" s="275" t="s">
        <v>3004</v>
      </c>
      <c r="C10" s="276" t="s">
        <v>3013</v>
      </c>
      <c r="D10" s="275" t="s">
        <v>3023</v>
      </c>
      <c r="E10" s="277">
        <f>541311-6*7175</f>
        <v>498261</v>
      </c>
      <c r="F10" s="277">
        <v>7175.0</v>
      </c>
      <c r="G10" s="278">
        <v>9.933</v>
      </c>
    </row>
    <row r="11">
      <c r="A11" s="275" t="s">
        <v>337</v>
      </c>
      <c r="B11" s="276" t="s">
        <v>3024</v>
      </c>
      <c r="C11" s="276" t="s">
        <v>3013</v>
      </c>
      <c r="D11" s="275" t="s">
        <v>3025</v>
      </c>
      <c r="E11" s="277">
        <v>1498396.0</v>
      </c>
      <c r="F11" s="277">
        <f>27722*1.35*1.22*1.3*1.1*1.1</f>
        <v>71820.24478</v>
      </c>
      <c r="G11" s="278">
        <v>10.15</v>
      </c>
    </row>
    <row r="12">
      <c r="A12" s="275" t="s">
        <v>1126</v>
      </c>
      <c r="B12" s="276" t="s">
        <v>3004</v>
      </c>
      <c r="C12" s="276" t="s">
        <v>3005</v>
      </c>
      <c r="D12" s="275" t="s">
        <v>3026</v>
      </c>
      <c r="E12" s="277">
        <v>626837.0</v>
      </c>
      <c r="F12" s="277" t="s">
        <v>3027</v>
      </c>
      <c r="G12" s="278">
        <v>10.45</v>
      </c>
    </row>
    <row r="13">
      <c r="A13" s="275" t="s">
        <v>1122</v>
      </c>
      <c r="B13" s="276" t="s">
        <v>3004</v>
      </c>
      <c r="C13" s="276" t="s">
        <v>3005</v>
      </c>
      <c r="D13" s="275" t="s">
        <v>3028</v>
      </c>
      <c r="E13" s="277">
        <v>576533.0</v>
      </c>
      <c r="F13" s="277" t="s">
        <v>3029</v>
      </c>
      <c r="G13" s="278">
        <v>10.567</v>
      </c>
    </row>
    <row r="14">
      <c r="A14" s="275" t="s">
        <v>3030</v>
      </c>
      <c r="B14" s="276" t="s">
        <v>3004</v>
      </c>
      <c r="C14" s="276" t="s">
        <v>3005</v>
      </c>
      <c r="D14" s="275" t="s">
        <v>3031</v>
      </c>
      <c r="E14" s="277">
        <f>920326-4217</f>
        <v>916109</v>
      </c>
      <c r="F14" s="277" t="s">
        <v>3032</v>
      </c>
      <c r="G14" s="278">
        <v>12.15</v>
      </c>
    </row>
    <row r="15">
      <c r="A15" s="276" t="s">
        <v>413</v>
      </c>
      <c r="B15" s="276" t="s">
        <v>3033</v>
      </c>
      <c r="C15" s="276" t="s">
        <v>3005</v>
      </c>
      <c r="D15" s="275" t="s">
        <v>3016</v>
      </c>
      <c r="E15" s="277">
        <f>1577090-10423*2</f>
        <v>1556244</v>
      </c>
      <c r="F15" s="277">
        <v>10423.0</v>
      </c>
      <c r="G15" s="278">
        <v>12.15</v>
      </c>
      <c r="H15" s="281" t="s">
        <v>3034</v>
      </c>
    </row>
    <row r="16">
      <c r="A16" s="275" t="s">
        <v>3035</v>
      </c>
      <c r="B16" s="276" t="s">
        <v>3004</v>
      </c>
      <c r="C16" s="276" t="s">
        <v>3005</v>
      </c>
      <c r="D16" s="275" t="s">
        <v>3036</v>
      </c>
      <c r="E16" s="277">
        <f>507541-3496*5</f>
        <v>490061</v>
      </c>
      <c r="F16" s="277" t="s">
        <v>3037</v>
      </c>
      <c r="G16" s="278">
        <v>12.517</v>
      </c>
    </row>
    <row r="17">
      <c r="A17" s="276" t="s">
        <v>484</v>
      </c>
      <c r="B17" s="276" t="s">
        <v>3004</v>
      </c>
      <c r="C17" s="276" t="s">
        <v>3013</v>
      </c>
      <c r="D17" s="275" t="s">
        <v>3038</v>
      </c>
      <c r="E17" s="277">
        <v>522723.0</v>
      </c>
      <c r="F17" s="277" t="s">
        <v>3039</v>
      </c>
      <c r="G17" s="278">
        <v>13.267</v>
      </c>
    </row>
    <row r="18">
      <c r="A18" s="276" t="s">
        <v>573</v>
      </c>
      <c r="B18" s="276" t="s">
        <v>3033</v>
      </c>
      <c r="C18" s="276" t="s">
        <v>3013</v>
      </c>
      <c r="D18" s="275" t="s">
        <v>3040</v>
      </c>
      <c r="E18" s="277">
        <f>2140058-6*10334</f>
        <v>2078054</v>
      </c>
      <c r="F18" s="277">
        <v>10334.0</v>
      </c>
      <c r="G18" s="278">
        <v>13.417</v>
      </c>
    </row>
    <row r="19">
      <c r="A19" s="275" t="s">
        <v>1101</v>
      </c>
      <c r="B19" s="276" t="s">
        <v>3004</v>
      </c>
      <c r="C19" s="276" t="s">
        <v>3013</v>
      </c>
      <c r="D19" s="275" t="s">
        <v>3041</v>
      </c>
      <c r="E19" s="277">
        <f>504960-5*5260</f>
        <v>478660</v>
      </c>
      <c r="F19" s="277">
        <v>5260.0</v>
      </c>
      <c r="G19" s="278">
        <v>13.717</v>
      </c>
    </row>
    <row r="20">
      <c r="A20" s="275" t="s">
        <v>1039</v>
      </c>
      <c r="B20" s="276" t="s">
        <v>3004</v>
      </c>
      <c r="C20" s="276" t="s">
        <v>3013</v>
      </c>
      <c r="D20" s="275" t="s">
        <v>3042</v>
      </c>
      <c r="E20" s="277">
        <v>1068939.0</v>
      </c>
      <c r="F20" s="277">
        <v>21467.0</v>
      </c>
      <c r="G20" s="278">
        <v>14.017</v>
      </c>
    </row>
    <row r="21">
      <c r="A21" s="276" t="s">
        <v>413</v>
      </c>
      <c r="B21" s="276" t="s">
        <v>3033</v>
      </c>
      <c r="C21" s="276" t="s">
        <v>3005</v>
      </c>
      <c r="D21" s="276" t="s">
        <v>3043</v>
      </c>
      <c r="E21" s="277">
        <v>1071262.0</v>
      </c>
      <c r="F21" s="277">
        <v>6085.0</v>
      </c>
      <c r="G21" s="278">
        <v>14.117</v>
      </c>
    </row>
    <row r="22">
      <c r="A22" s="276" t="s">
        <v>1039</v>
      </c>
      <c r="B22" s="276" t="s">
        <v>3004</v>
      </c>
      <c r="C22" s="276" t="s">
        <v>3013</v>
      </c>
      <c r="D22" s="276" t="s">
        <v>3044</v>
      </c>
      <c r="E22" s="277">
        <v>986288.0</v>
      </c>
      <c r="F22" s="277">
        <v>12533.0</v>
      </c>
      <c r="G22" s="278">
        <v>14.233</v>
      </c>
    </row>
    <row r="23">
      <c r="A23" s="276" t="s">
        <v>493</v>
      </c>
      <c r="B23" s="276" t="s">
        <v>3024</v>
      </c>
      <c r="C23" s="276" t="s">
        <v>3013</v>
      </c>
      <c r="D23" s="275" t="s">
        <v>3045</v>
      </c>
      <c r="E23" s="277">
        <f>1678768-11359</f>
        <v>1667409</v>
      </c>
      <c r="F23" s="277">
        <v>11359.0</v>
      </c>
      <c r="G23" s="278">
        <v>14.683</v>
      </c>
    </row>
    <row r="24">
      <c r="A24" s="276" t="s">
        <v>3046</v>
      </c>
      <c r="B24" s="276" t="s">
        <v>3033</v>
      </c>
      <c r="C24" s="276" t="s">
        <v>3005</v>
      </c>
      <c r="D24" s="276" t="s">
        <v>3047</v>
      </c>
      <c r="E24" s="277">
        <v>1066315.0</v>
      </c>
      <c r="F24" s="277">
        <v>5045.0</v>
      </c>
      <c r="G24" s="278">
        <v>14.733</v>
      </c>
    </row>
    <row r="25">
      <c r="A25" s="275" t="s">
        <v>706</v>
      </c>
      <c r="B25" s="275" t="s">
        <v>3004</v>
      </c>
      <c r="C25" s="276" t="s">
        <v>3005</v>
      </c>
      <c r="D25" s="275" t="s">
        <v>3048</v>
      </c>
      <c r="E25" s="277">
        <f>707181-2*2797</f>
        <v>701587</v>
      </c>
      <c r="F25" s="277">
        <v>2797.0</v>
      </c>
      <c r="G25" s="278">
        <v>15.033</v>
      </c>
    </row>
    <row r="26">
      <c r="A26" s="276" t="s">
        <v>1087</v>
      </c>
      <c r="B26" s="276" t="s">
        <v>3004</v>
      </c>
      <c r="C26" s="276" t="s">
        <v>3013</v>
      </c>
      <c r="D26" s="275" t="s">
        <v>3049</v>
      </c>
      <c r="E26" s="277">
        <v>871578.0</v>
      </c>
      <c r="F26" s="277">
        <v>14007.0</v>
      </c>
      <c r="G26" s="278">
        <v>15.1</v>
      </c>
    </row>
    <row r="27">
      <c r="A27" s="275" t="s">
        <v>3050</v>
      </c>
      <c r="B27" s="276" t="s">
        <v>3004</v>
      </c>
      <c r="C27" s="276" t="s">
        <v>3013</v>
      </c>
      <c r="D27" s="275" t="s">
        <v>3051</v>
      </c>
      <c r="E27" s="277">
        <f>564769-2*9303</f>
        <v>546163</v>
      </c>
      <c r="F27" s="277" t="s">
        <v>3052</v>
      </c>
      <c r="G27" s="278">
        <v>15.167</v>
      </c>
    </row>
    <row r="28">
      <c r="A28" s="275" t="s">
        <v>3053</v>
      </c>
      <c r="B28" s="276" t="s">
        <v>3004</v>
      </c>
      <c r="C28" s="276" t="s">
        <v>3005</v>
      </c>
      <c r="D28" s="275" t="s">
        <v>3054</v>
      </c>
      <c r="E28" s="282">
        <f>880711-3974*5</f>
        <v>860841</v>
      </c>
      <c r="F28" s="277" t="s">
        <v>3055</v>
      </c>
      <c r="G28" s="278">
        <v>16.483</v>
      </c>
    </row>
    <row r="29">
      <c r="A29" s="275" t="s">
        <v>337</v>
      </c>
      <c r="B29" s="276" t="s">
        <v>3024</v>
      </c>
      <c r="C29" s="276" t="s">
        <v>3013</v>
      </c>
      <c r="D29" s="275" t="s">
        <v>3056</v>
      </c>
      <c r="E29" s="277">
        <v>1053425.0</v>
      </c>
      <c r="F29" s="277">
        <v>27722.0</v>
      </c>
      <c r="G29" s="278">
        <v>16.883</v>
      </c>
    </row>
    <row r="30">
      <c r="A30" s="276" t="s">
        <v>493</v>
      </c>
      <c r="B30" s="276" t="s">
        <v>3024</v>
      </c>
      <c r="C30" s="276" t="s">
        <v>3013</v>
      </c>
      <c r="D30" s="276" t="s">
        <v>496</v>
      </c>
      <c r="E30" s="277">
        <v>1021905.0</v>
      </c>
      <c r="F30" s="277">
        <v>6029.0</v>
      </c>
      <c r="G30" s="278">
        <v>18.25</v>
      </c>
    </row>
    <row r="31">
      <c r="A31" s="276" t="s">
        <v>573</v>
      </c>
      <c r="B31" s="276" t="s">
        <v>3033</v>
      </c>
      <c r="C31" s="276" t="s">
        <v>3013</v>
      </c>
      <c r="D31" s="275" t="s">
        <v>3057</v>
      </c>
      <c r="E31" s="277">
        <v>1562773.0</v>
      </c>
      <c r="F31" s="277">
        <v>6033.0</v>
      </c>
      <c r="G31" s="278">
        <v>18.617</v>
      </c>
    </row>
    <row r="32">
      <c r="A32" s="275" t="s">
        <v>3058</v>
      </c>
      <c r="B32" s="276" t="s">
        <v>3004</v>
      </c>
      <c r="C32" s="276" t="s">
        <v>3059</v>
      </c>
      <c r="D32" s="275" t="s">
        <v>3060</v>
      </c>
      <c r="E32" s="277">
        <v>829130.0</v>
      </c>
      <c r="F32" s="277" t="s">
        <v>3061</v>
      </c>
      <c r="G32" s="278">
        <v>21.433</v>
      </c>
    </row>
    <row r="33">
      <c r="A33" s="283" t="s">
        <v>419</v>
      </c>
      <c r="B33" s="276" t="s">
        <v>3033</v>
      </c>
      <c r="C33" s="276" t="s">
        <v>3013</v>
      </c>
      <c r="D33" s="283" t="s">
        <v>3062</v>
      </c>
      <c r="E33" s="277">
        <v>2427612.0</v>
      </c>
      <c r="F33" s="277">
        <v>57785.0</v>
      </c>
      <c r="G33" s="278">
        <v>21.917</v>
      </c>
    </row>
    <row r="34">
      <c r="A34" s="276" t="s">
        <v>666</v>
      </c>
      <c r="B34" s="276" t="s">
        <v>3004</v>
      </c>
      <c r="C34" s="276" t="s">
        <v>3005</v>
      </c>
      <c r="D34" s="276" t="s">
        <v>3043</v>
      </c>
      <c r="E34" s="277">
        <v>631563.0</v>
      </c>
      <c r="F34" s="277">
        <v>5391.0</v>
      </c>
      <c r="G34" s="278">
        <v>22.033</v>
      </c>
    </row>
    <row r="35">
      <c r="A35" s="275" t="s">
        <v>579</v>
      </c>
      <c r="B35" s="276" t="s">
        <v>3033</v>
      </c>
      <c r="C35" s="276" t="s">
        <v>3013</v>
      </c>
      <c r="D35" s="275" t="s">
        <v>3063</v>
      </c>
      <c r="E35" s="277">
        <f>4083227-335859</f>
        <v>3747368</v>
      </c>
      <c r="F35" s="277" t="s">
        <v>3064</v>
      </c>
      <c r="G35" s="278">
        <v>23.033</v>
      </c>
    </row>
    <row r="36">
      <c r="A36" s="276" t="s">
        <v>899</v>
      </c>
      <c r="B36" s="276" t="s">
        <v>3004</v>
      </c>
      <c r="C36" s="276" t="s">
        <v>3059</v>
      </c>
      <c r="D36" s="276" t="s">
        <v>3065</v>
      </c>
      <c r="E36" s="277">
        <v>1678638.0</v>
      </c>
      <c r="F36" s="277" t="s">
        <v>3066</v>
      </c>
      <c r="G36" s="278">
        <v>28.117</v>
      </c>
    </row>
    <row r="37">
      <c r="A37" s="284" t="s">
        <v>701</v>
      </c>
      <c r="B37" s="276" t="s">
        <v>3004</v>
      </c>
      <c r="C37" s="276" t="s">
        <v>3005</v>
      </c>
      <c r="D37" s="276" t="s">
        <v>3043</v>
      </c>
      <c r="E37" s="277">
        <v>775156.0</v>
      </c>
      <c r="F37" s="277">
        <v>1713.0</v>
      </c>
      <c r="G37" s="278">
        <v>28.133</v>
      </c>
    </row>
    <row r="38">
      <c r="A38" s="276" t="s">
        <v>563</v>
      </c>
      <c r="B38" s="276" t="s">
        <v>3033</v>
      </c>
      <c r="C38" s="276" t="s">
        <v>3005</v>
      </c>
      <c r="D38" s="275" t="s">
        <v>3067</v>
      </c>
      <c r="E38" s="277">
        <v>3139040.0</v>
      </c>
      <c r="F38" s="277">
        <v>34391.0</v>
      </c>
      <c r="G38" s="278">
        <v>29.85</v>
      </c>
    </row>
  </sheetData>
  <autoFilter ref="$A$1:$G$38">
    <sortState ref="A1:G38">
      <sortCondition ref="G1:G38"/>
    </sortState>
  </autoFilter>
  <mergeCells count="3">
    <mergeCell ref="H2:H8"/>
    <mergeCell ref="H9:H14"/>
    <mergeCell ref="H15:H38"/>
  </mergeCells>
  <conditionalFormatting sqref="B2:B38">
    <cfRule type="cellIs" dxfId="12" priority="1" operator="equal">
      <formula>"Power"</formula>
    </cfRule>
  </conditionalFormatting>
  <conditionalFormatting sqref="B2:B38">
    <cfRule type="cellIs" dxfId="8" priority="2" operator="equal">
      <formula>"Primary"</formula>
    </cfRule>
  </conditionalFormatting>
  <conditionalFormatting sqref="B2:B38">
    <cfRule type="cellIs" dxfId="13" priority="3" operator="equal">
      <formula>"Special"</formula>
    </cfRule>
  </conditionalFormatting>
  <conditionalFormatting sqref="C2:C38">
    <cfRule type="cellIs" dxfId="14" priority="4" operator="equal">
      <formula>"Hunter"</formula>
    </cfRule>
  </conditionalFormatting>
  <conditionalFormatting sqref="C2:C38">
    <cfRule type="cellIs" dxfId="15" priority="5" operator="equal">
      <formula>"Warlock"</formula>
    </cfRule>
  </conditionalFormatting>
  <conditionalFormatting sqref="C2:C38">
    <cfRule type="cellIs" dxfId="9" priority="6" operator="equal">
      <formula>"Titan"</formula>
    </cfRule>
  </conditionalFormatting>
  <conditionalFormatting sqref="G2:G38">
    <cfRule type="colorScale" priority="7">
      <colorScale>
        <cfvo type="min"/>
        <cfvo type="percentile" val="50"/>
        <cfvo type="max"/>
        <color rgb="FF57BB8A"/>
        <color rgb="FFFFD666"/>
        <color rgb="FFE67C73"/>
      </colorScale>
    </cfRule>
  </conditionalFormatting>
  <conditionalFormatting sqref="E2:E38">
    <cfRule type="colorScale" priority="8">
      <colorScale>
        <cfvo type="min"/>
        <cfvo type="percentile" val="50"/>
        <cfvo type="max"/>
        <color rgb="FF57BB8A"/>
        <color rgb="FFFFD666"/>
        <color rgb="FFE67C73"/>
      </colorScale>
    </cfRule>
  </conditionalFormatting>
  <hyperlinks>
    <hyperlink r:id="rId2" ref="H2"/>
    <hyperlink r:id="rId3" ref="H15"/>
  </hyperlinks>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25"/>
    <col customWidth="1" min="2" max="2" width="39.63"/>
    <col customWidth="1" min="3" max="9" width="11.38"/>
  </cols>
  <sheetData>
    <row r="1" ht="33.75" customHeight="1">
      <c r="A1" s="285" t="s">
        <v>3068</v>
      </c>
      <c r="B1" s="285" t="s">
        <v>3069</v>
      </c>
      <c r="C1" s="286" t="s">
        <v>3070</v>
      </c>
      <c r="D1" s="286" t="s">
        <v>3071</v>
      </c>
      <c r="E1" s="287" t="s">
        <v>3072</v>
      </c>
      <c r="F1" s="287" t="s">
        <v>3073</v>
      </c>
      <c r="G1" s="288" t="s">
        <v>3074</v>
      </c>
      <c r="H1" s="287" t="s">
        <v>3075</v>
      </c>
      <c r="I1" s="289" t="s">
        <v>3076</v>
      </c>
    </row>
    <row r="2">
      <c r="A2" s="290" t="s">
        <v>3077</v>
      </c>
      <c r="B2" s="291" t="s">
        <v>3078</v>
      </c>
      <c r="C2" s="292">
        <f>0.733/8</f>
        <v>0.091625</v>
      </c>
      <c r="D2" s="292">
        <f t="shared" ref="D2:D5" si="1">IFERROR(1/C2,"")</f>
        <v>10.91405184</v>
      </c>
      <c r="E2" s="293" t="s">
        <v>582</v>
      </c>
      <c r="F2" s="293">
        <f t="shared" ref="F2:F25" si="2">IFERROR(43386*1.3/10/C2,"")</f>
        <v>61557.21692</v>
      </c>
      <c r="G2" s="294" t="s">
        <v>582</v>
      </c>
      <c r="H2" s="293">
        <f t="shared" ref="H2:H25" si="3">IF(F2=0,"",F2*2.5)</f>
        <v>153893.0423</v>
      </c>
      <c r="I2" s="294" t="s">
        <v>582</v>
      </c>
    </row>
    <row r="3">
      <c r="A3" s="290" t="s">
        <v>413</v>
      </c>
      <c r="B3" s="291" t="s">
        <v>3079</v>
      </c>
      <c r="C3" s="292">
        <f>4.367/30</f>
        <v>0.1455666667</v>
      </c>
      <c r="D3" s="292">
        <f t="shared" si="1"/>
        <v>6.869704603</v>
      </c>
      <c r="E3" s="293" t="s">
        <v>582</v>
      </c>
      <c r="F3" s="293">
        <f t="shared" si="2"/>
        <v>38746.37051</v>
      </c>
      <c r="G3" s="294" t="s">
        <v>582</v>
      </c>
      <c r="H3" s="293">
        <f t="shared" si="3"/>
        <v>96865.92627</v>
      </c>
      <c r="I3" s="294" t="s">
        <v>582</v>
      </c>
    </row>
    <row r="4">
      <c r="A4" s="290" t="s">
        <v>413</v>
      </c>
      <c r="B4" s="291" t="s">
        <v>3080</v>
      </c>
      <c r="C4" s="292">
        <f>1.017/6</f>
        <v>0.1695</v>
      </c>
      <c r="D4" s="292">
        <f t="shared" si="1"/>
        <v>5.899705015</v>
      </c>
      <c r="E4" s="293" t="s">
        <v>582</v>
      </c>
      <c r="F4" s="293">
        <f t="shared" si="2"/>
        <v>33275.39823</v>
      </c>
      <c r="G4" s="294" t="s">
        <v>582</v>
      </c>
      <c r="H4" s="293">
        <f t="shared" si="3"/>
        <v>83188.49558</v>
      </c>
      <c r="I4" s="294" t="s">
        <v>582</v>
      </c>
    </row>
    <row r="5">
      <c r="A5" s="290" t="s">
        <v>734</v>
      </c>
      <c r="B5" s="291" t="s">
        <v>3081</v>
      </c>
      <c r="C5" s="292">
        <f>1.233/7</f>
        <v>0.1761428571</v>
      </c>
      <c r="D5" s="292">
        <f t="shared" si="1"/>
        <v>5.677210057</v>
      </c>
      <c r="E5" s="293">
        <f>(19214*1.25*1.3*1.22+4856*1.3)/1.217</f>
        <v>36486.89811</v>
      </c>
      <c r="F5" s="293">
        <f t="shared" si="2"/>
        <v>32020.48662</v>
      </c>
      <c r="G5" s="294">
        <f t="shared" ref="G5:G21" si="4">IFERROR(((F5+E5)/E5)-1,"")</f>
        <v>0.8775886216</v>
      </c>
      <c r="H5" s="293">
        <f t="shared" si="3"/>
        <v>80051.21655</v>
      </c>
      <c r="I5" s="294">
        <f t="shared" ref="I5:I21" si="5">IFERROR(((H5+E5)/E5)-1,"")</f>
        <v>2.193971554</v>
      </c>
    </row>
    <row r="6">
      <c r="A6" s="290" t="s">
        <v>29</v>
      </c>
      <c r="B6" s="291" t="s">
        <v>3082</v>
      </c>
      <c r="C6" s="292">
        <f t="shared" ref="C6:C7" si="6">1/D6</f>
        <v>0.1977839335</v>
      </c>
      <c r="D6" s="292">
        <v>5.0560224089635835</v>
      </c>
      <c r="E6" s="295">
        <v>182956.8898015578</v>
      </c>
      <c r="F6" s="293">
        <f t="shared" si="2"/>
        <v>28516.87647</v>
      </c>
      <c r="G6" s="294">
        <f t="shared" si="4"/>
        <v>0.1558666443</v>
      </c>
      <c r="H6" s="293">
        <f t="shared" si="3"/>
        <v>71292.19118</v>
      </c>
      <c r="I6" s="294">
        <f t="shared" si="5"/>
        <v>0.3896666108</v>
      </c>
    </row>
    <row r="7">
      <c r="A7" s="290" t="s">
        <v>29</v>
      </c>
      <c r="B7" s="291" t="s">
        <v>3083</v>
      </c>
      <c r="C7" s="292">
        <f t="shared" si="6"/>
        <v>0.2000133342</v>
      </c>
      <c r="D7" s="292">
        <v>4.99966666666667</v>
      </c>
      <c r="E7" s="295">
        <v>158057.2520333836</v>
      </c>
      <c r="F7" s="293">
        <f t="shared" si="2"/>
        <v>28199.01994</v>
      </c>
      <c r="G7" s="294">
        <f t="shared" si="4"/>
        <v>0.178410162</v>
      </c>
      <c r="H7" s="293">
        <f t="shared" si="3"/>
        <v>70497.54985</v>
      </c>
      <c r="I7" s="294">
        <f t="shared" si="5"/>
        <v>0.446025405</v>
      </c>
    </row>
    <row r="8">
      <c r="A8" s="290" t="s">
        <v>3084</v>
      </c>
      <c r="B8" s="291" t="s">
        <v>3085</v>
      </c>
      <c r="C8" s="292">
        <f>8.55/40</f>
        <v>0.21375</v>
      </c>
      <c r="D8" s="292">
        <f>IFERROR(1/C8,"")</f>
        <v>4.678362573</v>
      </c>
      <c r="E8" s="295">
        <v>81182.49056737755</v>
      </c>
      <c r="F8" s="293">
        <f t="shared" si="2"/>
        <v>26386.80702</v>
      </c>
      <c r="G8" s="294">
        <f t="shared" si="4"/>
        <v>0.325030765</v>
      </c>
      <c r="H8" s="293">
        <f t="shared" si="3"/>
        <v>65967.01754</v>
      </c>
      <c r="I8" s="294">
        <f t="shared" si="5"/>
        <v>0.8125769126</v>
      </c>
    </row>
    <row r="9">
      <c r="A9" s="290" t="s">
        <v>315</v>
      </c>
      <c r="B9" s="291" t="s">
        <v>3086</v>
      </c>
      <c r="C9" s="292">
        <f>1/D9</f>
        <v>0.2166199274</v>
      </c>
      <c r="D9" s="292">
        <v>4.616380458686774</v>
      </c>
      <c r="E9" s="293">
        <f>117389*1.3*1.25*1.22*1.3/1.083</f>
        <v>279354.3862</v>
      </c>
      <c r="F9" s="293">
        <f t="shared" si="2"/>
        <v>26037.21674</v>
      </c>
      <c r="G9" s="294">
        <f t="shared" si="4"/>
        <v>0.09320496839</v>
      </c>
      <c r="H9" s="293">
        <f t="shared" si="3"/>
        <v>65093.04184</v>
      </c>
      <c r="I9" s="294">
        <f t="shared" si="5"/>
        <v>0.233012421</v>
      </c>
    </row>
    <row r="10">
      <c r="A10" s="290" t="s">
        <v>362</v>
      </c>
      <c r="B10" s="291" t="s">
        <v>3087</v>
      </c>
      <c r="C10" s="292">
        <v>0.21897287152363074</v>
      </c>
      <c r="D10" s="292">
        <v>4.566775751908993</v>
      </c>
      <c r="E10" s="295">
        <v>161937.2175473519</v>
      </c>
      <c r="F10" s="293">
        <f t="shared" si="2"/>
        <v>25757.43726</v>
      </c>
      <c r="G10" s="294">
        <f t="shared" si="4"/>
        <v>0.1590581687</v>
      </c>
      <c r="H10" s="293">
        <f t="shared" si="3"/>
        <v>64393.59315</v>
      </c>
      <c r="I10" s="294">
        <f t="shared" si="5"/>
        <v>0.3976454216</v>
      </c>
    </row>
    <row r="11">
      <c r="A11" s="290" t="s">
        <v>734</v>
      </c>
      <c r="B11" s="291" t="s">
        <v>3088</v>
      </c>
      <c r="C11" s="292">
        <f>1.217/5</f>
        <v>0.2434</v>
      </c>
      <c r="D11" s="292">
        <f t="shared" ref="D11:D25" si="7">IFERROR(1/C11,"")</f>
        <v>4.108463435</v>
      </c>
      <c r="E11" s="293">
        <f>19214*1.25*1.3*1.22/1.217</f>
        <v>31299.71652</v>
      </c>
      <c r="F11" s="293">
        <f t="shared" si="2"/>
        <v>23172.47329</v>
      </c>
      <c r="G11" s="294">
        <f t="shared" si="4"/>
        <v>0.7403413153</v>
      </c>
      <c r="H11" s="293">
        <f t="shared" si="3"/>
        <v>57931.18324</v>
      </c>
      <c r="I11" s="294">
        <f t="shared" si="5"/>
        <v>1.850853288</v>
      </c>
    </row>
    <row r="12">
      <c r="A12" s="290" t="s">
        <v>3084</v>
      </c>
      <c r="B12" s="291" t="s">
        <v>3080</v>
      </c>
      <c r="C12" s="292">
        <f>2.85/10</f>
        <v>0.285</v>
      </c>
      <c r="D12" s="292">
        <f t="shared" si="7"/>
        <v>3.50877193</v>
      </c>
      <c r="E12" s="295">
        <v>81182.49056737755</v>
      </c>
      <c r="F12" s="293">
        <f t="shared" si="2"/>
        <v>19790.10526</v>
      </c>
      <c r="G12" s="294">
        <f t="shared" si="4"/>
        <v>0.2437730738</v>
      </c>
      <c r="H12" s="293">
        <f t="shared" si="3"/>
        <v>49475.26316</v>
      </c>
      <c r="I12" s="294">
        <f t="shared" si="5"/>
        <v>0.6094326845</v>
      </c>
    </row>
    <row r="13">
      <c r="A13" s="290" t="s">
        <v>533</v>
      </c>
      <c r="B13" s="291" t="s">
        <v>3089</v>
      </c>
      <c r="C13" s="292">
        <f t="shared" ref="C13:C14" si="8">2.467/8</f>
        <v>0.308375</v>
      </c>
      <c r="D13" s="292">
        <f t="shared" si="7"/>
        <v>3.242805026</v>
      </c>
      <c r="E13" s="293">
        <v>61751.88243336981</v>
      </c>
      <c r="F13" s="293">
        <f t="shared" si="2"/>
        <v>18290.00405</v>
      </c>
      <c r="G13" s="294">
        <f t="shared" si="4"/>
        <v>0.2961853685</v>
      </c>
      <c r="H13" s="293">
        <f t="shared" si="3"/>
        <v>45725.01013</v>
      </c>
      <c r="I13" s="294">
        <f t="shared" si="5"/>
        <v>0.7404634212</v>
      </c>
    </row>
    <row r="14">
      <c r="A14" s="290" t="s">
        <v>447</v>
      </c>
      <c r="B14" s="291" t="s">
        <v>3080</v>
      </c>
      <c r="C14" s="292">
        <f t="shared" si="8"/>
        <v>0.308375</v>
      </c>
      <c r="D14" s="292">
        <f t="shared" si="7"/>
        <v>3.242805026</v>
      </c>
      <c r="E14" s="295">
        <v>154630.495943022</v>
      </c>
      <c r="F14" s="293">
        <f t="shared" si="2"/>
        <v>18290.00405</v>
      </c>
      <c r="G14" s="294">
        <f t="shared" si="4"/>
        <v>0.1182819983</v>
      </c>
      <c r="H14" s="293">
        <f t="shared" si="3"/>
        <v>45725.01013</v>
      </c>
      <c r="I14" s="294">
        <f t="shared" si="5"/>
        <v>0.2957049957</v>
      </c>
    </row>
    <row r="15">
      <c r="A15" s="290" t="s">
        <v>330</v>
      </c>
      <c r="B15" s="291" t="s">
        <v>3087</v>
      </c>
      <c r="C15" s="292">
        <f>2.217/7</f>
        <v>0.3167142857</v>
      </c>
      <c r="D15" s="292">
        <f t="shared" si="7"/>
        <v>3.157419937</v>
      </c>
      <c r="E15" s="295">
        <v>176214.08316476166</v>
      </c>
      <c r="F15" s="293">
        <f t="shared" si="2"/>
        <v>17808.41678</v>
      </c>
      <c r="G15" s="294">
        <f t="shared" si="4"/>
        <v>0.1010612572</v>
      </c>
      <c r="H15" s="293">
        <f t="shared" si="3"/>
        <v>44521.04195</v>
      </c>
      <c r="I15" s="294">
        <f t="shared" si="5"/>
        <v>0.252653143</v>
      </c>
    </row>
    <row r="16">
      <c r="A16" s="290" t="s">
        <v>3090</v>
      </c>
      <c r="B16" s="291" t="s">
        <v>3091</v>
      </c>
      <c r="C16" s="292">
        <f>1.8/5</f>
        <v>0.36</v>
      </c>
      <c r="D16" s="292">
        <f t="shared" si="7"/>
        <v>2.777777778</v>
      </c>
      <c r="E16" s="295">
        <v>132700.31684890436</v>
      </c>
      <c r="F16" s="293">
        <f t="shared" si="2"/>
        <v>15667.16667</v>
      </c>
      <c r="G16" s="294">
        <f t="shared" si="4"/>
        <v>0.1180642747</v>
      </c>
      <c r="H16" s="293">
        <f t="shared" si="3"/>
        <v>39167.91667</v>
      </c>
      <c r="I16" s="294">
        <f t="shared" si="5"/>
        <v>0.2951606869</v>
      </c>
    </row>
    <row r="17">
      <c r="A17" s="290" t="s">
        <v>377</v>
      </c>
      <c r="B17" s="291"/>
      <c r="C17" s="292">
        <f>2.933/6</f>
        <v>0.4888333333</v>
      </c>
      <c r="D17" s="292">
        <f t="shared" si="7"/>
        <v>2.04568701</v>
      </c>
      <c r="E17" s="295">
        <v>20950.274628221916</v>
      </c>
      <c r="F17" s="293">
        <f t="shared" si="2"/>
        <v>11538.04296</v>
      </c>
      <c r="G17" s="294">
        <f t="shared" si="4"/>
        <v>0.5507346879</v>
      </c>
      <c r="H17" s="293">
        <f t="shared" si="3"/>
        <v>28845.1074</v>
      </c>
      <c r="I17" s="294">
        <f t="shared" si="5"/>
        <v>1.37683672</v>
      </c>
    </row>
    <row r="18">
      <c r="A18" s="290" t="s">
        <v>527</v>
      </c>
      <c r="B18" s="291" t="s">
        <v>844</v>
      </c>
      <c r="C18" s="292">
        <f>3.483/7</f>
        <v>0.4975714286</v>
      </c>
      <c r="D18" s="292">
        <f t="shared" si="7"/>
        <v>2.0097617</v>
      </c>
      <c r="E18" s="295">
        <v>20756.486270677164</v>
      </c>
      <c r="F18" s="293">
        <f t="shared" si="2"/>
        <v>11335.41774</v>
      </c>
      <c r="G18" s="294">
        <f t="shared" si="4"/>
        <v>0.5461144818</v>
      </c>
      <c r="H18" s="293">
        <f t="shared" si="3"/>
        <v>28338.54436</v>
      </c>
      <c r="I18" s="294">
        <f t="shared" si="5"/>
        <v>1.365286204</v>
      </c>
    </row>
    <row r="19">
      <c r="A19" s="290" t="s">
        <v>1437</v>
      </c>
      <c r="B19" s="291" t="s">
        <v>3080</v>
      </c>
      <c r="C19" s="292">
        <v>0.5</v>
      </c>
      <c r="D19" s="292">
        <f t="shared" si="7"/>
        <v>2</v>
      </c>
      <c r="E19" s="295">
        <v>12092.6</v>
      </c>
      <c r="F19" s="293">
        <f t="shared" si="2"/>
        <v>11280.36</v>
      </c>
      <c r="G19" s="294">
        <f t="shared" si="4"/>
        <v>0.9328316491</v>
      </c>
      <c r="H19" s="293">
        <f t="shared" si="3"/>
        <v>28200.9</v>
      </c>
      <c r="I19" s="294">
        <f t="shared" si="5"/>
        <v>2.332079123</v>
      </c>
    </row>
    <row r="20">
      <c r="A20" s="290" t="s">
        <v>986</v>
      </c>
      <c r="B20" s="296"/>
      <c r="C20" s="292">
        <f>4.117/8</f>
        <v>0.514625</v>
      </c>
      <c r="D20" s="292">
        <f t="shared" si="7"/>
        <v>1.943162497</v>
      </c>
      <c r="E20" s="295">
        <v>174682.2035920374</v>
      </c>
      <c r="F20" s="293">
        <f t="shared" si="2"/>
        <v>10959.78625</v>
      </c>
      <c r="G20" s="294">
        <f t="shared" si="4"/>
        <v>0.0627412869</v>
      </c>
      <c r="H20" s="293">
        <f t="shared" si="3"/>
        <v>27399.46563</v>
      </c>
      <c r="I20" s="294">
        <f t="shared" si="5"/>
        <v>0.1568532173</v>
      </c>
    </row>
    <row r="21">
      <c r="A21" s="290" t="s">
        <v>559</v>
      </c>
      <c r="B21" s="291" t="s">
        <v>3092</v>
      </c>
      <c r="C21" s="292">
        <f>1.683/3</f>
        <v>0.561</v>
      </c>
      <c r="D21" s="292">
        <f t="shared" si="7"/>
        <v>1.782531194</v>
      </c>
      <c r="E21" s="295">
        <v>41842.232565011815</v>
      </c>
      <c r="F21" s="293">
        <f t="shared" si="2"/>
        <v>10053.79679</v>
      </c>
      <c r="G21" s="294">
        <f t="shared" si="4"/>
        <v>0.2402786891</v>
      </c>
      <c r="H21" s="293">
        <f t="shared" si="3"/>
        <v>25134.49198</v>
      </c>
      <c r="I21" s="294">
        <f t="shared" si="5"/>
        <v>0.6006967229</v>
      </c>
    </row>
    <row r="22">
      <c r="A22" s="290" t="s">
        <v>3077</v>
      </c>
      <c r="B22" s="291" t="s">
        <v>3093</v>
      </c>
      <c r="C22" s="292">
        <v>0.6</v>
      </c>
      <c r="D22" s="292">
        <f t="shared" si="7"/>
        <v>1.666666667</v>
      </c>
      <c r="E22" s="293" t="s">
        <v>582</v>
      </c>
      <c r="F22" s="293">
        <f t="shared" si="2"/>
        <v>9400.3</v>
      </c>
      <c r="G22" s="290" t="s">
        <v>582</v>
      </c>
      <c r="H22" s="293">
        <f t="shared" si="3"/>
        <v>23500.75</v>
      </c>
      <c r="I22" s="294" t="s">
        <v>582</v>
      </c>
    </row>
    <row r="23">
      <c r="A23" s="290" t="s">
        <v>429</v>
      </c>
      <c r="B23" s="291" t="s">
        <v>3094</v>
      </c>
      <c r="C23" s="292">
        <f>3.817/5</f>
        <v>0.7634</v>
      </c>
      <c r="D23" s="292">
        <f t="shared" si="7"/>
        <v>1.309929264</v>
      </c>
      <c r="E23" s="295">
        <v>45519.66640173753</v>
      </c>
      <c r="F23" s="293">
        <f t="shared" si="2"/>
        <v>7388.236835</v>
      </c>
      <c r="G23" s="294">
        <f t="shared" ref="G23:G25" si="9">IFERROR(((F23+E23)/E23)-1,"")</f>
        <v>0.1623086771</v>
      </c>
      <c r="H23" s="293">
        <f t="shared" si="3"/>
        <v>18470.59209</v>
      </c>
      <c r="I23" s="294">
        <f t="shared" ref="I23:I25" si="10">IFERROR(((H23+E23)/E23)-1,"")</f>
        <v>0.4057716927</v>
      </c>
    </row>
    <row r="24">
      <c r="A24" s="290" t="s">
        <v>527</v>
      </c>
      <c r="B24" s="291" t="s">
        <v>1428</v>
      </c>
      <c r="C24" s="292">
        <f>5.65/5</f>
        <v>1.13</v>
      </c>
      <c r="D24" s="292">
        <f t="shared" si="7"/>
        <v>0.8849557522</v>
      </c>
      <c r="E24" s="295">
        <v>20263.506100004186</v>
      </c>
      <c r="F24" s="293">
        <f t="shared" si="2"/>
        <v>4991.309735</v>
      </c>
      <c r="G24" s="294">
        <f t="shared" si="9"/>
        <v>0.2463201437</v>
      </c>
      <c r="H24" s="293">
        <f t="shared" si="3"/>
        <v>12478.27434</v>
      </c>
      <c r="I24" s="294">
        <f t="shared" si="10"/>
        <v>0.6158003593</v>
      </c>
    </row>
    <row r="25">
      <c r="A25" s="290" t="s">
        <v>375</v>
      </c>
      <c r="B25" s="291" t="s">
        <v>3095</v>
      </c>
      <c r="C25" s="292">
        <f>3.45/3</f>
        <v>1.15</v>
      </c>
      <c r="D25" s="292">
        <f t="shared" si="7"/>
        <v>0.8695652174</v>
      </c>
      <c r="E25" s="295">
        <v>275615.3984938814</v>
      </c>
      <c r="F25" s="293">
        <f t="shared" si="2"/>
        <v>4904.504348</v>
      </c>
      <c r="G25" s="294">
        <f t="shared" si="9"/>
        <v>0.01779473997</v>
      </c>
      <c r="H25" s="293">
        <f t="shared" si="3"/>
        <v>12261.26087</v>
      </c>
      <c r="I25" s="294">
        <f t="shared" si="10"/>
        <v>0.04448684992</v>
      </c>
    </row>
  </sheetData>
  <autoFilter ref="$A$1:$I$25">
    <sortState ref="A1:I25">
      <sortCondition descending="1" ref="F1:F25"/>
      <sortCondition ref="A1:A25"/>
    </sortState>
  </autoFilter>
  <conditionalFormatting sqref="F2:F25">
    <cfRule type="colorScale" priority="1">
      <colorScale>
        <cfvo type="min"/>
        <cfvo type="percentile" val="50"/>
        <cfvo type="max"/>
        <color rgb="FFE67C73"/>
        <color rgb="FFFFD666"/>
        <color rgb="FF57BB8A"/>
      </colorScale>
    </cfRule>
  </conditionalFormatting>
  <conditionalFormatting sqref="E2:E25">
    <cfRule type="colorScale" priority="2">
      <colorScale>
        <cfvo type="min"/>
        <cfvo type="percentile" val="50"/>
        <cfvo type="max"/>
        <color rgb="FFE67C73"/>
        <color rgb="FFFFD666"/>
        <color rgb="FF57BB8A"/>
      </colorScale>
    </cfRule>
  </conditionalFormatting>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42.25"/>
    <col customWidth="1" min="3" max="3" width="12.5"/>
    <col customWidth="1" min="4" max="5" width="7.63"/>
    <col customWidth="1" min="6" max="6" width="9.88"/>
    <col customWidth="1" min="7" max="7" width="9.0"/>
    <col customWidth="1" min="8" max="8" width="9.88"/>
  </cols>
  <sheetData>
    <row r="1" ht="30.0" customHeight="1">
      <c r="A1" s="108" t="s">
        <v>295</v>
      </c>
      <c r="B1" s="108" t="s">
        <v>640</v>
      </c>
      <c r="C1" s="155" t="s">
        <v>3096</v>
      </c>
      <c r="D1" s="155" t="s">
        <v>1638</v>
      </c>
      <c r="E1" s="155" t="s">
        <v>3003</v>
      </c>
      <c r="F1" s="155" t="s">
        <v>1744</v>
      </c>
      <c r="G1" s="155" t="s">
        <v>1747</v>
      </c>
      <c r="H1" s="155" t="s">
        <v>1675</v>
      </c>
    </row>
    <row r="2" ht="45.0" customHeight="1">
      <c r="A2" s="50" t="s">
        <v>3097</v>
      </c>
      <c r="B2" s="297" t="s">
        <v>3098</v>
      </c>
      <c r="C2" s="117" t="s">
        <v>3099</v>
      </c>
      <c r="D2" s="49"/>
      <c r="E2" s="158" t="s">
        <v>582</v>
      </c>
      <c r="F2" s="298" t="s">
        <v>582</v>
      </c>
      <c r="G2" s="299" t="s">
        <v>1757</v>
      </c>
      <c r="H2" s="300" t="s">
        <v>3100</v>
      </c>
    </row>
    <row r="3" ht="45.0" customHeight="1">
      <c r="A3" s="50" t="s">
        <v>3101</v>
      </c>
      <c r="B3" s="297" t="s">
        <v>3102</v>
      </c>
      <c r="C3" s="117" t="s">
        <v>3103</v>
      </c>
      <c r="D3" s="49"/>
      <c r="E3" s="158">
        <v>0.275</v>
      </c>
      <c r="F3" s="301">
        <f>(21969*2.095134319/1.25/1.1)*(1+4+1.6)*1.3*1.1*1.3*1.22*1.1*2*1.1*1.3*1.35</f>
        <v>2128115.056</v>
      </c>
      <c r="G3" s="299" t="s">
        <v>1757</v>
      </c>
      <c r="H3" s="299">
        <f t="shared" ref="H3:H7" si="1">F3/E3</f>
        <v>7738600.203</v>
      </c>
    </row>
    <row r="4" ht="45.0" customHeight="1">
      <c r="A4" s="50" t="s">
        <v>3104</v>
      </c>
      <c r="B4" s="302" t="s">
        <v>3105</v>
      </c>
      <c r="C4" s="50" t="s">
        <v>3106</v>
      </c>
      <c r="D4" s="49"/>
      <c r="E4" s="118">
        <v>2.183</v>
      </c>
      <c r="F4" s="301">
        <f>2*19405*22*1.3*2.2*3*7.5*2.3*1.25*1.4*1.5*1.6/(104237/2032)</f>
        <v>10346508.08</v>
      </c>
      <c r="G4" s="299" t="s">
        <v>1757</v>
      </c>
      <c r="H4" s="299">
        <f t="shared" si="1"/>
        <v>4739582.262</v>
      </c>
    </row>
    <row r="5" ht="45.0" customHeight="1">
      <c r="A5" s="50" t="s">
        <v>3107</v>
      </c>
      <c r="B5" s="297" t="s">
        <v>3108</v>
      </c>
      <c r="C5" s="117" t="s">
        <v>3109</v>
      </c>
      <c r="D5" s="49"/>
      <c r="E5" s="158">
        <v>1.083</v>
      </c>
      <c r="F5" s="301">
        <f>(156213-51479)*1.35*1.22*1.3/1.15*1.1*1.1</f>
        <v>235945.757</v>
      </c>
      <c r="G5" s="299" t="s">
        <v>1757</v>
      </c>
      <c r="H5" s="299">
        <f t="shared" si="1"/>
        <v>217863.1182</v>
      </c>
    </row>
    <row r="6" ht="45.0" customHeight="1">
      <c r="A6" s="50" t="s">
        <v>3110</v>
      </c>
      <c r="B6" s="302" t="s">
        <v>3111</v>
      </c>
      <c r="C6" s="50" t="s">
        <v>3112</v>
      </c>
      <c r="D6" s="49"/>
      <c r="E6" s="118">
        <v>1.767</v>
      </c>
      <c r="F6" s="301">
        <f>32963*1.3*2*7.5*3*2.3*1.4/(104237/2032)</f>
        <v>121043.1642</v>
      </c>
      <c r="G6" s="299" t="s">
        <v>1757</v>
      </c>
      <c r="H6" s="299">
        <f t="shared" si="1"/>
        <v>68502.0737</v>
      </c>
    </row>
    <row r="7" ht="45.0" customHeight="1">
      <c r="A7" s="50" t="s">
        <v>3113</v>
      </c>
      <c r="B7" s="297" t="s">
        <v>3114</v>
      </c>
      <c r="C7" s="117" t="s">
        <v>3115</v>
      </c>
      <c r="D7" s="49"/>
      <c r="E7" s="118">
        <v>1.5</v>
      </c>
      <c r="F7" s="301">
        <f>778*((1+1.5+4)*1.1)*2*1.3*1.65*1.3</f>
        <v>31023.1779</v>
      </c>
      <c r="G7" s="299" t="s">
        <v>1757</v>
      </c>
      <c r="H7" s="299">
        <f t="shared" si="1"/>
        <v>20682.1186</v>
      </c>
    </row>
    <row r="8" ht="45.0" customHeight="1">
      <c r="A8" s="50" t="s">
        <v>3116</v>
      </c>
      <c r="B8" s="302" t="s">
        <v>3117</v>
      </c>
      <c r="C8" s="50" t="s">
        <v>3118</v>
      </c>
      <c r="D8" s="44"/>
      <c r="E8" s="118">
        <f>5.667*2</f>
        <v>11.334</v>
      </c>
      <c r="F8" s="301">
        <f>1629896*1.35*1.3*1.25/(104237/2032)</f>
        <v>69702.57585</v>
      </c>
      <c r="G8" s="299">
        <f>F8*3</f>
        <v>209107.7276</v>
      </c>
      <c r="H8" s="299">
        <f>G8/E8</f>
        <v>18449.59657</v>
      </c>
    </row>
    <row r="9" ht="45.0" customHeight="1">
      <c r="A9" s="303" t="s">
        <v>3119</v>
      </c>
      <c r="B9" s="302" t="s">
        <v>3120</v>
      </c>
      <c r="C9" s="117" t="s">
        <v>3121</v>
      </c>
      <c r="D9" s="105"/>
      <c r="E9" s="118">
        <v>2.6</v>
      </c>
      <c r="F9" s="168">
        <f>3501.343*5*1.15*1.65</f>
        <v>33218.99171</v>
      </c>
      <c r="G9" s="299" t="s">
        <v>1757</v>
      </c>
      <c r="H9" s="299">
        <f>F9/E9</f>
        <v>12776.53527</v>
      </c>
    </row>
    <row r="10" ht="45.0" customHeight="1">
      <c r="A10" s="50" t="s">
        <v>3122</v>
      </c>
      <c r="B10" s="302" t="s">
        <v>3123</v>
      </c>
      <c r="C10" s="50" t="s">
        <v>3124</v>
      </c>
      <c r="D10" s="44"/>
      <c r="E10" s="118">
        <v>11.847</v>
      </c>
      <c r="F10" s="301">
        <f>134993*1.289*1.15*1.35*1.3*1.0777*1.22/(104237/2032)</f>
        <v>9001.163303</v>
      </c>
      <c r="G10" s="299">
        <f>10*F10</f>
        <v>90011.63303</v>
      </c>
      <c r="H10" s="299">
        <f>G10/E10</f>
        <v>7597.841904</v>
      </c>
    </row>
    <row r="11" ht="45.0" customHeight="1">
      <c r="A11" s="50" t="s">
        <v>3125</v>
      </c>
      <c r="B11" s="302" t="s">
        <v>3126</v>
      </c>
      <c r="C11" s="50" t="s">
        <v>3127</v>
      </c>
      <c r="D11" s="304"/>
      <c r="E11" s="118">
        <v>15.3</v>
      </c>
      <c r="F11" s="301">
        <f>4076463/(104237/2032)</f>
        <v>79466.7231</v>
      </c>
      <c r="G11" s="299" t="s">
        <v>1757</v>
      </c>
      <c r="H11" s="299">
        <f>F11/E11</f>
        <v>5193.903471</v>
      </c>
    </row>
    <row r="12" ht="45.0" customHeight="1">
      <c r="A12" s="50" t="s">
        <v>3128</v>
      </c>
      <c r="B12" s="302" t="s">
        <v>3129</v>
      </c>
      <c r="C12" s="50" t="s">
        <v>3130</v>
      </c>
      <c r="D12" s="44"/>
      <c r="E12" s="118">
        <f>1*37*0.366</f>
        <v>13.542</v>
      </c>
      <c r="F12" s="301">
        <f t="shared" ref="F12:G12" si="2">((175002*1.333*1.3*1.35*1.3*1.1)+19*(34506*1.35*1.3*1.0777*1.22)+19*(28588*1.35*1.3*1.0777*1.25*1.15))/(104237/2032)</f>
        <v>69692.07561</v>
      </c>
      <c r="G12" s="301">
        <f t="shared" si="2"/>
        <v>69692.07561</v>
      </c>
      <c r="H12" s="299">
        <f t="shared" ref="H12:H18" si="3">G12/E12</f>
        <v>5146.365058</v>
      </c>
    </row>
    <row r="13" ht="45.0" customHeight="1">
      <c r="A13" s="50" t="s">
        <v>3131</v>
      </c>
      <c r="B13" s="302" t="s">
        <v>3132</v>
      </c>
      <c r="C13" s="50" t="s">
        <v>3133</v>
      </c>
      <c r="D13" s="49"/>
      <c r="E13" s="118">
        <f>3.333*6</f>
        <v>19.998</v>
      </c>
      <c r="F13" s="301">
        <f>(115423*1.1016*1.25*1.35*1.3*1.22*1.1+28588*1.35*1.3*1.15*1.0777*1.1+3*51381*1.35*1.3*1.25*1.0777*1.1)/(104237/2032)</f>
        <v>16445.13429</v>
      </c>
      <c r="G13" s="299">
        <f>F13*6</f>
        <v>98670.80572</v>
      </c>
      <c r="H13" s="299">
        <f t="shared" si="3"/>
        <v>4934.033689</v>
      </c>
    </row>
    <row r="14" ht="45.0" customHeight="1">
      <c r="A14" s="50" t="s">
        <v>3134</v>
      </c>
      <c r="B14" s="302" t="s">
        <v>3135</v>
      </c>
      <c r="C14" s="50" t="s">
        <v>3136</v>
      </c>
      <c r="D14" s="44"/>
      <c r="E14" s="118">
        <f>2+0.433*42+0.783*3</f>
        <v>22.535</v>
      </c>
      <c r="F14" s="301">
        <f>((6*25917*1.15*1.0833*1.35*1.3*1.25*1.0777*1.1*1.1)+(6*25917*1.0833*1.35*1.3*1.25*1.0777*1.17*1.1)+(175002*1.333*1.3*1.35*1.3*1.17*1.1))/(104237/2032)</f>
        <v>34148.05455</v>
      </c>
      <c r="G14" s="299">
        <f>(3.5*(6*25917*1.15*1.0833*1.35*1.3*1.25*1.0777*1.1*1.1)+3.5*(6*25917*1.0833*1.35*1.3*1.25*1.0777*1.17*1.1)+2*(175002*1.333*1.25*1.35*1.3*1.17*1.1))/(104237/2032)</f>
        <v>98461.7731</v>
      </c>
      <c r="H14" s="299">
        <f t="shared" si="3"/>
        <v>4369.282143</v>
      </c>
    </row>
    <row r="15" ht="45.0" customHeight="1">
      <c r="A15" s="50" t="s">
        <v>3137</v>
      </c>
      <c r="B15" s="302" t="s">
        <v>3138</v>
      </c>
      <c r="C15" s="50" t="s">
        <v>3106</v>
      </c>
      <c r="D15" s="49"/>
      <c r="E15" s="118">
        <v>21.951</v>
      </c>
      <c r="F15" s="301">
        <f>69648*1.25*1.35*1.4*1.3*1.1*1.25/(104237/2032)</f>
        <v>5733.612225</v>
      </c>
      <c r="G15" s="299">
        <f>F15*16</f>
        <v>91737.7956</v>
      </c>
      <c r="H15" s="299">
        <f t="shared" si="3"/>
        <v>4179.208036</v>
      </c>
    </row>
    <row r="16" ht="45.0" customHeight="1">
      <c r="A16" s="50" t="s">
        <v>3139</v>
      </c>
      <c r="B16" s="302" t="s">
        <v>3140</v>
      </c>
      <c r="C16" s="50" t="s">
        <v>3141</v>
      </c>
      <c r="D16" s="305"/>
      <c r="E16" s="118">
        <f>2.1*5</f>
        <v>10.5</v>
      </c>
      <c r="F16" s="301">
        <f>115423*1.1016*1.25*1.35*1.3*1.22*1.1/(104237/2032)</f>
        <v>7297.224959</v>
      </c>
      <c r="G16" s="299">
        <f>F16*6</f>
        <v>43783.34975</v>
      </c>
      <c r="H16" s="299">
        <f t="shared" si="3"/>
        <v>4169.842834</v>
      </c>
    </row>
    <row r="17" ht="45.0" customHeight="1">
      <c r="A17" s="50" t="s">
        <v>3142</v>
      </c>
      <c r="B17" s="302" t="s">
        <v>3143</v>
      </c>
      <c r="C17" s="50" t="s">
        <v>3144</v>
      </c>
      <c r="D17" s="49"/>
      <c r="E17" s="118">
        <f>0.5+1.416/1.4*12+1.766+1.416/1.4*9</f>
        <v>23.506</v>
      </c>
      <c r="F17" s="301">
        <f>48027*1.47*1.15*1.3*1.35*1.25*1.0777/(104237/2032)</f>
        <v>3741.859281</v>
      </c>
      <c r="G17" s="299">
        <f>F17*23</f>
        <v>86062.76346</v>
      </c>
      <c r="H17" s="299">
        <f t="shared" si="3"/>
        <v>3661.310451</v>
      </c>
    </row>
    <row r="18" ht="45.0" customHeight="1">
      <c r="A18" s="50" t="s">
        <v>3145</v>
      </c>
      <c r="B18" s="302" t="s">
        <v>3146</v>
      </c>
      <c r="C18" s="50" t="s">
        <v>3130</v>
      </c>
      <c r="D18" s="49"/>
      <c r="E18" s="118">
        <f>0.4*22</f>
        <v>8.8</v>
      </c>
      <c r="F18" s="301">
        <f>23*(25366*1.35*1.5*1.0777*1.25)/(104237/2032)</f>
        <v>31025.19698</v>
      </c>
      <c r="G18" s="299">
        <f>F18</f>
        <v>31025.19698</v>
      </c>
      <c r="H18" s="299">
        <f t="shared" si="3"/>
        <v>3525.590566</v>
      </c>
    </row>
    <row r="19" ht="45.0" customHeight="1">
      <c r="A19" s="50" t="s">
        <v>3147</v>
      </c>
      <c r="B19" s="302" t="s">
        <v>3148</v>
      </c>
      <c r="C19" s="50" t="s">
        <v>3133</v>
      </c>
      <c r="D19" s="49"/>
      <c r="E19" s="118">
        <f>2.616*22.5</f>
        <v>58.86</v>
      </c>
      <c r="F19" s="301">
        <f>((54990*1.316*1.176*1.35*1.3*1.0777*1.25*1.1*1.418*1.1)+2*(14664*1.176*1.35*1.3*1.0777*1.25*1.1*1.418*1.1))/(104237/2032)</f>
        <v>9457.027609</v>
      </c>
      <c r="G19" s="299">
        <f>(F19*23+(54990*1.316*1.176*1.35*1.3*1.0777*1.25*1.1*1.47*1.1))</f>
        <v>575389.3472</v>
      </c>
      <c r="H19" s="299">
        <f>F19/2.75</f>
        <v>3438.91913</v>
      </c>
    </row>
    <row r="20" ht="45.0" customHeight="1">
      <c r="A20" s="50" t="s">
        <v>3149</v>
      </c>
      <c r="B20" s="302" t="s">
        <v>3150</v>
      </c>
      <c r="C20" s="50" t="s">
        <v>3151</v>
      </c>
      <c r="D20" s="44"/>
      <c r="E20" s="118">
        <v>80.85</v>
      </c>
      <c r="F20" s="301">
        <f>2899*1.5555*1.35*1.3*1.22*1.0777/(104237/2032)</f>
        <v>202.84059</v>
      </c>
      <c r="G20" s="299">
        <f>F20*1234</f>
        <v>250305.2881</v>
      </c>
      <c r="H20" s="299">
        <f t="shared" ref="H20:H21" si="4">G20/E20</f>
        <v>3095.92193</v>
      </c>
    </row>
    <row r="21" ht="45.0" customHeight="1">
      <c r="A21" s="50" t="s">
        <v>3152</v>
      </c>
      <c r="B21" s="302" t="s">
        <v>3153</v>
      </c>
      <c r="C21" s="50" t="s">
        <v>3118</v>
      </c>
      <c r="D21" s="44"/>
      <c r="E21" s="118">
        <v>35.25</v>
      </c>
      <c r="F21" s="301">
        <f>1687399*1.1254*1.35*1.3*1.22/(104237/2032)</f>
        <v>79261.7122</v>
      </c>
      <c r="G21" s="299">
        <f>F21</f>
        <v>79261.7122</v>
      </c>
      <c r="H21" s="299">
        <f t="shared" si="4"/>
        <v>2248.559211</v>
      </c>
    </row>
  </sheetData>
  <autoFilter ref="$A$1:$H$21">
    <sortState ref="A1:H21">
      <sortCondition descending="1" ref="H1:H21"/>
    </sortState>
  </autoFilter>
  <conditionalFormatting sqref="E3:E4 D7:F7">
    <cfRule type="containsText" dxfId="4" priority="1" operator="containsText" text="~?">
      <formula>NOT(ISERROR(SEARCH(("~?"),(E3))))</formula>
    </cfRule>
  </conditionalFormatting>
  <conditionalFormatting sqref="C2:D21">
    <cfRule type="containsText" dxfId="4" priority="2" operator="containsText" text="!">
      <formula>NOT(ISERROR(SEARCH(("!"),(C2))))</formula>
    </cfRule>
  </conditionalFormatting>
  <conditionalFormatting sqref="H2:H21">
    <cfRule type="colorScale" priority="3">
      <colorScale>
        <cfvo type="min"/>
        <cfvo type="formula" val="10000"/>
        <cfvo type="max"/>
        <color rgb="FFE67C73"/>
        <color rgb="FFFFD666"/>
        <color rgb="FF57BB8A"/>
      </colorScale>
    </cfRule>
  </conditionalFormatting>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14.88"/>
    <col customWidth="1" min="3" max="3" width="11.13"/>
    <col customWidth="1" min="4" max="4" width="10.75"/>
    <col customWidth="1" min="5" max="5" width="12.25"/>
    <col customWidth="1" min="6" max="6" width="10.0"/>
    <col customWidth="1" min="7" max="7" width="7.5"/>
    <col customWidth="1" min="8" max="8" width="8.0"/>
    <col customWidth="1" min="9" max="9" width="8.88"/>
    <col customWidth="1" min="10" max="10" width="14.25"/>
    <col customWidth="1" min="11" max="11" width="8.0"/>
    <col customWidth="1" min="12" max="12" width="1.88"/>
    <col customWidth="1" min="13" max="13" width="15.38"/>
    <col customWidth="1" min="14" max="14" width="8.13"/>
    <col customWidth="1" min="15" max="15" width="5.63"/>
    <col customWidth="1" min="16" max="17" width="6.63"/>
    <col customWidth="1" min="19" max="19" width="35.5"/>
    <col customWidth="1" min="22" max="22" width="6.63"/>
    <col customWidth="1" min="25" max="25" width="4.88"/>
    <col customWidth="1" min="31" max="31" width="29.25"/>
    <col customWidth="1" min="32" max="34" width="24.13"/>
    <col customWidth="1" min="36" max="37" width="27.38"/>
  </cols>
  <sheetData>
    <row r="1" ht="15.75" customHeight="1">
      <c r="A1" s="299" t="s">
        <v>1757</v>
      </c>
      <c r="B1" s="299">
        <v>22.0</v>
      </c>
      <c r="J1" s="306" t="s">
        <v>3154</v>
      </c>
      <c r="M1" s="307" t="s">
        <v>3155</v>
      </c>
      <c r="R1" s="308"/>
      <c r="S1" s="153" t="s">
        <v>295</v>
      </c>
      <c r="T1" s="308" t="s">
        <v>3156</v>
      </c>
      <c r="U1" s="308" t="s">
        <v>3157</v>
      </c>
      <c r="V1" s="49" t="s">
        <v>647</v>
      </c>
      <c r="W1" s="309" t="s">
        <v>3158</v>
      </c>
      <c r="X1" s="310">
        <f>AVERAGE(V2:V178)</f>
        <v>11.11060606</v>
      </c>
      <c r="Y1" s="274"/>
      <c r="Z1" s="308" t="s">
        <v>1734</v>
      </c>
      <c r="AA1" s="311" t="s">
        <v>3159</v>
      </c>
      <c r="AB1" s="311" t="s">
        <v>3160</v>
      </c>
      <c r="AC1" s="311" t="s">
        <v>3161</v>
      </c>
      <c r="AD1" s="274"/>
      <c r="AE1" s="312" t="s">
        <v>2164</v>
      </c>
      <c r="AF1" s="312" t="s">
        <v>3162</v>
      </c>
      <c r="AG1" s="312" t="s">
        <v>1756</v>
      </c>
      <c r="AH1" s="312" t="s">
        <v>1769</v>
      </c>
      <c r="AI1" s="274"/>
      <c r="AJ1" s="274"/>
      <c r="AK1" s="274"/>
      <c r="AL1" s="274"/>
      <c r="AM1" s="274"/>
      <c r="AN1" s="274"/>
      <c r="AO1" s="274"/>
      <c r="AP1" s="274"/>
      <c r="AQ1" s="274"/>
      <c r="AR1" s="274"/>
      <c r="AS1" s="274"/>
      <c r="AT1" s="274"/>
      <c r="AU1" s="274"/>
      <c r="AV1" s="274"/>
      <c r="AW1" s="274"/>
    </row>
    <row r="2" ht="15.75" customHeight="1">
      <c r="A2" s="313" t="s">
        <v>3163</v>
      </c>
      <c r="B2" s="314">
        <f>B1+(B1+mod(B1,2)-2)/2</f>
        <v>32</v>
      </c>
      <c r="J2" s="274">
        <f>4.833</f>
        <v>4.833</v>
      </c>
      <c r="K2" s="315">
        <f>1.5</f>
        <v>1.5</v>
      </c>
      <c r="L2" s="309">
        <v>3.0</v>
      </c>
      <c r="M2" s="274"/>
      <c r="N2" s="274"/>
      <c r="O2" s="309" t="s">
        <v>3164</v>
      </c>
      <c r="P2" s="309" t="s">
        <v>3165</v>
      </c>
      <c r="Q2" s="309" t="s">
        <v>647</v>
      </c>
      <c r="R2" s="316"/>
      <c r="S2" s="50" t="s">
        <v>3166</v>
      </c>
      <c r="T2" s="317">
        <v>3686527.7806500006</v>
      </c>
      <c r="U2" s="162">
        <v>3686527.7806500006</v>
      </c>
      <c r="V2" s="318">
        <f t="shared" ref="V2:V50" si="1">(ROUND(U2/T2,3)-1)*100</f>
        <v>0</v>
      </c>
      <c r="W2" s="162"/>
      <c r="X2" s="274"/>
      <c r="Y2" s="274"/>
      <c r="Z2" s="274">
        <v>0.062</v>
      </c>
      <c r="AA2" s="309">
        <v>23268.52308</v>
      </c>
      <c r="AB2" s="309">
        <v>139611.1385</v>
      </c>
      <c r="AC2" s="309">
        <v>46537.04615</v>
      </c>
      <c r="AD2" s="274"/>
      <c r="AE2" s="319" t="s">
        <v>3167</v>
      </c>
      <c r="AF2" s="320" t="s">
        <v>3168</v>
      </c>
      <c r="AG2" s="320" t="s">
        <v>3168</v>
      </c>
      <c r="AH2" s="320" t="s">
        <v>3168</v>
      </c>
      <c r="AI2" s="274"/>
      <c r="AJ2" s="320" t="s">
        <v>3169</v>
      </c>
      <c r="AK2" s="320" t="s">
        <v>3170</v>
      </c>
      <c r="AL2" s="274"/>
      <c r="AM2" s="274"/>
      <c r="AN2" s="274"/>
      <c r="AO2" s="274"/>
      <c r="AP2" s="274"/>
      <c r="AQ2" s="274"/>
      <c r="AR2" s="274"/>
      <c r="AS2" s="274"/>
      <c r="AT2" s="274"/>
      <c r="AU2" s="274"/>
      <c r="AV2" s="274"/>
      <c r="AW2" s="274"/>
    </row>
    <row r="3" ht="15.75" customHeight="1">
      <c r="A3" s="313" t="s">
        <v>3171</v>
      </c>
      <c r="B3" s="314">
        <f>B1*2-mod(B1, 2)-2</f>
        <v>42</v>
      </c>
      <c r="J3" s="274">
        <f>J2+3.783</f>
        <v>8.616</v>
      </c>
      <c r="K3" s="315">
        <f t="shared" ref="K3:K5" si="2">K2+1.5</f>
        <v>3</v>
      </c>
      <c r="L3" s="309">
        <v>2.0</v>
      </c>
      <c r="M3" s="309" t="s">
        <v>3172</v>
      </c>
      <c r="N3" s="309" t="s">
        <v>3173</v>
      </c>
      <c r="O3" s="321">
        <v>28481.0</v>
      </c>
      <c r="P3" s="321">
        <v>26768.0</v>
      </c>
      <c r="Q3" s="274">
        <f t="shared" ref="Q3:Q5" si="3">ROUND(P3/O3,3)</f>
        <v>0.94</v>
      </c>
      <c r="R3" s="316"/>
      <c r="S3" s="50" t="s">
        <v>3174</v>
      </c>
      <c r="T3" s="317">
        <v>1508992.4678400005</v>
      </c>
      <c r="U3" s="162">
        <v>1508992.4678400005</v>
      </c>
      <c r="V3" s="318">
        <f t="shared" si="1"/>
        <v>0</v>
      </c>
      <c r="W3" s="162"/>
      <c r="X3" s="274"/>
      <c r="Y3" s="274"/>
      <c r="Z3" s="274">
        <v>0.14</v>
      </c>
      <c r="AA3" s="309">
        <v>46537.04615</v>
      </c>
      <c r="AB3" s="309">
        <v>139611.1385</v>
      </c>
      <c r="AC3" s="309">
        <v>46537.04615</v>
      </c>
      <c r="AD3" s="274"/>
      <c r="AE3" s="319" t="s">
        <v>3175</v>
      </c>
      <c r="AF3" s="320" t="s">
        <v>3176</v>
      </c>
      <c r="AG3" s="320" t="s">
        <v>3176</v>
      </c>
      <c r="AH3" s="320" t="s">
        <v>3176</v>
      </c>
      <c r="AI3" s="274"/>
      <c r="AJ3" s="320" t="s">
        <v>3177</v>
      </c>
      <c r="AK3" s="320" t="s">
        <v>3178</v>
      </c>
      <c r="AL3" s="274"/>
      <c r="AM3" s="274"/>
      <c r="AN3" s="274"/>
      <c r="AO3" s="274"/>
      <c r="AP3" s="274"/>
      <c r="AQ3" s="274"/>
      <c r="AR3" s="274"/>
      <c r="AS3" s="274"/>
      <c r="AT3" s="274"/>
      <c r="AU3" s="274"/>
      <c r="AV3" s="274"/>
      <c r="AW3" s="274"/>
    </row>
    <row r="4" ht="15.75" customHeight="1">
      <c r="A4" s="313" t="s">
        <v>3179</v>
      </c>
      <c r="B4" s="322">
        <f>B1+(B1-4+mod(B1,2))/2*10+7-mod(B1,2)*3</f>
        <v>119</v>
      </c>
      <c r="J4" s="274">
        <f>J3+5.833</f>
        <v>14.449</v>
      </c>
      <c r="K4" s="315">
        <f t="shared" si="2"/>
        <v>4.5</v>
      </c>
      <c r="L4" s="309">
        <v>4.0</v>
      </c>
      <c r="M4" s="309" t="s">
        <v>3172</v>
      </c>
      <c r="N4" s="309" t="s">
        <v>3180</v>
      </c>
      <c r="O4" s="321">
        <v>25816.0</v>
      </c>
      <c r="P4" s="321">
        <v>25483.0</v>
      </c>
      <c r="Q4" s="274">
        <f t="shared" si="3"/>
        <v>0.987</v>
      </c>
      <c r="R4" s="316"/>
      <c r="S4" s="50" t="s">
        <v>3181</v>
      </c>
      <c r="T4" s="317">
        <v>3956922.375120001</v>
      </c>
      <c r="U4" s="162">
        <v>3956922.375120001</v>
      </c>
      <c r="V4" s="318">
        <f t="shared" si="1"/>
        <v>0</v>
      </c>
      <c r="W4" s="162"/>
      <c r="X4" s="274"/>
      <c r="Y4" s="274"/>
      <c r="Z4" s="274">
        <v>0.187</v>
      </c>
      <c r="AA4" s="309">
        <v>46537.04615</v>
      </c>
      <c r="AB4" s="309">
        <v>139611.1385</v>
      </c>
      <c r="AC4" s="309">
        <v>46537.04615</v>
      </c>
      <c r="AD4" s="274"/>
      <c r="AE4" s="319" t="s">
        <v>3182</v>
      </c>
      <c r="AF4" s="320" t="s">
        <v>3183</v>
      </c>
      <c r="AG4" s="320" t="s">
        <v>3183</v>
      </c>
      <c r="AH4" s="320" t="s">
        <v>3183</v>
      </c>
      <c r="AI4" s="274"/>
      <c r="AJ4" s="320" t="s">
        <v>3184</v>
      </c>
      <c r="AK4" s="320" t="s">
        <v>3185</v>
      </c>
      <c r="AL4" s="274"/>
      <c r="AM4" s="274"/>
      <c r="AN4" s="274"/>
      <c r="AO4" s="274"/>
      <c r="AP4" s="274"/>
      <c r="AQ4" s="274"/>
      <c r="AR4" s="274"/>
      <c r="AS4" s="274"/>
      <c r="AT4" s="274"/>
      <c r="AU4" s="274"/>
      <c r="AV4" s="274"/>
      <c r="AW4" s="274"/>
    </row>
    <row r="5" ht="15.75" customHeight="1">
      <c r="J5" s="274">
        <f>J4+7.783</f>
        <v>22.232</v>
      </c>
      <c r="K5" s="274">
        <f t="shared" si="2"/>
        <v>6</v>
      </c>
      <c r="L5" s="309">
        <v>5.0</v>
      </c>
      <c r="M5" s="309" t="s">
        <v>3186</v>
      </c>
      <c r="N5" s="309" t="s">
        <v>3173</v>
      </c>
      <c r="O5" s="321">
        <v>21736.0</v>
      </c>
      <c r="P5" s="321">
        <v>21860.0</v>
      </c>
      <c r="Q5" s="274">
        <f t="shared" si="3"/>
        <v>1.006</v>
      </c>
      <c r="R5" s="316"/>
      <c r="S5" s="50" t="s">
        <v>3187</v>
      </c>
      <c r="T5" s="317">
        <v>2975810.190210001</v>
      </c>
      <c r="U5" s="162">
        <v>2975810.190210001</v>
      </c>
      <c r="V5" s="318">
        <f t="shared" si="1"/>
        <v>0</v>
      </c>
      <c r="W5" s="274"/>
      <c r="X5" s="274"/>
      <c r="Y5" s="274"/>
      <c r="Z5" s="274">
        <v>0.25</v>
      </c>
      <c r="AA5" s="309">
        <v>46537.04615</v>
      </c>
      <c r="AB5" s="309">
        <v>139611.1385</v>
      </c>
      <c r="AC5" s="309">
        <v>93074.09231</v>
      </c>
      <c r="AD5" s="274"/>
      <c r="AE5" s="319" t="s">
        <v>3188</v>
      </c>
      <c r="AF5" s="320" t="s">
        <v>3189</v>
      </c>
      <c r="AG5" s="320" t="s">
        <v>3189</v>
      </c>
      <c r="AH5" s="320" t="s">
        <v>3189</v>
      </c>
      <c r="AI5" s="274"/>
      <c r="AJ5" s="320" t="s">
        <v>3190</v>
      </c>
      <c r="AK5" s="320" t="s">
        <v>3191</v>
      </c>
      <c r="AL5" s="274"/>
      <c r="AM5" s="274"/>
      <c r="AN5" s="274"/>
      <c r="AO5" s="274"/>
      <c r="AP5" s="274"/>
      <c r="AQ5" s="274"/>
      <c r="AR5" s="274"/>
      <c r="AS5" s="274"/>
      <c r="AT5" s="274"/>
      <c r="AU5" s="274"/>
      <c r="AV5" s="274"/>
      <c r="AW5" s="274"/>
    </row>
    <row r="6" ht="15.75" customHeight="1">
      <c r="A6" s="323" t="s">
        <v>3192</v>
      </c>
      <c r="B6" s="324" t="s">
        <v>3193</v>
      </c>
      <c r="C6" s="325" t="s">
        <v>3194</v>
      </c>
      <c r="D6" s="323" t="s">
        <v>3195</v>
      </c>
      <c r="E6" s="323" t="s">
        <v>3196</v>
      </c>
      <c r="F6" s="323" t="s">
        <v>3197</v>
      </c>
      <c r="G6" s="274"/>
      <c r="H6" s="274"/>
      <c r="I6" s="274"/>
      <c r="J6" s="274"/>
      <c r="K6" s="315"/>
      <c r="L6" s="309"/>
      <c r="M6" s="309" t="s">
        <v>3198</v>
      </c>
      <c r="O6" s="274">
        <f t="shared" ref="O6:P6" si="4">ROUND(O3/O5,3)</f>
        <v>1.31</v>
      </c>
      <c r="P6" s="274">
        <f t="shared" si="4"/>
        <v>1.225</v>
      </c>
      <c r="R6" s="316"/>
      <c r="S6" s="50" t="s">
        <v>3199</v>
      </c>
      <c r="T6" s="317">
        <v>2085491.3508000001</v>
      </c>
      <c r="U6" s="162">
        <v>2085491.3508000001</v>
      </c>
      <c r="V6" s="318">
        <f t="shared" si="1"/>
        <v>0</v>
      </c>
      <c r="W6" s="274"/>
      <c r="X6" s="274"/>
      <c r="Y6" s="274"/>
      <c r="Z6" s="274">
        <v>0.328</v>
      </c>
      <c r="AA6" s="309">
        <v>46537.04615</v>
      </c>
      <c r="AB6" s="309">
        <v>139611.1385</v>
      </c>
      <c r="AC6" s="309">
        <v>93074.09231</v>
      </c>
      <c r="AD6" s="274"/>
      <c r="AE6" s="319" t="s">
        <v>3200</v>
      </c>
      <c r="AF6" s="320" t="s">
        <v>3201</v>
      </c>
      <c r="AG6" s="326" t="s">
        <v>3202</v>
      </c>
      <c r="AH6" s="320" t="s">
        <v>3201</v>
      </c>
      <c r="AI6" s="274"/>
      <c r="AJ6" s="320" t="s">
        <v>3203</v>
      </c>
      <c r="AK6" s="320" t="s">
        <v>3204</v>
      </c>
      <c r="AL6" s="274"/>
      <c r="AM6" s="274"/>
      <c r="AN6" s="274"/>
      <c r="AO6" s="274"/>
      <c r="AP6" s="274"/>
      <c r="AQ6" s="274"/>
      <c r="AR6" s="274"/>
      <c r="AS6" s="274"/>
      <c r="AT6" s="274"/>
      <c r="AU6" s="274"/>
      <c r="AV6" s="274"/>
      <c r="AW6" s="274"/>
    </row>
    <row r="7" ht="15.75" customHeight="1">
      <c r="A7" s="309">
        <v>1.0</v>
      </c>
      <c r="B7" s="119">
        <v>170192.0</v>
      </c>
      <c r="C7" s="115">
        <v>179880.0</v>
      </c>
      <c r="D7" s="327">
        <f>C7/C7</f>
        <v>1</v>
      </c>
      <c r="E7" s="327">
        <f>D7-1</f>
        <v>0</v>
      </c>
      <c r="F7" s="309" t="s">
        <v>582</v>
      </c>
      <c r="G7" s="274"/>
      <c r="H7" s="274"/>
      <c r="I7" s="274"/>
      <c r="J7" s="274"/>
      <c r="K7" s="315"/>
      <c r="L7" s="309"/>
      <c r="M7" s="274"/>
      <c r="R7" s="316"/>
      <c r="S7" s="50" t="s">
        <v>3205</v>
      </c>
      <c r="T7" s="317">
        <v>4872747.353760002</v>
      </c>
      <c r="U7" s="162">
        <v>4872747.353760002</v>
      </c>
      <c r="V7" s="318">
        <f t="shared" si="1"/>
        <v>0</v>
      </c>
      <c r="W7" s="274"/>
      <c r="X7" s="274"/>
      <c r="Y7" s="274"/>
      <c r="Z7" s="274">
        <v>0.375</v>
      </c>
      <c r="AA7" s="309">
        <v>81439.83077</v>
      </c>
      <c r="AB7" s="309">
        <v>162879.6615</v>
      </c>
      <c r="AC7" s="309">
        <v>93074.09231</v>
      </c>
      <c r="AD7" s="274"/>
      <c r="AE7" s="319" t="s">
        <v>3206</v>
      </c>
      <c r="AF7" s="320" t="s">
        <v>3207</v>
      </c>
      <c r="AG7" s="320" t="s">
        <v>3207</v>
      </c>
      <c r="AH7" s="320" t="s">
        <v>3207</v>
      </c>
      <c r="AI7" s="274"/>
      <c r="AJ7" s="320" t="s">
        <v>3208</v>
      </c>
      <c r="AK7" s="309" t="s">
        <v>3209</v>
      </c>
      <c r="AL7" s="274"/>
      <c r="AM7" s="274"/>
      <c r="AN7" s="274"/>
      <c r="AO7" s="274"/>
      <c r="AP7" s="274"/>
      <c r="AQ7" s="274"/>
      <c r="AR7" s="274"/>
      <c r="AS7" s="274"/>
      <c r="AT7" s="274"/>
      <c r="AU7" s="274"/>
      <c r="AV7" s="274"/>
      <c r="AW7" s="274"/>
    </row>
    <row r="8" ht="15.75" customHeight="1">
      <c r="A8" s="309">
        <v>2.0</v>
      </c>
      <c r="B8" s="309">
        <v>254656.0</v>
      </c>
      <c r="C8" s="309">
        <f>299801-30355</f>
        <v>269446</v>
      </c>
      <c r="D8" s="327">
        <f>C8/C7</f>
        <v>1.497920836</v>
      </c>
      <c r="E8" s="327">
        <f>D8-2</f>
        <v>-0.5020791639</v>
      </c>
      <c r="F8" s="327">
        <f t="shared" ref="F8:F12" si="5">D8-D7</f>
        <v>0.4979208361</v>
      </c>
      <c r="G8" s="274"/>
      <c r="H8" s="274"/>
      <c r="I8" s="274"/>
      <c r="J8" s="274"/>
      <c r="K8" s="315"/>
      <c r="L8" s="309"/>
      <c r="M8" s="328" t="s">
        <v>3210</v>
      </c>
      <c r="R8" s="316"/>
      <c r="S8" s="50" t="s">
        <v>3211</v>
      </c>
      <c r="T8" s="317">
        <v>3937223.3986800015</v>
      </c>
      <c r="U8" s="162">
        <v>3937223.3986800015</v>
      </c>
      <c r="V8" s="318">
        <f t="shared" si="1"/>
        <v>0</v>
      </c>
      <c r="W8" s="274"/>
      <c r="X8" s="274"/>
      <c r="Y8" s="274"/>
      <c r="Z8" s="274">
        <v>0.437</v>
      </c>
      <c r="AA8" s="309">
        <v>81439.83077</v>
      </c>
      <c r="AB8" s="309">
        <v>162879.6615</v>
      </c>
      <c r="AC8" s="309">
        <v>93074.09231</v>
      </c>
      <c r="AD8" s="274"/>
      <c r="AE8" s="319" t="s">
        <v>3212</v>
      </c>
      <c r="AF8" s="320" t="s">
        <v>3213</v>
      </c>
      <c r="AG8" s="326" t="s">
        <v>3214</v>
      </c>
      <c r="AH8" s="320" t="s">
        <v>3213</v>
      </c>
      <c r="AI8" s="274"/>
      <c r="AJ8" s="320" t="s">
        <v>3215</v>
      </c>
      <c r="AK8" s="320" t="s">
        <v>3216</v>
      </c>
      <c r="AL8" s="274"/>
      <c r="AM8" s="274"/>
      <c r="AN8" s="274"/>
      <c r="AO8" s="274"/>
      <c r="AP8" s="274"/>
      <c r="AQ8" s="274"/>
      <c r="AR8" s="274"/>
      <c r="AS8" s="274"/>
      <c r="AT8" s="274"/>
      <c r="AU8" s="274"/>
      <c r="AV8" s="274"/>
      <c r="AW8" s="274"/>
    </row>
    <row r="9" ht="15.75" customHeight="1">
      <c r="A9" s="309">
        <v>3.0</v>
      </c>
      <c r="B9" s="309">
        <v>349261.0</v>
      </c>
      <c r="C9" s="309">
        <v>359836.0</v>
      </c>
      <c r="D9" s="327">
        <f>C9/C7</f>
        <v>2.000422504</v>
      </c>
      <c r="E9" s="327">
        <f>D9-3</f>
        <v>-0.9995774961</v>
      </c>
      <c r="F9" s="327">
        <f t="shared" si="5"/>
        <v>0.5025016678</v>
      </c>
      <c r="G9" s="274"/>
      <c r="H9" s="274"/>
      <c r="I9" s="274"/>
      <c r="J9" s="274"/>
      <c r="K9" s="315"/>
      <c r="L9" s="309"/>
      <c r="N9" s="309" t="s">
        <v>3217</v>
      </c>
      <c r="O9" s="309" t="s">
        <v>3218</v>
      </c>
      <c r="P9" s="309" t="s">
        <v>3196</v>
      </c>
      <c r="Q9" s="309" t="s">
        <v>3219</v>
      </c>
      <c r="R9" s="316"/>
      <c r="S9" s="50" t="s">
        <v>3220</v>
      </c>
      <c r="T9" s="317">
        <v>1948030.2257130004</v>
      </c>
      <c r="U9" s="162">
        <v>1948030.2257130004</v>
      </c>
      <c r="V9" s="318">
        <f t="shared" si="1"/>
        <v>0</v>
      </c>
      <c r="W9" s="162"/>
      <c r="X9" s="274"/>
      <c r="Y9" s="274"/>
      <c r="Z9" s="274">
        <v>0.5</v>
      </c>
      <c r="AA9" s="309">
        <v>81439.83077</v>
      </c>
      <c r="AB9" s="309">
        <v>162879.6615</v>
      </c>
      <c r="AC9" s="309">
        <v>139611.1385</v>
      </c>
      <c r="AD9" s="274"/>
      <c r="AE9" s="319" t="s">
        <v>3221</v>
      </c>
      <c r="AF9" s="320" t="s">
        <v>3222</v>
      </c>
      <c r="AG9" s="320" t="s">
        <v>3222</v>
      </c>
      <c r="AH9" s="320" t="s">
        <v>3222</v>
      </c>
      <c r="AI9" s="274"/>
      <c r="AJ9" s="320" t="s">
        <v>3223</v>
      </c>
      <c r="AK9" s="320" t="s">
        <v>3224</v>
      </c>
      <c r="AL9" s="274"/>
      <c r="AM9" s="274"/>
      <c r="AN9" s="274"/>
      <c r="AO9" s="274"/>
      <c r="AP9" s="274"/>
      <c r="AQ9" s="274"/>
      <c r="AR9" s="274"/>
      <c r="AS9" s="274"/>
      <c r="AT9" s="274"/>
      <c r="AU9" s="274"/>
      <c r="AV9" s="274"/>
      <c r="AW9" s="274"/>
    </row>
    <row r="10" ht="15.75" customHeight="1">
      <c r="A10" s="309">
        <v>4.0</v>
      </c>
      <c r="B10" s="309">
        <v>418318.0</v>
      </c>
      <c r="C10" s="274">
        <v>471811.0</v>
      </c>
      <c r="D10" s="327">
        <f>C10/C7</f>
        <v>2.622920836</v>
      </c>
      <c r="E10" s="327">
        <f>D10-4</f>
        <v>-1.377079164</v>
      </c>
      <c r="F10" s="327">
        <f t="shared" si="5"/>
        <v>0.6224983322</v>
      </c>
      <c r="G10" s="274"/>
      <c r="H10" s="274"/>
      <c r="I10" s="274"/>
      <c r="J10" s="274"/>
      <c r="K10" s="274"/>
      <c r="L10" s="309"/>
      <c r="M10" s="309" t="s">
        <v>3225</v>
      </c>
      <c r="N10" s="274"/>
      <c r="O10" s="309"/>
      <c r="P10" s="309" t="str">
        <f>O10/O13</f>
        <v>#DIV/0!</v>
      </c>
      <c r="Q10" s="274" t="str">
        <f>P15/P16</f>
        <v>#DIV/0!</v>
      </c>
      <c r="R10" s="316"/>
      <c r="S10" s="50" t="s">
        <v>3226</v>
      </c>
      <c r="T10" s="317">
        <v>2083286.8742400005</v>
      </c>
      <c r="U10" s="162">
        <v>2083286.8742400005</v>
      </c>
      <c r="V10" s="318">
        <f t="shared" si="1"/>
        <v>0</v>
      </c>
      <c r="W10" s="274"/>
      <c r="X10" s="274"/>
      <c r="Y10" s="274"/>
      <c r="Z10" s="274">
        <v>0.562</v>
      </c>
      <c r="AA10" s="309">
        <v>81439.83077</v>
      </c>
      <c r="AB10" s="309">
        <v>162879.6615</v>
      </c>
      <c r="AC10" s="309">
        <v>139611.1385</v>
      </c>
      <c r="AD10" s="274"/>
      <c r="AE10" s="319" t="s">
        <v>3227</v>
      </c>
      <c r="AF10" s="320" t="s">
        <v>3228</v>
      </c>
      <c r="AG10" s="320" t="s">
        <v>3228</v>
      </c>
      <c r="AH10" s="320" t="s">
        <v>3228</v>
      </c>
      <c r="AI10" s="274"/>
      <c r="AJ10" s="320" t="s">
        <v>3229</v>
      </c>
      <c r="AK10" s="320" t="s">
        <v>3230</v>
      </c>
      <c r="AL10" s="274"/>
      <c r="AM10" s="274"/>
      <c r="AN10" s="274"/>
      <c r="AO10" s="274"/>
      <c r="AP10" s="274"/>
      <c r="AQ10" s="274"/>
      <c r="AR10" s="274"/>
      <c r="AS10" s="274"/>
      <c r="AT10" s="274"/>
      <c r="AU10" s="274"/>
      <c r="AV10" s="274"/>
      <c r="AW10" s="274"/>
    </row>
    <row r="11" ht="15.75" customHeight="1">
      <c r="A11" s="309">
        <v>5.0</v>
      </c>
      <c r="B11" s="309">
        <v>490380.0</v>
      </c>
      <c r="C11" s="274">
        <f>577166-30355</f>
        <v>546811</v>
      </c>
      <c r="D11" s="327">
        <f>C11/C7</f>
        <v>3.039865466</v>
      </c>
      <c r="E11" s="327">
        <f>D11-5</f>
        <v>-1.960134534</v>
      </c>
      <c r="F11" s="327">
        <f t="shared" si="5"/>
        <v>0.4169446298</v>
      </c>
      <c r="G11" s="274"/>
      <c r="H11" s="274"/>
      <c r="I11" s="274"/>
      <c r="J11" s="274"/>
      <c r="K11" s="274"/>
      <c r="L11" s="309"/>
      <c r="M11" s="309" t="s">
        <v>3231</v>
      </c>
      <c r="N11" s="309"/>
      <c r="O11" s="309"/>
      <c r="P11" s="309" t="str">
        <f>O11/O13</f>
        <v>#DIV/0!</v>
      </c>
      <c r="Q11" s="274"/>
      <c r="R11" s="316"/>
      <c r="S11" s="50" t="s">
        <v>3232</v>
      </c>
      <c r="T11" s="317">
        <v>2883907.9176336005</v>
      </c>
      <c r="U11" s="162">
        <v>2883907.9176336005</v>
      </c>
      <c r="V11" s="318">
        <f t="shared" si="1"/>
        <v>0</v>
      </c>
      <c r="W11" s="274"/>
      <c r="X11" s="274"/>
      <c r="Y11" s="274"/>
      <c r="Z11" s="274">
        <v>0.625</v>
      </c>
      <c r="AA11" s="309">
        <v>81439.83077</v>
      </c>
      <c r="AB11" s="309">
        <v>162879.6615</v>
      </c>
      <c r="AC11" s="309">
        <v>139611.1385</v>
      </c>
      <c r="AD11" s="274"/>
      <c r="AE11" s="319" t="s">
        <v>3233</v>
      </c>
      <c r="AF11" s="320" t="s">
        <v>3234</v>
      </c>
      <c r="AG11" s="326" t="s">
        <v>3235</v>
      </c>
      <c r="AH11" s="320" t="s">
        <v>3234</v>
      </c>
      <c r="AI11" s="274"/>
      <c r="AJ11" s="320" t="s">
        <v>3236</v>
      </c>
      <c r="AK11" s="320" t="s">
        <v>3237</v>
      </c>
      <c r="AL11" s="274"/>
      <c r="AM11" s="274"/>
      <c r="AN11" s="274"/>
      <c r="AO11" s="274"/>
      <c r="AP11" s="274"/>
      <c r="AQ11" s="274"/>
      <c r="AR11" s="274"/>
      <c r="AS11" s="274"/>
      <c r="AT11" s="274"/>
      <c r="AU11" s="274"/>
      <c r="AV11" s="274"/>
      <c r="AW11" s="274"/>
    </row>
    <row r="12" ht="15.75" customHeight="1">
      <c r="A12" s="309">
        <v>6.0</v>
      </c>
      <c r="B12" s="119">
        <v>570756.0</v>
      </c>
      <c r="C12" s="115">
        <v>599226.0</v>
      </c>
      <c r="D12" s="327">
        <f>C12/C7</f>
        <v>3.331254169</v>
      </c>
      <c r="E12" s="327">
        <f>D12-6</f>
        <v>-2.668745831</v>
      </c>
      <c r="F12" s="327">
        <f t="shared" si="5"/>
        <v>0.2913887036</v>
      </c>
      <c r="G12" s="274"/>
      <c r="H12" s="274"/>
      <c r="I12" s="274"/>
      <c r="J12" s="274"/>
      <c r="K12" s="274"/>
      <c r="L12" s="309"/>
      <c r="M12" s="309" t="s">
        <v>3238</v>
      </c>
      <c r="N12" s="309"/>
      <c r="O12" s="309"/>
      <c r="P12" s="309" t="str">
        <f>O12/O13</f>
        <v>#DIV/0!</v>
      </c>
      <c r="Q12" s="274"/>
      <c r="R12" s="316"/>
      <c r="S12" s="50" t="s">
        <v>3239</v>
      </c>
      <c r="T12" s="317">
        <v>2331599.4907920007</v>
      </c>
      <c r="U12" s="162">
        <v>2331599.4907920007</v>
      </c>
      <c r="V12" s="318">
        <f t="shared" si="1"/>
        <v>0</v>
      </c>
      <c r="W12" s="274"/>
      <c r="X12" s="274"/>
      <c r="Y12" s="274"/>
      <c r="Z12" s="274">
        <v>0.687</v>
      </c>
      <c r="AA12" s="309">
        <v>81439.83077</v>
      </c>
      <c r="AB12" s="309">
        <v>162879.6615</v>
      </c>
      <c r="AC12" s="309">
        <v>139611.1385</v>
      </c>
      <c r="AD12" s="274"/>
      <c r="AE12" s="329" t="s">
        <v>3240</v>
      </c>
      <c r="AF12" s="320" t="s">
        <v>3241</v>
      </c>
      <c r="AG12" s="326" t="s">
        <v>3242</v>
      </c>
      <c r="AH12" s="320" t="s">
        <v>3241</v>
      </c>
      <c r="AI12" s="274"/>
      <c r="AJ12" s="320" t="s">
        <v>3243</v>
      </c>
      <c r="AK12" s="320" t="s">
        <v>3244</v>
      </c>
      <c r="AL12" s="274"/>
      <c r="AM12" s="274"/>
      <c r="AN12" s="274"/>
      <c r="AO12" s="274"/>
      <c r="AP12" s="274"/>
      <c r="AQ12" s="274"/>
      <c r="AR12" s="274"/>
      <c r="AS12" s="274"/>
      <c r="AT12" s="274"/>
      <c r="AU12" s="274"/>
      <c r="AV12" s="274"/>
      <c r="AW12" s="274"/>
    </row>
    <row r="13" ht="15.75" customHeight="1">
      <c r="A13" s="309" t="s">
        <v>3245</v>
      </c>
      <c r="B13" s="309">
        <v>245292.0</v>
      </c>
      <c r="C13" s="274">
        <f>284811-30355</f>
        <v>254456</v>
      </c>
      <c r="D13" s="274">
        <f>C13/C7</f>
        <v>1.414587503</v>
      </c>
      <c r="E13" s="274">
        <f>D13-2</f>
        <v>-0.5854124972</v>
      </c>
      <c r="F13" s="309" t="s">
        <v>582</v>
      </c>
      <c r="G13" s="330">
        <f>C13-C7</f>
        <v>74576</v>
      </c>
      <c r="H13" s="274"/>
      <c r="I13" s="274"/>
      <c r="J13" s="274"/>
      <c r="K13" s="274"/>
      <c r="L13" s="309"/>
      <c r="M13" s="309" t="s">
        <v>3246</v>
      </c>
      <c r="N13" s="309"/>
      <c r="O13" s="309"/>
      <c r="P13" s="309" t="str">
        <f>O13/O13</f>
        <v>#DIV/0!</v>
      </c>
      <c r="Q13" s="274"/>
      <c r="R13" s="316"/>
      <c r="S13" s="50" t="s">
        <v>3247</v>
      </c>
      <c r="T13" s="317">
        <v>2892346.258230001</v>
      </c>
      <c r="U13" s="162">
        <v>2892346.258230001</v>
      </c>
      <c r="V13" s="318">
        <f t="shared" si="1"/>
        <v>0</v>
      </c>
      <c r="W13" s="274"/>
      <c r="X13" s="274"/>
      <c r="Y13" s="274"/>
      <c r="Z13" s="274">
        <v>0.75</v>
      </c>
      <c r="AA13" s="309">
        <v>81439.83077</v>
      </c>
      <c r="AB13" s="309">
        <v>162879.6615</v>
      </c>
      <c r="AC13" s="309">
        <v>139611.1385</v>
      </c>
      <c r="AD13" s="274"/>
      <c r="AE13" s="329" t="s">
        <v>3248</v>
      </c>
      <c r="AF13" s="320" t="s">
        <v>3249</v>
      </c>
      <c r="AG13" s="320" t="s">
        <v>3249</v>
      </c>
      <c r="AH13" s="320" t="s">
        <v>3249</v>
      </c>
      <c r="AI13" s="274"/>
      <c r="AJ13" s="320" t="s">
        <v>3250</v>
      </c>
      <c r="AK13" s="320" t="s">
        <v>3244</v>
      </c>
      <c r="AL13" s="274"/>
      <c r="AM13" s="274"/>
      <c r="AN13" s="274"/>
      <c r="AO13" s="274"/>
      <c r="AP13" s="274"/>
      <c r="AQ13" s="274"/>
      <c r="AR13" s="274"/>
      <c r="AS13" s="274"/>
      <c r="AT13" s="274"/>
      <c r="AU13" s="274"/>
      <c r="AV13" s="274"/>
      <c r="AW13" s="274"/>
    </row>
    <row r="14" ht="15.75" customHeight="1">
      <c r="A14" s="309" t="s">
        <v>3251</v>
      </c>
      <c r="B14" s="309">
        <v>335277.0</v>
      </c>
      <c r="C14" s="274">
        <f>397236-30355</f>
        <v>366881</v>
      </c>
      <c r="D14" s="274">
        <f>C14/C7</f>
        <v>2.039587503</v>
      </c>
      <c r="E14" s="274">
        <f>D14-3</f>
        <v>-0.9604124972</v>
      </c>
      <c r="F14" s="309" t="s">
        <v>582</v>
      </c>
      <c r="G14" s="274">
        <f t="shared" ref="G14:G15" si="6">C14-C13</f>
        <v>112425</v>
      </c>
      <c r="H14" s="274"/>
      <c r="I14" s="274"/>
      <c r="J14" s="274"/>
      <c r="K14" s="274"/>
      <c r="M14" s="309" t="s">
        <v>3252</v>
      </c>
      <c r="O14" s="309"/>
      <c r="P14" s="331" t="str">
        <f>O14/O13</f>
        <v>#DIV/0!</v>
      </c>
      <c r="R14" s="316"/>
      <c r="S14" s="50" t="s">
        <v>3253</v>
      </c>
      <c r="T14" s="317">
        <v>2742401.813580001</v>
      </c>
      <c r="U14" s="162">
        <v>2823060.6904500006</v>
      </c>
      <c r="V14" s="318">
        <f t="shared" si="1"/>
        <v>2.9</v>
      </c>
      <c r="W14" s="274"/>
      <c r="X14" s="274"/>
      <c r="Y14" s="274"/>
      <c r="Z14" s="274">
        <v>0.812</v>
      </c>
      <c r="AA14" s="309">
        <v>290856.5385</v>
      </c>
      <c r="AB14" s="309">
        <v>162879.6615</v>
      </c>
      <c r="AC14" s="309">
        <v>139611.1385</v>
      </c>
      <c r="AD14" s="274"/>
      <c r="AE14" s="329" t="s">
        <v>3254</v>
      </c>
      <c r="AF14" s="320" t="s">
        <v>3255</v>
      </c>
      <c r="AG14" s="320" t="s">
        <v>3255</v>
      </c>
      <c r="AH14" s="320" t="s">
        <v>3255</v>
      </c>
      <c r="AI14" s="274"/>
      <c r="AJ14" s="320" t="s">
        <v>3256</v>
      </c>
      <c r="AK14" s="320" t="s">
        <v>3244</v>
      </c>
      <c r="AL14" s="274"/>
      <c r="AM14" s="274"/>
      <c r="AN14" s="274"/>
      <c r="AO14" s="274"/>
      <c r="AP14" s="274"/>
      <c r="AQ14" s="274"/>
      <c r="AR14" s="274"/>
      <c r="AS14" s="274"/>
      <c r="AT14" s="274"/>
      <c r="AU14" s="274"/>
      <c r="AV14" s="274"/>
      <c r="AW14" s="274"/>
    </row>
    <row r="15" ht="15.75" customHeight="1">
      <c r="A15" s="309" t="s">
        <v>3257</v>
      </c>
      <c r="B15" s="309">
        <v>394615.0</v>
      </c>
      <c r="C15" s="274">
        <f>464691-30355</f>
        <v>434336</v>
      </c>
      <c r="D15" s="274">
        <f>C15/C7</f>
        <v>2.414587503</v>
      </c>
      <c r="E15" s="274">
        <f>D15-4</f>
        <v>-1.585412497</v>
      </c>
      <c r="F15" s="309" t="s">
        <v>582</v>
      </c>
      <c r="G15" s="274">
        <f t="shared" si="6"/>
        <v>67455</v>
      </c>
      <c r="H15" s="274"/>
      <c r="I15" s="274"/>
      <c r="J15" s="274"/>
      <c r="K15" s="315"/>
      <c r="M15" s="309" t="s">
        <v>3258</v>
      </c>
      <c r="P15" s="331" t="str">
        <f>O15/O13</f>
        <v>#DIV/0!</v>
      </c>
      <c r="R15" s="316"/>
      <c r="S15" s="50" t="s">
        <v>3259</v>
      </c>
      <c r="T15" s="317">
        <v>3244386.654648712</v>
      </c>
      <c r="U15" s="162">
        <v>3355305.856517044</v>
      </c>
      <c r="V15" s="318">
        <f t="shared" si="1"/>
        <v>3.4</v>
      </c>
      <c r="W15" s="274"/>
      <c r="X15" s="274"/>
      <c r="Y15" s="274"/>
      <c r="Z15" s="274">
        <v>0.875</v>
      </c>
      <c r="AA15" s="309">
        <v>290856.5385</v>
      </c>
      <c r="AB15" s="309">
        <v>162879.6615</v>
      </c>
      <c r="AC15" s="309">
        <v>139611.1385</v>
      </c>
      <c r="AD15" s="274"/>
      <c r="AE15" s="329" t="s">
        <v>3260</v>
      </c>
      <c r="AF15" s="320" t="s">
        <v>3261</v>
      </c>
      <c r="AG15" s="320" t="s">
        <v>3261</v>
      </c>
      <c r="AH15" s="320" t="s">
        <v>3261</v>
      </c>
      <c r="AI15" s="274"/>
      <c r="AJ15" s="320" t="s">
        <v>3262</v>
      </c>
      <c r="AK15" s="320" t="s">
        <v>3263</v>
      </c>
      <c r="AL15" s="274"/>
      <c r="AM15" s="274"/>
      <c r="AN15" s="274"/>
      <c r="AO15" s="274"/>
      <c r="AP15" s="274"/>
      <c r="AQ15" s="274"/>
      <c r="AR15" s="274"/>
      <c r="AS15" s="274"/>
      <c r="AT15" s="274"/>
      <c r="AU15" s="274"/>
      <c r="AV15" s="274"/>
      <c r="AW15" s="274"/>
    </row>
    <row r="16" ht="15.75" customHeight="1">
      <c r="A16" s="309" t="s">
        <v>3264</v>
      </c>
      <c r="B16" s="309" t="s">
        <v>3265</v>
      </c>
      <c r="G16" s="274"/>
      <c r="H16" s="274"/>
      <c r="I16" s="274"/>
      <c r="J16" s="274"/>
      <c r="K16" s="315"/>
      <c r="M16" s="309" t="s">
        <v>3266</v>
      </c>
      <c r="P16" s="331" t="str">
        <f>O16/O13</f>
        <v>#DIV/0!</v>
      </c>
      <c r="R16" s="316"/>
      <c r="S16" s="50" t="s">
        <v>3267</v>
      </c>
      <c r="T16" s="317">
        <v>4301254.077120001</v>
      </c>
      <c r="U16" s="162">
        <v>4463438.5481400015</v>
      </c>
      <c r="V16" s="318">
        <f t="shared" si="1"/>
        <v>3.8</v>
      </c>
      <c r="W16" s="274"/>
      <c r="X16" s="274"/>
      <c r="Y16" s="274"/>
      <c r="Z16" s="274">
        <v>0.937</v>
      </c>
      <c r="AA16" s="309">
        <v>290856.5385</v>
      </c>
      <c r="AB16" s="309">
        <v>162879.6615</v>
      </c>
      <c r="AC16" s="309">
        <v>139611.1385</v>
      </c>
      <c r="AD16" s="274"/>
      <c r="AE16" s="329" t="s">
        <v>3268</v>
      </c>
      <c r="AF16" s="320" t="s">
        <v>3269</v>
      </c>
      <c r="AG16" s="326" t="s">
        <v>3270</v>
      </c>
      <c r="AH16" s="320" t="s">
        <v>3269</v>
      </c>
      <c r="AI16" s="274"/>
      <c r="AJ16" s="320" t="s">
        <v>3271</v>
      </c>
      <c r="AK16" s="320" t="s">
        <v>3272</v>
      </c>
      <c r="AL16" s="274"/>
      <c r="AM16" s="274"/>
      <c r="AN16" s="274"/>
      <c r="AO16" s="274"/>
      <c r="AP16" s="274"/>
      <c r="AQ16" s="274"/>
      <c r="AR16" s="274"/>
      <c r="AS16" s="274"/>
      <c r="AT16" s="274"/>
      <c r="AU16" s="274"/>
      <c r="AV16" s="274"/>
      <c r="AW16" s="274"/>
    </row>
    <row r="17" ht="15.75" customHeight="1">
      <c r="A17" s="274"/>
      <c r="B17" s="274"/>
      <c r="C17" s="274"/>
      <c r="D17" s="274"/>
      <c r="E17" s="274"/>
      <c r="F17" s="274"/>
      <c r="G17" s="274"/>
      <c r="H17" s="274"/>
      <c r="I17" s="274"/>
      <c r="J17" s="274"/>
      <c r="K17" s="315"/>
      <c r="R17" s="316"/>
      <c r="S17" s="50" t="s">
        <v>3273</v>
      </c>
      <c r="T17" s="317">
        <v>6171860.777940002</v>
      </c>
      <c r="U17" s="162">
        <v>6441414.562440002</v>
      </c>
      <c r="V17" s="318">
        <f t="shared" si="1"/>
        <v>4.4</v>
      </c>
      <c r="W17" s="274"/>
      <c r="X17" s="274"/>
      <c r="Y17" s="274"/>
      <c r="Z17" s="274">
        <v>1.015</v>
      </c>
      <c r="AA17" s="309">
        <v>290856.5385</v>
      </c>
      <c r="AB17" s="309">
        <v>162879.6615</v>
      </c>
      <c r="AC17" s="309">
        <v>139611.1385</v>
      </c>
      <c r="AD17" s="274"/>
      <c r="AE17" s="329" t="s">
        <v>3274</v>
      </c>
      <c r="AF17" s="320" t="s">
        <v>3275</v>
      </c>
      <c r="AG17" s="320" t="s">
        <v>3275</v>
      </c>
      <c r="AH17" s="320" t="s">
        <v>3275</v>
      </c>
      <c r="AI17" s="274"/>
      <c r="AJ17" s="320" t="s">
        <v>3276</v>
      </c>
      <c r="AK17" s="320" t="s">
        <v>3277</v>
      </c>
      <c r="AL17" s="274"/>
      <c r="AM17" s="274"/>
      <c r="AN17" s="274"/>
      <c r="AO17" s="274"/>
      <c r="AP17" s="274"/>
      <c r="AQ17" s="274"/>
      <c r="AR17" s="274"/>
      <c r="AS17" s="274"/>
      <c r="AT17" s="274"/>
      <c r="AU17" s="274"/>
      <c r="AV17" s="274"/>
      <c r="AW17" s="274"/>
    </row>
    <row r="18" ht="15.75" customHeight="1">
      <c r="A18" s="332" t="s">
        <v>3278</v>
      </c>
      <c r="G18" s="274"/>
      <c r="H18" s="308" t="s">
        <v>3279</v>
      </c>
      <c r="I18" s="274">
        <f>AVERAGE(I20:I23)</f>
        <v>142984.42</v>
      </c>
      <c r="J18" s="274"/>
      <c r="K18" s="315"/>
      <c r="L18" s="309"/>
      <c r="M18" s="333" t="s">
        <v>3280</v>
      </c>
      <c r="R18" s="316"/>
      <c r="S18" s="50" t="s">
        <v>3281</v>
      </c>
      <c r="T18" s="317">
        <v>2661658.1491500004</v>
      </c>
      <c r="U18" s="162">
        <v>2786986.786755601</v>
      </c>
      <c r="V18" s="318">
        <f t="shared" si="1"/>
        <v>4.7</v>
      </c>
      <c r="W18" s="274"/>
      <c r="X18" s="274"/>
      <c r="Y18" s="274"/>
      <c r="Z18" s="274">
        <v>1.062</v>
      </c>
      <c r="AA18" s="309">
        <v>290856.5385</v>
      </c>
      <c r="AB18" s="309">
        <v>162879.6615</v>
      </c>
      <c r="AC18" s="309">
        <v>139611.1385</v>
      </c>
      <c r="AD18" s="274"/>
      <c r="AE18" s="329" t="s">
        <v>3282</v>
      </c>
      <c r="AF18" s="320" t="s">
        <v>3283</v>
      </c>
      <c r="AG18" s="320" t="s">
        <v>3283</v>
      </c>
      <c r="AH18" s="320" t="s">
        <v>3283</v>
      </c>
      <c r="AI18" s="274"/>
      <c r="AJ18" s="320" t="s">
        <v>3284</v>
      </c>
      <c r="AK18" s="320" t="s">
        <v>3285</v>
      </c>
      <c r="AL18" s="274"/>
      <c r="AM18" s="274"/>
      <c r="AN18" s="274"/>
      <c r="AO18" s="274"/>
      <c r="AP18" s="274"/>
      <c r="AQ18" s="274"/>
      <c r="AR18" s="274"/>
      <c r="AS18" s="274"/>
      <c r="AT18" s="274"/>
      <c r="AU18" s="274"/>
      <c r="AV18" s="274"/>
      <c r="AW18" s="274"/>
    </row>
    <row r="19" ht="15.75" customHeight="1">
      <c r="A19" s="334" t="s">
        <v>3286</v>
      </c>
      <c r="B19" s="334" t="s">
        <v>3287</v>
      </c>
      <c r="C19" s="334" t="s">
        <v>3288</v>
      </c>
      <c r="D19" s="334" t="s">
        <v>3193</v>
      </c>
      <c r="E19" s="334" t="s">
        <v>3289</v>
      </c>
      <c r="F19" s="334" t="s">
        <v>3290</v>
      </c>
      <c r="G19" s="334" t="s">
        <v>3291</v>
      </c>
      <c r="H19" s="323" t="s">
        <v>3292</v>
      </c>
      <c r="I19" s="323" t="s">
        <v>3293</v>
      </c>
      <c r="J19" s="274"/>
      <c r="K19" s="315"/>
      <c r="L19" s="309"/>
      <c r="M19" s="309" t="s">
        <v>3294</v>
      </c>
      <c r="N19" s="335">
        <v>2296.0</v>
      </c>
      <c r="O19" s="309">
        <v>9.0</v>
      </c>
      <c r="P19" s="336">
        <f>1.35*1.22*1.28*1.3*1.1^3</f>
        <v>3.647749248</v>
      </c>
      <c r="Q19" s="330">
        <f t="shared" ref="Q19:Q20" si="7">PRODUCT(N19:P19)*5</f>
        <v>376885.4523</v>
      </c>
      <c r="R19" s="316"/>
      <c r="S19" s="50" t="s">
        <v>3295</v>
      </c>
      <c r="T19" s="317">
        <v>1945409.2302645005</v>
      </c>
      <c r="U19" s="162">
        <v>2038047.7650390004</v>
      </c>
      <c r="V19" s="318">
        <f t="shared" si="1"/>
        <v>4.8</v>
      </c>
      <c r="W19" s="274"/>
      <c r="X19" s="274"/>
      <c r="Y19" s="274"/>
      <c r="Z19" s="274">
        <v>1.125</v>
      </c>
      <c r="AA19" s="309">
        <v>290856.5385</v>
      </c>
      <c r="AB19" s="309">
        <v>162879.6615</v>
      </c>
      <c r="AC19" s="309">
        <v>139611.1385</v>
      </c>
      <c r="AD19" s="274"/>
      <c r="AE19" s="329" t="s">
        <v>3296</v>
      </c>
      <c r="AF19" s="320" t="s">
        <v>3297</v>
      </c>
      <c r="AG19" s="326" t="s">
        <v>3298</v>
      </c>
      <c r="AH19" s="320" t="s">
        <v>3297</v>
      </c>
      <c r="AI19" s="274"/>
      <c r="AJ19" s="320" t="s">
        <v>3299</v>
      </c>
      <c r="AK19" s="320" t="s">
        <v>3300</v>
      </c>
      <c r="AL19" s="274"/>
      <c r="AM19" s="274"/>
      <c r="AN19" s="274"/>
      <c r="AO19" s="274"/>
      <c r="AP19" s="274"/>
      <c r="AQ19" s="274"/>
      <c r="AR19" s="274"/>
      <c r="AS19" s="274"/>
      <c r="AT19" s="274"/>
      <c r="AU19" s="274"/>
      <c r="AV19" s="274"/>
      <c r="AW19" s="274"/>
    </row>
    <row r="20" ht="15.75" customHeight="1">
      <c r="A20" s="309">
        <v>1.0</v>
      </c>
      <c r="B20" s="274">
        <f>3*76784</f>
        <v>230352</v>
      </c>
      <c r="C20" s="274">
        <f t="shared" ref="C20:C21" si="8">4*44191</f>
        <v>176764</v>
      </c>
      <c r="D20" s="309">
        <v>1196695.0</v>
      </c>
      <c r="E20" s="274">
        <f t="shared" ref="E20:E23" si="9">(D20-C20-B20)/1.25</f>
        <v>631663.2</v>
      </c>
      <c r="F20" s="274">
        <f t="shared" ref="F20:F22" si="10">E20/5</f>
        <v>126332.64</v>
      </c>
      <c r="G20" s="309">
        <v>1251668.0</v>
      </c>
      <c r="H20" s="274">
        <f t="shared" ref="H20:H23" si="11">(G20-C20-B20)/1.25</f>
        <v>675641.6</v>
      </c>
      <c r="I20" s="274">
        <f t="shared" ref="I20:I22" si="12">H20/5</f>
        <v>135128.32</v>
      </c>
      <c r="J20" s="274"/>
      <c r="K20" s="315"/>
      <c r="L20" s="309"/>
      <c r="M20" s="309" t="s">
        <v>3301</v>
      </c>
      <c r="N20" s="335">
        <v>223.0</v>
      </c>
      <c r="O20" s="309">
        <v>189.0</v>
      </c>
      <c r="P20" s="336">
        <f>1.25*1.22*1.3*1.1^3</f>
        <v>2.6387075</v>
      </c>
      <c r="Q20" s="330">
        <f t="shared" si="7"/>
        <v>556068.025</v>
      </c>
      <c r="R20" s="316"/>
      <c r="S20" s="50" t="s">
        <v>3302</v>
      </c>
      <c r="T20" s="317">
        <v>2537490.3003450003</v>
      </c>
      <c r="U20" s="162">
        <v>2658323.17179</v>
      </c>
      <c r="V20" s="318">
        <f t="shared" si="1"/>
        <v>4.8</v>
      </c>
      <c r="W20" s="274"/>
      <c r="X20" s="274"/>
      <c r="Y20" s="274"/>
      <c r="Z20" s="274">
        <v>1.187</v>
      </c>
      <c r="AA20" s="309">
        <v>290856.5385</v>
      </c>
      <c r="AB20" s="309">
        <v>162879.6615</v>
      </c>
      <c r="AC20" s="309">
        <v>139611.1385</v>
      </c>
      <c r="AD20" s="274"/>
      <c r="AE20" s="337" t="s">
        <v>3303</v>
      </c>
      <c r="AF20" s="320" t="s">
        <v>3304</v>
      </c>
      <c r="AG20" s="326" t="s">
        <v>3305</v>
      </c>
      <c r="AH20" s="326" t="s">
        <v>3306</v>
      </c>
      <c r="AI20" s="274"/>
      <c r="AJ20" s="274"/>
      <c r="AK20" s="274"/>
      <c r="AL20" s="274"/>
      <c r="AM20" s="274"/>
      <c r="AN20" s="274"/>
      <c r="AO20" s="274"/>
      <c r="AP20" s="274"/>
      <c r="AQ20" s="274"/>
      <c r="AR20" s="274"/>
      <c r="AS20" s="274"/>
      <c r="AT20" s="274"/>
      <c r="AU20" s="274"/>
      <c r="AV20" s="274"/>
      <c r="AW20" s="274"/>
    </row>
    <row r="21" ht="15.75" customHeight="1">
      <c r="A21" s="309">
        <v>2.0</v>
      </c>
      <c r="B21" s="274">
        <f>4*76784</f>
        <v>307136</v>
      </c>
      <c r="C21" s="274">
        <f t="shared" si="8"/>
        <v>176764</v>
      </c>
      <c r="D21" s="309">
        <v>1250392.0</v>
      </c>
      <c r="E21" s="274">
        <f t="shared" si="9"/>
        <v>613193.6</v>
      </c>
      <c r="F21" s="274">
        <f t="shared" si="10"/>
        <v>122638.72</v>
      </c>
      <c r="G21" s="309">
        <v>1371588.0</v>
      </c>
      <c r="H21" s="274">
        <f t="shared" si="11"/>
        <v>710150.4</v>
      </c>
      <c r="I21" s="274">
        <f t="shared" si="12"/>
        <v>142030.08</v>
      </c>
      <c r="J21" s="274"/>
      <c r="K21" s="315"/>
      <c r="L21" s="309"/>
      <c r="M21" s="274"/>
      <c r="O21" s="274"/>
      <c r="P21" s="274"/>
      <c r="Q21" s="274"/>
      <c r="R21" s="316"/>
      <c r="S21" s="50" t="s">
        <v>3307</v>
      </c>
      <c r="T21" s="317">
        <v>3093859.7922375007</v>
      </c>
      <c r="U21" s="162">
        <v>3249869.4914400005</v>
      </c>
      <c r="V21" s="318">
        <f t="shared" si="1"/>
        <v>5</v>
      </c>
      <c r="W21" s="274"/>
      <c r="X21" s="274"/>
      <c r="Y21" s="274"/>
      <c r="Z21" s="274">
        <v>1.265</v>
      </c>
      <c r="AA21" s="309">
        <v>290856.5385</v>
      </c>
      <c r="AB21" s="309">
        <v>162879.6615</v>
      </c>
      <c r="AC21" s="309">
        <v>139611.1385</v>
      </c>
      <c r="AD21" s="274"/>
      <c r="AE21" s="337" t="s">
        <v>3308</v>
      </c>
      <c r="AF21" s="320" t="s">
        <v>3309</v>
      </c>
      <c r="AG21" s="320" t="s">
        <v>3309</v>
      </c>
      <c r="AH21" s="320" t="s">
        <v>3309</v>
      </c>
      <c r="AI21" s="274"/>
      <c r="AJ21" s="274"/>
      <c r="AK21" s="274"/>
      <c r="AL21" s="274"/>
      <c r="AM21" s="274"/>
      <c r="AN21" s="274"/>
      <c r="AO21" s="274"/>
      <c r="AP21" s="274"/>
      <c r="AQ21" s="274"/>
      <c r="AR21" s="274"/>
      <c r="AS21" s="274"/>
      <c r="AT21" s="274"/>
      <c r="AU21" s="274"/>
      <c r="AV21" s="274"/>
      <c r="AW21" s="274"/>
    </row>
    <row r="22" ht="15.75" customHeight="1">
      <c r="A22" s="309">
        <v>3.0</v>
      </c>
      <c r="B22" s="274">
        <f t="shared" ref="B22:B23" si="13">3*76784</f>
        <v>230352</v>
      </c>
      <c r="C22" s="274">
        <f>3*44191</f>
        <v>132573</v>
      </c>
      <c r="D22" s="309">
        <v>1227501.0</v>
      </c>
      <c r="E22" s="274">
        <f t="shared" si="9"/>
        <v>691660.8</v>
      </c>
      <c r="F22" s="274">
        <f t="shared" si="10"/>
        <v>138332.16</v>
      </c>
      <c r="G22" s="309">
        <v>1289143.0</v>
      </c>
      <c r="H22" s="274">
        <f t="shared" si="11"/>
        <v>740974.4</v>
      </c>
      <c r="I22" s="274">
        <f t="shared" si="12"/>
        <v>148194.88</v>
      </c>
      <c r="M22" s="338" t="s">
        <v>3310</v>
      </c>
      <c r="Q22" s="274"/>
      <c r="R22" s="316"/>
      <c r="S22" s="50" t="s">
        <v>3311</v>
      </c>
      <c r="T22" s="317">
        <v>4179850.349875201</v>
      </c>
      <c r="U22" s="162">
        <v>4412064.258201601</v>
      </c>
      <c r="V22" s="318">
        <f t="shared" si="1"/>
        <v>5.6</v>
      </c>
      <c r="W22" s="274"/>
      <c r="X22" s="274"/>
      <c r="Y22" s="274"/>
      <c r="Z22" s="274">
        <v>1.312</v>
      </c>
      <c r="AA22" s="309">
        <v>290856.5385</v>
      </c>
      <c r="AB22" s="309">
        <v>162879.6615</v>
      </c>
      <c r="AC22" s="309">
        <v>139611.1385</v>
      </c>
      <c r="AD22" s="274"/>
      <c r="AE22" s="337" t="s">
        <v>3312</v>
      </c>
      <c r="AF22" s="320" t="s">
        <v>3313</v>
      </c>
      <c r="AG22" s="320" t="s">
        <v>3313</v>
      </c>
      <c r="AH22" s="320" t="s">
        <v>3313</v>
      </c>
      <c r="AI22" s="274"/>
      <c r="AJ22" s="274"/>
      <c r="AK22" s="274"/>
      <c r="AL22" s="274"/>
      <c r="AM22" s="274"/>
      <c r="AN22" s="274"/>
      <c r="AO22" s="274"/>
      <c r="AP22" s="274"/>
      <c r="AQ22" s="274"/>
      <c r="AR22" s="274"/>
      <c r="AS22" s="274"/>
      <c r="AT22" s="274"/>
      <c r="AU22" s="274"/>
      <c r="AV22" s="274"/>
      <c r="AW22" s="274"/>
    </row>
    <row r="23" ht="15.75" customHeight="1">
      <c r="A23" s="309">
        <v>4.0</v>
      </c>
      <c r="B23" s="274">
        <f t="shared" si="13"/>
        <v>230352</v>
      </c>
      <c r="C23" s="274">
        <f>4*44191</f>
        <v>176764</v>
      </c>
      <c r="D23" s="309">
        <v>1404946.0</v>
      </c>
      <c r="E23" s="274">
        <f t="shared" si="9"/>
        <v>798264</v>
      </c>
      <c r="F23" s="274">
        <f>E23/6</f>
        <v>133044</v>
      </c>
      <c r="G23" s="309">
        <v>1506499.0</v>
      </c>
      <c r="H23" s="274">
        <f t="shared" si="11"/>
        <v>879506.4</v>
      </c>
      <c r="I23" s="274">
        <f>H23/6</f>
        <v>146584.4</v>
      </c>
      <c r="J23" s="274"/>
      <c r="K23" s="274"/>
      <c r="L23" s="309"/>
      <c r="M23" s="320" t="s">
        <v>3314</v>
      </c>
      <c r="N23" s="320" t="s">
        <v>3315</v>
      </c>
      <c r="O23" s="320" t="s">
        <v>3316</v>
      </c>
      <c r="P23" s="320" t="s">
        <v>3317</v>
      </c>
      <c r="Q23" s="274"/>
      <c r="R23" s="316"/>
      <c r="S23" s="50" t="s">
        <v>3318</v>
      </c>
      <c r="T23" s="317">
        <v>2196654.9075900004</v>
      </c>
      <c r="U23" s="162">
        <v>2329785.5080500003</v>
      </c>
      <c r="V23" s="318">
        <f t="shared" si="1"/>
        <v>6.1</v>
      </c>
      <c r="W23" s="274"/>
      <c r="X23" s="274"/>
      <c r="Y23" s="274"/>
      <c r="Z23" s="274">
        <v>1.375</v>
      </c>
      <c r="AA23" s="309">
        <v>290856.5385</v>
      </c>
      <c r="AB23" s="309">
        <v>162879.6615</v>
      </c>
      <c r="AC23" s="309">
        <v>139611.1385</v>
      </c>
      <c r="AD23" s="274"/>
      <c r="AE23" s="337" t="s">
        <v>3319</v>
      </c>
      <c r="AF23" s="320" t="s">
        <v>3320</v>
      </c>
      <c r="AG23" s="320" t="s">
        <v>3320</v>
      </c>
      <c r="AH23" s="320" t="s">
        <v>3320</v>
      </c>
      <c r="AI23" s="274"/>
      <c r="AJ23" s="274"/>
      <c r="AK23" s="274"/>
      <c r="AL23" s="274"/>
      <c r="AM23" s="274"/>
      <c r="AN23" s="274"/>
      <c r="AO23" s="274"/>
      <c r="AP23" s="274"/>
      <c r="AQ23" s="274"/>
      <c r="AR23" s="274"/>
      <c r="AS23" s="274"/>
      <c r="AT23" s="274"/>
      <c r="AU23" s="274"/>
      <c r="AV23" s="274"/>
      <c r="AW23" s="274"/>
    </row>
    <row r="24" ht="15.75" customHeight="1">
      <c r="A24" s="274"/>
      <c r="B24" s="274"/>
      <c r="C24" s="274"/>
      <c r="D24" s="274"/>
      <c r="E24" s="274"/>
      <c r="F24" s="274"/>
      <c r="G24" s="274"/>
      <c r="H24" s="274"/>
      <c r="I24" s="274"/>
      <c r="J24" s="308"/>
      <c r="K24" s="274"/>
      <c r="L24" s="274"/>
      <c r="M24" s="320" t="s">
        <v>1103</v>
      </c>
      <c r="N24" s="320">
        <v>5.0</v>
      </c>
      <c r="O24" s="320">
        <v>4182.0</v>
      </c>
      <c r="P24" s="330">
        <f>O24/1.1/(21494/2048)/1.25/1.15</f>
        <v>251.9974799</v>
      </c>
      <c r="Q24" s="274"/>
      <c r="R24" s="316"/>
      <c r="S24" s="50" t="s">
        <v>3321</v>
      </c>
      <c r="T24" s="317">
        <v>5251360.770255601</v>
      </c>
      <c r="U24" s="162">
        <v>5583414.027391203</v>
      </c>
      <c r="V24" s="318">
        <f t="shared" si="1"/>
        <v>6.3</v>
      </c>
      <c r="W24" s="274"/>
      <c r="X24" s="274"/>
      <c r="Y24" s="274"/>
      <c r="Z24" s="274">
        <v>1.437</v>
      </c>
      <c r="AA24" s="309">
        <v>290856.5385</v>
      </c>
      <c r="AB24" s="309">
        <v>162879.6615</v>
      </c>
      <c r="AC24" s="309">
        <v>139611.1385</v>
      </c>
      <c r="AD24" s="274"/>
      <c r="AE24" s="337" t="s">
        <v>3322</v>
      </c>
      <c r="AF24" s="320" t="s">
        <v>3323</v>
      </c>
      <c r="AG24" s="320" t="s">
        <v>3323</v>
      </c>
      <c r="AH24" s="320" t="s">
        <v>3323</v>
      </c>
      <c r="AI24" s="274"/>
      <c r="AJ24" s="274"/>
      <c r="AK24" s="274"/>
      <c r="AL24" s="274"/>
      <c r="AM24" s="274"/>
      <c r="AN24" s="274"/>
      <c r="AO24" s="274"/>
      <c r="AP24" s="274"/>
      <c r="AQ24" s="274"/>
      <c r="AR24" s="274"/>
      <c r="AS24" s="274"/>
      <c r="AT24" s="274"/>
      <c r="AU24" s="274"/>
      <c r="AV24" s="274"/>
      <c r="AW24" s="274"/>
    </row>
    <row r="25" ht="15.75" customHeight="1">
      <c r="A25" s="332" t="s">
        <v>3324</v>
      </c>
      <c r="G25" s="274"/>
      <c r="H25" s="274"/>
      <c r="I25" s="274"/>
      <c r="J25" s="309"/>
      <c r="K25" s="274"/>
      <c r="L25" s="274"/>
      <c r="M25" s="320" t="s">
        <v>2111</v>
      </c>
      <c r="N25" s="320">
        <v>4.0</v>
      </c>
      <c r="O25" s="320">
        <v>4444.0</v>
      </c>
      <c r="P25" s="330">
        <f>O25/1.08/(21494/2048)/1.25/1.15</f>
        <v>272.7439646</v>
      </c>
      <c r="Q25" s="274"/>
      <c r="R25" s="316"/>
      <c r="S25" s="50" t="s">
        <v>3325</v>
      </c>
      <c r="T25" s="317">
        <v>4108207.4053020007</v>
      </c>
      <c r="U25" s="162">
        <v>4367976.960204001</v>
      </c>
      <c r="V25" s="318">
        <f t="shared" si="1"/>
        <v>6.3</v>
      </c>
      <c r="W25" s="274"/>
      <c r="X25" s="274"/>
      <c r="Y25" s="274"/>
      <c r="Z25" s="274">
        <v>1.5</v>
      </c>
      <c r="AA25" s="309">
        <v>290856.5385</v>
      </c>
      <c r="AB25" s="309">
        <v>162879.6615</v>
      </c>
      <c r="AC25" s="309">
        <v>139611.1385</v>
      </c>
      <c r="AD25" s="274"/>
      <c r="AE25" s="337" t="s">
        <v>3326</v>
      </c>
      <c r="AF25" s="320" t="s">
        <v>3327</v>
      </c>
      <c r="AG25" s="320" t="s">
        <v>3327</v>
      </c>
      <c r="AH25" s="320" t="s">
        <v>3327</v>
      </c>
      <c r="AI25" s="274"/>
      <c r="AJ25" s="274"/>
      <c r="AK25" s="274"/>
      <c r="AL25" s="274"/>
      <c r="AM25" s="274"/>
      <c r="AN25" s="274"/>
      <c r="AO25" s="274"/>
      <c r="AP25" s="274"/>
      <c r="AQ25" s="274"/>
      <c r="AR25" s="274"/>
      <c r="AS25" s="274"/>
      <c r="AT25" s="274"/>
      <c r="AU25" s="274"/>
      <c r="AV25" s="274"/>
      <c r="AW25" s="274"/>
    </row>
    <row r="26" ht="15.75" customHeight="1">
      <c r="A26" s="309">
        <v>3382.0</v>
      </c>
      <c r="B26" s="309">
        <v>1.0</v>
      </c>
      <c r="C26" s="309">
        <v>1.5</v>
      </c>
      <c r="D26" s="309">
        <f t="shared" ref="D26:D39" si="14">PRODUCT(A26:C26)</f>
        <v>5073</v>
      </c>
      <c r="E26" s="274">
        <f>SUM(D26:D42)</f>
        <v>282397</v>
      </c>
      <c r="G26" s="274"/>
      <c r="H26" s="274"/>
      <c r="I26" s="274"/>
      <c r="J26" s="309"/>
      <c r="K26" s="274"/>
      <c r="M26" s="320" t="s">
        <v>1752</v>
      </c>
      <c r="N26" s="320">
        <v>5.0</v>
      </c>
      <c r="O26" s="320">
        <v>4182.0</v>
      </c>
      <c r="P26" s="330">
        <f>O26/1.1/(21494/2048)/1.25/1.15</f>
        <v>251.9974799</v>
      </c>
      <c r="Q26" s="274"/>
      <c r="R26" s="316"/>
      <c r="S26" s="50" t="s">
        <v>3328</v>
      </c>
      <c r="T26" s="317">
        <v>6114421.002991802</v>
      </c>
      <c r="U26" s="162">
        <v>6522049.069857922</v>
      </c>
      <c r="V26" s="318">
        <f t="shared" si="1"/>
        <v>6.7</v>
      </c>
      <c r="W26" s="274"/>
      <c r="X26" s="274"/>
      <c r="Y26" s="274"/>
      <c r="Z26" s="274">
        <v>1.578</v>
      </c>
      <c r="AA26" s="309">
        <v>290856.5385</v>
      </c>
      <c r="AB26" s="309">
        <v>162879.6615</v>
      </c>
      <c r="AC26" s="309">
        <v>139611.1385</v>
      </c>
      <c r="AD26" s="274"/>
      <c r="AE26" s="337" t="s">
        <v>3329</v>
      </c>
      <c r="AF26" s="320" t="s">
        <v>3330</v>
      </c>
      <c r="AG26" s="320" t="s">
        <v>3330</v>
      </c>
      <c r="AH26" s="320" t="s">
        <v>3330</v>
      </c>
      <c r="AI26" s="274"/>
      <c r="AJ26" s="274"/>
      <c r="AK26" s="274"/>
      <c r="AL26" s="274"/>
      <c r="AM26" s="274"/>
      <c r="AN26" s="274"/>
      <c r="AO26" s="274"/>
      <c r="AP26" s="274"/>
      <c r="AQ26" s="274"/>
      <c r="AR26" s="274"/>
      <c r="AS26" s="274"/>
      <c r="AT26" s="274"/>
      <c r="AU26" s="274"/>
      <c r="AV26" s="274"/>
      <c r="AW26" s="274"/>
    </row>
    <row r="27" ht="15.75" customHeight="1">
      <c r="A27" s="309">
        <v>3382.0</v>
      </c>
      <c r="B27" s="309">
        <v>1.6</v>
      </c>
      <c r="C27" s="309">
        <v>1.5</v>
      </c>
      <c r="D27" s="309">
        <f t="shared" si="14"/>
        <v>8116.8</v>
      </c>
      <c r="E27" s="274"/>
      <c r="G27" s="274"/>
      <c r="H27" s="274"/>
      <c r="I27" s="274"/>
      <c r="J27" s="309"/>
      <c r="K27" s="274"/>
      <c r="M27" s="320" t="s">
        <v>1793</v>
      </c>
      <c r="N27" s="320">
        <v>4.0</v>
      </c>
      <c r="O27" s="320">
        <v>5133.0</v>
      </c>
      <c r="P27" s="330">
        <f>O27/1.08/(21494/2048)/1.25/1.15</f>
        <v>315.0303264</v>
      </c>
      <c r="Q27" s="274"/>
      <c r="R27" s="316"/>
      <c r="S27" s="50" t="s">
        <v>3331</v>
      </c>
      <c r="T27" s="317">
        <v>4991364.08407494</v>
      </c>
      <c r="U27" s="162">
        <v>5324121.689679936</v>
      </c>
      <c r="V27" s="318">
        <f t="shared" si="1"/>
        <v>6.7</v>
      </c>
      <c r="W27" s="274"/>
      <c r="X27" s="274"/>
      <c r="Y27" s="274"/>
      <c r="Z27" s="274">
        <v>1.625</v>
      </c>
      <c r="AA27" s="309">
        <v>290856.5385</v>
      </c>
      <c r="AB27" s="309">
        <v>162879.6615</v>
      </c>
      <c r="AC27" s="309">
        <v>139611.1385</v>
      </c>
      <c r="AD27" s="274"/>
      <c r="AE27" s="337" t="s">
        <v>3332</v>
      </c>
      <c r="AF27" s="320" t="s">
        <v>3333</v>
      </c>
      <c r="AG27" s="320" t="s">
        <v>3333</v>
      </c>
      <c r="AH27" s="320" t="s">
        <v>3333</v>
      </c>
      <c r="AI27" s="274"/>
      <c r="AJ27" s="274"/>
      <c r="AK27" s="274"/>
      <c r="AL27" s="274"/>
      <c r="AM27" s="274"/>
      <c r="AN27" s="274"/>
      <c r="AO27" s="274"/>
      <c r="AP27" s="274"/>
      <c r="AQ27" s="274"/>
      <c r="AR27" s="274"/>
      <c r="AS27" s="274"/>
      <c r="AT27" s="274"/>
      <c r="AU27" s="274"/>
      <c r="AV27" s="274"/>
      <c r="AW27" s="274"/>
    </row>
    <row r="28" ht="15.75" customHeight="1">
      <c r="A28" s="309">
        <v>3382.0</v>
      </c>
      <c r="B28" s="274">
        <f t="shared" ref="B28:B36" si="15">B27+0.6</f>
        <v>2.2</v>
      </c>
      <c r="C28" s="309">
        <v>1.5</v>
      </c>
      <c r="D28" s="309">
        <f t="shared" si="14"/>
        <v>11160.6</v>
      </c>
      <c r="E28" s="274"/>
      <c r="G28" s="274"/>
      <c r="H28" s="274"/>
      <c r="I28" s="274"/>
      <c r="J28" s="309"/>
      <c r="K28" s="274"/>
      <c r="M28" s="320" t="s">
        <v>3334</v>
      </c>
      <c r="N28" s="320">
        <v>5.0</v>
      </c>
      <c r="O28" s="320">
        <v>5228.0</v>
      </c>
      <c r="P28" s="330">
        <f>O28/1.1/(21494/2048)/1.25/1.15</f>
        <v>315.0269788</v>
      </c>
      <c r="Q28" s="274"/>
      <c r="R28" s="316"/>
      <c r="S28" s="50" t="s">
        <v>3335</v>
      </c>
      <c r="T28" s="317">
        <v>3119602.552546838</v>
      </c>
      <c r="U28" s="162">
        <v>3327576.05604996</v>
      </c>
      <c r="V28" s="318">
        <f t="shared" si="1"/>
        <v>6.7</v>
      </c>
      <c r="W28" s="274"/>
      <c r="X28" s="274"/>
      <c r="Y28" s="274"/>
      <c r="Z28" s="274">
        <v>1.687</v>
      </c>
      <c r="AA28" s="309">
        <v>290856.5385</v>
      </c>
      <c r="AB28" s="309">
        <v>162879.6615</v>
      </c>
      <c r="AC28" s="309">
        <v>139611.1385</v>
      </c>
      <c r="AD28" s="274"/>
      <c r="AE28" s="337" t="s">
        <v>3336</v>
      </c>
      <c r="AF28" s="320" t="s">
        <v>3337</v>
      </c>
      <c r="AG28" s="320" t="s">
        <v>3337</v>
      </c>
      <c r="AH28" s="320" t="s">
        <v>3337</v>
      </c>
      <c r="AI28" s="274"/>
      <c r="AJ28" s="274"/>
      <c r="AK28" s="274"/>
      <c r="AL28" s="274"/>
      <c r="AM28" s="274"/>
      <c r="AN28" s="274"/>
      <c r="AO28" s="274"/>
      <c r="AP28" s="274"/>
      <c r="AQ28" s="274"/>
      <c r="AR28" s="274"/>
      <c r="AS28" s="274"/>
      <c r="AT28" s="274"/>
      <c r="AU28" s="274"/>
      <c r="AV28" s="274"/>
      <c r="AW28" s="274"/>
    </row>
    <row r="29" ht="15.75" customHeight="1">
      <c r="A29" s="309">
        <v>3382.0</v>
      </c>
      <c r="B29" s="274">
        <f t="shared" si="15"/>
        <v>2.8</v>
      </c>
      <c r="C29" s="309">
        <v>1.5</v>
      </c>
      <c r="D29" s="309">
        <f t="shared" si="14"/>
        <v>14204.4</v>
      </c>
      <c r="E29" s="274"/>
      <c r="G29" s="274"/>
      <c r="H29" s="274"/>
      <c r="I29" s="274"/>
      <c r="J29" s="309"/>
      <c r="K29" s="274"/>
      <c r="M29" s="320" t="s">
        <v>1772</v>
      </c>
      <c r="N29" s="320">
        <v>4.0</v>
      </c>
      <c r="O29" s="320">
        <v>5133.0</v>
      </c>
      <c r="P29" s="330">
        <f t="shared" ref="P29:P31" si="16">O29/1.08/(21494/2048)/1.25/1.15</f>
        <v>315.0303264</v>
      </c>
      <c r="Q29" s="274"/>
      <c r="R29" s="316"/>
      <c r="S29" s="50" t="s">
        <v>3338</v>
      </c>
      <c r="T29" s="317">
        <v>2593600.0226136004</v>
      </c>
      <c r="U29" s="162">
        <v>2772468.9896904007</v>
      </c>
      <c r="V29" s="318">
        <f t="shared" si="1"/>
        <v>6.9</v>
      </c>
      <c r="W29" s="274"/>
      <c r="X29" s="274"/>
      <c r="Y29" s="274"/>
      <c r="Z29" s="274">
        <v>1.765</v>
      </c>
      <c r="AA29" s="309">
        <v>290856.5385</v>
      </c>
      <c r="AB29" s="309">
        <v>162879.6615</v>
      </c>
      <c r="AC29" s="309">
        <v>186148.1846</v>
      </c>
      <c r="AD29" s="274"/>
      <c r="AE29" s="274"/>
      <c r="AF29" s="274"/>
      <c r="AG29" s="274"/>
      <c r="AH29" s="274"/>
      <c r="AI29" s="274"/>
      <c r="AJ29" s="274"/>
      <c r="AK29" s="274"/>
      <c r="AL29" s="274"/>
      <c r="AM29" s="274"/>
      <c r="AN29" s="274"/>
      <c r="AO29" s="274"/>
      <c r="AP29" s="274"/>
      <c r="AQ29" s="274"/>
      <c r="AR29" s="274"/>
      <c r="AS29" s="274"/>
      <c r="AT29" s="274"/>
      <c r="AU29" s="274"/>
      <c r="AV29" s="274"/>
      <c r="AW29" s="274"/>
    </row>
    <row r="30" ht="15.75" customHeight="1">
      <c r="A30" s="309">
        <v>3382.0</v>
      </c>
      <c r="B30" s="274">
        <f t="shared" si="15"/>
        <v>3.4</v>
      </c>
      <c r="C30" s="309">
        <v>1.5</v>
      </c>
      <c r="D30" s="309">
        <f t="shared" si="14"/>
        <v>17248.2</v>
      </c>
      <c r="E30" s="274"/>
      <c r="G30" s="274"/>
      <c r="H30" s="274"/>
      <c r="I30" s="274"/>
      <c r="J30" s="309"/>
      <c r="K30" s="274"/>
      <c r="L30" s="274"/>
      <c r="M30" s="320" t="s">
        <v>3339</v>
      </c>
      <c r="N30" s="320">
        <v>4.0</v>
      </c>
      <c r="O30" s="320">
        <v>4107.0</v>
      </c>
      <c r="P30" s="330">
        <f t="shared" si="16"/>
        <v>252.0610852</v>
      </c>
      <c r="Q30" s="274"/>
      <c r="R30" s="316"/>
      <c r="S30" s="50" t="s">
        <v>3340</v>
      </c>
      <c r="T30" s="317">
        <v>2029006.8204120002</v>
      </c>
      <c r="U30" s="162">
        <v>2168938.3252680004</v>
      </c>
      <c r="V30" s="318">
        <f t="shared" si="1"/>
        <v>6.9</v>
      </c>
      <c r="W30" s="274"/>
      <c r="X30" s="274"/>
      <c r="Y30" s="274"/>
      <c r="Z30" s="274">
        <v>1.812</v>
      </c>
      <c r="AA30" s="309">
        <v>290856.5385</v>
      </c>
      <c r="AB30" s="309">
        <v>162879.6615</v>
      </c>
      <c r="AC30" s="309">
        <v>186148.1846</v>
      </c>
      <c r="AD30" s="274"/>
      <c r="AG30" s="320"/>
      <c r="AH30" s="274"/>
      <c r="AI30" s="274"/>
      <c r="AJ30" s="274"/>
      <c r="AK30" s="274"/>
      <c r="AL30" s="274"/>
      <c r="AM30" s="274"/>
      <c r="AN30" s="274"/>
      <c r="AO30" s="274"/>
      <c r="AP30" s="274"/>
      <c r="AQ30" s="274"/>
      <c r="AR30" s="274"/>
      <c r="AS30" s="274"/>
      <c r="AT30" s="274"/>
      <c r="AU30" s="274"/>
      <c r="AV30" s="274"/>
      <c r="AW30" s="274"/>
    </row>
    <row r="31" ht="15.75" customHeight="1">
      <c r="A31" s="309">
        <v>3382.0</v>
      </c>
      <c r="B31" s="274">
        <f t="shared" si="15"/>
        <v>4</v>
      </c>
      <c r="C31" s="309">
        <v>1.5</v>
      </c>
      <c r="D31" s="309">
        <f t="shared" si="14"/>
        <v>20292</v>
      </c>
      <c r="E31" s="274"/>
      <c r="G31" s="274"/>
      <c r="H31" s="274"/>
      <c r="I31" s="274"/>
      <c r="J31" s="309"/>
      <c r="K31" s="274"/>
      <c r="L31" s="274"/>
      <c r="M31" s="320" t="s">
        <v>3341</v>
      </c>
      <c r="N31" s="320">
        <v>4.0</v>
      </c>
      <c r="O31" s="320">
        <v>4107.0</v>
      </c>
      <c r="P31" s="330">
        <f t="shared" si="16"/>
        <v>252.0610852</v>
      </c>
      <c r="Q31" s="274"/>
      <c r="R31" s="316"/>
      <c r="S31" s="50" t="s">
        <v>3342</v>
      </c>
      <c r="T31" s="317">
        <v>2646530.635320001</v>
      </c>
      <c r="U31" s="162">
        <v>2829049.989480001</v>
      </c>
      <c r="V31" s="318">
        <f t="shared" si="1"/>
        <v>6.9</v>
      </c>
      <c r="W31" s="274"/>
      <c r="X31" s="274"/>
      <c r="Y31" s="274"/>
      <c r="Z31" s="274">
        <v>1.875</v>
      </c>
      <c r="AA31" s="309">
        <v>290856.5385</v>
      </c>
      <c r="AB31" s="309">
        <v>162879.6615</v>
      </c>
      <c r="AC31" s="309">
        <v>186148.1846</v>
      </c>
      <c r="AD31" s="274"/>
      <c r="AG31" s="309"/>
      <c r="AH31" s="274"/>
      <c r="AI31" s="274"/>
      <c r="AJ31" s="274"/>
      <c r="AK31" s="274"/>
      <c r="AL31" s="274"/>
      <c r="AM31" s="274"/>
      <c r="AN31" s="274"/>
      <c r="AO31" s="274"/>
      <c r="AP31" s="274"/>
      <c r="AQ31" s="274"/>
      <c r="AR31" s="274"/>
      <c r="AS31" s="274"/>
      <c r="AT31" s="274"/>
      <c r="AU31" s="274"/>
      <c r="AV31" s="274"/>
      <c r="AW31" s="274"/>
    </row>
    <row r="32" ht="15.75" customHeight="1">
      <c r="A32" s="309">
        <v>3382.0</v>
      </c>
      <c r="B32" s="274">
        <f t="shared" si="15"/>
        <v>4.6</v>
      </c>
      <c r="C32" s="309">
        <v>1.5</v>
      </c>
      <c r="D32" s="309">
        <f t="shared" si="14"/>
        <v>23335.8</v>
      </c>
      <c r="E32" s="274"/>
      <c r="G32" s="274"/>
      <c r="H32" s="274"/>
      <c r="I32" s="274"/>
      <c r="J32" s="309"/>
      <c r="K32" s="274"/>
      <c r="L32" s="274"/>
      <c r="M32" s="320" t="s">
        <v>1779</v>
      </c>
      <c r="N32" s="320">
        <v>4.0</v>
      </c>
      <c r="O32" s="320">
        <v>5401.0</v>
      </c>
      <c r="P32" s="330">
        <f t="shared" ref="P32:P35" si="17">O32/1.08/(21494/2048)/1.25/1.1</f>
        <v>346.5456338</v>
      </c>
      <c r="Q32" s="274"/>
      <c r="R32" s="316"/>
      <c r="S32" s="50" t="s">
        <v>3343</v>
      </c>
      <c r="T32" s="317">
        <v>3595329.810072001</v>
      </c>
      <c r="U32" s="162">
        <v>3852139.082220001</v>
      </c>
      <c r="V32" s="318">
        <f t="shared" si="1"/>
        <v>7.1</v>
      </c>
      <c r="W32" s="274"/>
      <c r="X32" s="274"/>
      <c r="Y32" s="274"/>
      <c r="Z32" s="274">
        <v>1.937</v>
      </c>
      <c r="AA32" s="309">
        <v>290856.5385</v>
      </c>
      <c r="AB32" s="309">
        <v>162879.6615</v>
      </c>
      <c r="AC32" s="309">
        <v>186148.1846</v>
      </c>
      <c r="AD32" s="274"/>
      <c r="AG32" s="309"/>
      <c r="AH32" s="274"/>
      <c r="AI32" s="274"/>
      <c r="AJ32" s="274"/>
      <c r="AK32" s="274"/>
      <c r="AL32" s="274"/>
      <c r="AM32" s="274"/>
      <c r="AN32" s="274"/>
      <c r="AO32" s="274"/>
      <c r="AP32" s="274"/>
      <c r="AQ32" s="274"/>
      <c r="AR32" s="274"/>
      <c r="AS32" s="274"/>
      <c r="AT32" s="274"/>
      <c r="AU32" s="274"/>
      <c r="AV32" s="274"/>
      <c r="AW32" s="274"/>
    </row>
    <row r="33" ht="15.75" customHeight="1">
      <c r="A33" s="309">
        <v>3382.0</v>
      </c>
      <c r="B33" s="274">
        <f t="shared" si="15"/>
        <v>5.2</v>
      </c>
      <c r="C33" s="309">
        <v>1.5</v>
      </c>
      <c r="D33" s="309">
        <f t="shared" si="14"/>
        <v>26379.6</v>
      </c>
      <c r="E33" s="274"/>
      <c r="G33" s="274"/>
      <c r="H33" s="274"/>
      <c r="I33" s="274"/>
      <c r="J33" s="309"/>
      <c r="K33" s="274"/>
      <c r="L33" s="274"/>
      <c r="M33" s="320" t="s">
        <v>3344</v>
      </c>
      <c r="N33" s="320">
        <v>4.0</v>
      </c>
      <c r="O33" s="320">
        <v>8347.0</v>
      </c>
      <c r="P33" s="330">
        <f t="shared" si="17"/>
        <v>535.5705249</v>
      </c>
      <c r="Q33" s="274"/>
      <c r="R33" s="316"/>
      <c r="S33" s="50" t="s">
        <v>3345</v>
      </c>
      <c r="T33" s="317">
        <v>4549935.990600001</v>
      </c>
      <c r="U33" s="162">
        <v>4874931.418500001</v>
      </c>
      <c r="V33" s="318">
        <f t="shared" si="1"/>
        <v>7.1</v>
      </c>
      <c r="W33" s="274"/>
      <c r="X33" s="274"/>
      <c r="Y33" s="274"/>
      <c r="Z33" s="274">
        <v>2.0</v>
      </c>
      <c r="AA33" s="309">
        <v>290856.5385</v>
      </c>
      <c r="AB33" s="309">
        <v>162879.6615</v>
      </c>
      <c r="AC33" s="309">
        <v>186148.1846</v>
      </c>
      <c r="AD33" s="274"/>
      <c r="AG33" s="309"/>
      <c r="AH33" s="274"/>
      <c r="AI33" s="274"/>
      <c r="AJ33" s="274"/>
      <c r="AK33" s="274"/>
      <c r="AL33" s="274"/>
      <c r="AM33" s="274"/>
      <c r="AN33" s="274"/>
      <c r="AO33" s="274"/>
      <c r="AP33" s="274"/>
      <c r="AQ33" s="274"/>
      <c r="AR33" s="274"/>
      <c r="AS33" s="274"/>
      <c r="AT33" s="274"/>
      <c r="AU33" s="274"/>
      <c r="AV33" s="274"/>
      <c r="AW33" s="274"/>
    </row>
    <row r="34" ht="15.75" customHeight="1">
      <c r="A34" s="309">
        <v>3382.0</v>
      </c>
      <c r="B34" s="274">
        <f t="shared" si="15"/>
        <v>5.8</v>
      </c>
      <c r="C34" s="309">
        <v>1.5</v>
      </c>
      <c r="D34" s="309">
        <f t="shared" si="14"/>
        <v>29423.4</v>
      </c>
      <c r="E34" s="274"/>
      <c r="G34" s="274"/>
      <c r="H34" s="274"/>
      <c r="I34" s="274"/>
      <c r="J34" s="309"/>
      <c r="K34" s="274"/>
      <c r="L34" s="274"/>
      <c r="M34" s="320" t="s">
        <v>1761</v>
      </c>
      <c r="N34" s="320">
        <v>4.0</v>
      </c>
      <c r="O34" s="320">
        <v>8347.0</v>
      </c>
      <c r="P34" s="330">
        <f t="shared" si="17"/>
        <v>535.5705249</v>
      </c>
      <c r="Q34" s="274"/>
      <c r="R34" s="316"/>
      <c r="S34" s="50" t="s">
        <v>3346</v>
      </c>
      <c r="T34" s="317">
        <v>2680370.2926000003</v>
      </c>
      <c r="U34" s="162">
        <v>2871825.3135000006</v>
      </c>
      <c r="V34" s="318">
        <f t="shared" si="1"/>
        <v>7.1</v>
      </c>
      <c r="W34" s="274"/>
      <c r="X34" s="274"/>
      <c r="Y34" s="274"/>
      <c r="Z34" s="274">
        <v>2.062</v>
      </c>
      <c r="AA34" s="309">
        <v>290856.5385</v>
      </c>
      <c r="AB34" s="309">
        <v>162879.6615</v>
      </c>
      <c r="AC34" s="309">
        <v>244319.4923</v>
      </c>
      <c r="AD34" s="274"/>
      <c r="AG34" s="309"/>
      <c r="AH34" s="274"/>
      <c r="AI34" s="274"/>
      <c r="AJ34" s="274"/>
      <c r="AK34" s="274"/>
      <c r="AL34" s="274"/>
      <c r="AM34" s="274"/>
      <c r="AN34" s="274"/>
      <c r="AO34" s="274"/>
      <c r="AP34" s="274"/>
      <c r="AQ34" s="274"/>
      <c r="AR34" s="274"/>
      <c r="AS34" s="274"/>
      <c r="AT34" s="274"/>
      <c r="AU34" s="274"/>
      <c r="AV34" s="274"/>
      <c r="AW34" s="274"/>
    </row>
    <row r="35" ht="15.75" customHeight="1">
      <c r="A35" s="309">
        <v>3382.0</v>
      </c>
      <c r="B35" s="274">
        <f t="shared" si="15"/>
        <v>6.4</v>
      </c>
      <c r="C35" s="309">
        <v>1.5</v>
      </c>
      <c r="D35" s="309">
        <f t="shared" si="14"/>
        <v>32467.2</v>
      </c>
      <c r="E35" s="274"/>
      <c r="G35" s="274"/>
      <c r="H35" s="274"/>
      <c r="I35" s="274"/>
      <c r="J35" s="309"/>
      <c r="K35" s="274"/>
      <c r="L35" s="274"/>
      <c r="M35" s="320" t="s">
        <v>1898</v>
      </c>
      <c r="N35" s="320">
        <v>4.0</v>
      </c>
      <c r="O35" s="320">
        <v>5401.0</v>
      </c>
      <c r="P35" s="330">
        <f t="shared" si="17"/>
        <v>346.5456338</v>
      </c>
      <c r="Q35" s="274"/>
      <c r="R35" s="316"/>
      <c r="S35" s="50" t="s">
        <v>3347</v>
      </c>
      <c r="T35" s="317">
        <v>2750701.573620001</v>
      </c>
      <c r="U35" s="162">
        <v>2947180.257450001</v>
      </c>
      <c r="V35" s="318">
        <f t="shared" si="1"/>
        <v>7.1</v>
      </c>
      <c r="W35" s="274"/>
      <c r="X35" s="274"/>
      <c r="Y35" s="274"/>
      <c r="Z35" s="274">
        <v>2.125</v>
      </c>
      <c r="AA35" s="309">
        <v>290856.5385</v>
      </c>
      <c r="AB35" s="309">
        <v>162879.6615</v>
      </c>
      <c r="AC35" s="309">
        <v>244319.4923</v>
      </c>
      <c r="AD35" s="274"/>
      <c r="AG35" s="309"/>
      <c r="AH35" s="274"/>
      <c r="AI35" s="274"/>
      <c r="AJ35" s="274"/>
      <c r="AK35" s="274"/>
      <c r="AL35" s="274"/>
      <c r="AM35" s="274"/>
      <c r="AN35" s="274"/>
      <c r="AO35" s="274"/>
      <c r="AP35" s="274"/>
      <c r="AQ35" s="274"/>
      <c r="AR35" s="274"/>
      <c r="AS35" s="274"/>
      <c r="AT35" s="274"/>
      <c r="AU35" s="274"/>
      <c r="AV35" s="274"/>
      <c r="AW35" s="274"/>
    </row>
    <row r="36" ht="15.75" customHeight="1">
      <c r="A36" s="309">
        <v>3382.0</v>
      </c>
      <c r="B36" s="274">
        <f t="shared" si="15"/>
        <v>7</v>
      </c>
      <c r="C36" s="309">
        <v>1.0</v>
      </c>
      <c r="D36" s="309">
        <f t="shared" si="14"/>
        <v>23674</v>
      </c>
      <c r="E36" s="274"/>
      <c r="G36" s="274"/>
      <c r="H36" s="274"/>
      <c r="I36" s="274"/>
      <c r="J36" s="309"/>
      <c r="K36" s="274"/>
      <c r="L36" s="274"/>
      <c r="M36" s="320" t="s">
        <v>1805</v>
      </c>
      <c r="N36" s="320">
        <v>1.0</v>
      </c>
      <c r="O36" s="320">
        <v>538.0</v>
      </c>
      <c r="P36" s="330">
        <f>O36/1.02/1.194723</f>
        <v>441.4839092</v>
      </c>
      <c r="Q36" s="274"/>
      <c r="R36" s="316"/>
      <c r="S36" s="50" t="s">
        <v>3348</v>
      </c>
      <c r="T36" s="317">
        <v>2531114.982396</v>
      </c>
      <c r="U36" s="162">
        <v>2716730.0811050404</v>
      </c>
      <c r="V36" s="318">
        <f t="shared" si="1"/>
        <v>7.3</v>
      </c>
      <c r="W36" s="274"/>
      <c r="X36" s="274"/>
      <c r="Y36" s="274"/>
      <c r="Z36" s="274">
        <v>2.187</v>
      </c>
      <c r="AA36" s="309">
        <v>290856.5385</v>
      </c>
      <c r="AB36" s="309">
        <v>162879.6615</v>
      </c>
      <c r="AC36" s="309">
        <v>244319.4923</v>
      </c>
      <c r="AD36" s="274"/>
      <c r="AG36" s="309"/>
      <c r="AH36" s="274"/>
      <c r="AI36" s="274"/>
      <c r="AJ36" s="274"/>
      <c r="AK36" s="274"/>
      <c r="AL36" s="274"/>
      <c r="AM36" s="274"/>
      <c r="AN36" s="274"/>
      <c r="AO36" s="274"/>
      <c r="AP36" s="274"/>
      <c r="AQ36" s="274"/>
      <c r="AR36" s="274"/>
      <c r="AS36" s="274"/>
      <c r="AT36" s="274"/>
      <c r="AU36" s="274"/>
      <c r="AV36" s="274"/>
      <c r="AW36" s="274"/>
    </row>
    <row r="37" ht="15.75" customHeight="1">
      <c r="A37" s="309">
        <v>3382.0</v>
      </c>
      <c r="B37" s="309">
        <v>7.0</v>
      </c>
      <c r="C37" s="309">
        <v>1.0</v>
      </c>
      <c r="D37" s="309">
        <f t="shared" si="14"/>
        <v>23674</v>
      </c>
      <c r="E37" s="274"/>
      <c r="G37" s="274"/>
      <c r="H37" s="274"/>
      <c r="I37" s="274"/>
      <c r="J37" s="309"/>
      <c r="K37" s="274"/>
      <c r="L37" s="274"/>
      <c r="M37" s="274"/>
      <c r="N37" s="274"/>
      <c r="O37" s="274"/>
      <c r="P37" s="274"/>
      <c r="Q37" s="274"/>
      <c r="R37" s="316"/>
      <c r="S37" s="50" t="s">
        <v>3349</v>
      </c>
      <c r="T37" s="317">
        <v>4673021.502649502</v>
      </c>
      <c r="U37" s="162">
        <v>5019171.243586501</v>
      </c>
      <c r="V37" s="318">
        <f t="shared" si="1"/>
        <v>7.4</v>
      </c>
      <c r="W37" s="274"/>
      <c r="X37" s="274"/>
      <c r="Y37" s="274"/>
      <c r="Z37" s="274">
        <v>2.265</v>
      </c>
      <c r="AA37" s="309">
        <v>290856.5385</v>
      </c>
      <c r="AB37" s="309">
        <v>162879.6615</v>
      </c>
      <c r="AC37" s="309">
        <v>244319.4923</v>
      </c>
      <c r="AD37" s="274"/>
      <c r="AH37" s="274"/>
      <c r="AI37" s="274"/>
      <c r="AJ37" s="274"/>
      <c r="AK37" s="274"/>
      <c r="AL37" s="274"/>
      <c r="AM37" s="274"/>
      <c r="AN37" s="274"/>
      <c r="AO37" s="274"/>
      <c r="AP37" s="274"/>
      <c r="AQ37" s="274"/>
      <c r="AR37" s="274"/>
      <c r="AS37" s="274"/>
      <c r="AT37" s="274"/>
      <c r="AU37" s="274"/>
      <c r="AV37" s="274"/>
      <c r="AW37" s="274"/>
    </row>
    <row r="38" ht="15.75" customHeight="1">
      <c r="A38" s="309">
        <v>3382.0</v>
      </c>
      <c r="B38" s="309">
        <v>7.0</v>
      </c>
      <c r="C38" s="309">
        <v>1.0</v>
      </c>
      <c r="D38" s="309">
        <f t="shared" si="14"/>
        <v>23674</v>
      </c>
      <c r="E38" s="274"/>
      <c r="F38" s="274"/>
      <c r="G38" s="274"/>
      <c r="H38" s="274"/>
      <c r="I38" s="274"/>
      <c r="J38" s="309"/>
      <c r="K38" s="274"/>
      <c r="L38" s="274"/>
      <c r="M38" s="274"/>
      <c r="N38" s="274"/>
      <c r="O38" s="320">
        <v>395.0</v>
      </c>
      <c r="P38" s="274"/>
      <c r="Q38" s="274"/>
      <c r="R38" s="316"/>
      <c r="S38" s="50" t="s">
        <v>3350</v>
      </c>
      <c r="T38" s="317">
        <v>4379057.026344</v>
      </c>
      <c r="U38" s="162">
        <v>4703431.620888</v>
      </c>
      <c r="V38" s="318">
        <f t="shared" si="1"/>
        <v>7.4</v>
      </c>
      <c r="W38" s="274"/>
      <c r="X38" s="274"/>
      <c r="Y38" s="274"/>
      <c r="Z38" s="274">
        <v>2.312</v>
      </c>
      <c r="AA38" s="309">
        <v>290856.5385</v>
      </c>
      <c r="AB38" s="309">
        <v>162879.6615</v>
      </c>
      <c r="AC38" s="309">
        <v>302490.8</v>
      </c>
      <c r="AD38" s="274"/>
      <c r="AG38" s="274"/>
      <c r="AH38" s="274"/>
      <c r="AI38" s="274"/>
      <c r="AJ38" s="274"/>
      <c r="AK38" s="274"/>
      <c r="AL38" s="274"/>
      <c r="AM38" s="274"/>
      <c r="AN38" s="274"/>
      <c r="AO38" s="274"/>
      <c r="AP38" s="274"/>
      <c r="AQ38" s="274"/>
      <c r="AR38" s="274"/>
      <c r="AS38" s="274"/>
      <c r="AT38" s="274"/>
      <c r="AU38" s="274"/>
      <c r="AV38" s="274"/>
      <c r="AW38" s="274"/>
    </row>
    <row r="39" ht="15.75" customHeight="1">
      <c r="A39" s="309">
        <v>3382.0</v>
      </c>
      <c r="B39" s="309">
        <v>7.0</v>
      </c>
      <c r="C39" s="309">
        <v>1.0</v>
      </c>
      <c r="D39" s="309">
        <f t="shared" si="14"/>
        <v>23674</v>
      </c>
      <c r="E39" s="274"/>
      <c r="F39" s="274"/>
      <c r="G39" s="274"/>
      <c r="H39" s="274"/>
      <c r="I39" s="274"/>
      <c r="J39" s="309"/>
      <c r="K39" s="274"/>
      <c r="L39" s="274"/>
      <c r="M39" s="274"/>
      <c r="N39" s="274"/>
      <c r="O39" s="274"/>
      <c r="P39" s="274"/>
      <c r="Q39" s="274"/>
      <c r="R39" s="316"/>
      <c r="S39" s="50" t="s">
        <v>3351</v>
      </c>
      <c r="T39" s="317">
        <v>2934951.065046001</v>
      </c>
      <c r="U39" s="162">
        <v>3152354.847642001</v>
      </c>
      <c r="V39" s="318">
        <f t="shared" si="1"/>
        <v>7.4</v>
      </c>
      <c r="W39" s="274"/>
      <c r="X39" s="274"/>
      <c r="Y39" s="274"/>
      <c r="Z39" s="274">
        <v>2.375</v>
      </c>
      <c r="AA39" s="309">
        <v>290856.5385</v>
      </c>
      <c r="AB39" s="309">
        <v>162879.6615</v>
      </c>
      <c r="AC39" s="309">
        <v>302490.8</v>
      </c>
      <c r="AD39" s="274"/>
      <c r="AG39" s="274"/>
      <c r="AH39" s="274"/>
      <c r="AI39" s="274"/>
      <c r="AJ39" s="274"/>
      <c r="AK39" s="274"/>
      <c r="AL39" s="274"/>
      <c r="AM39" s="274"/>
      <c r="AN39" s="274"/>
      <c r="AO39" s="274"/>
      <c r="AP39" s="274"/>
      <c r="AQ39" s="274"/>
      <c r="AR39" s="274"/>
      <c r="AS39" s="274"/>
      <c r="AT39" s="274"/>
      <c r="AU39" s="274"/>
      <c r="AV39" s="274"/>
      <c r="AW39" s="274"/>
    </row>
    <row r="40" ht="15.75" customHeight="1">
      <c r="A40" s="309"/>
      <c r="B40" s="309"/>
      <c r="C40" s="309"/>
      <c r="D40" s="309"/>
      <c r="E40" s="274"/>
      <c r="F40" s="274"/>
      <c r="G40" s="274"/>
      <c r="H40" s="274"/>
      <c r="I40" s="274"/>
      <c r="J40" s="274">
        <f>16000*1.45*1.3*1.1</f>
        <v>33176</v>
      </c>
      <c r="K40" s="274"/>
      <c r="L40" s="274"/>
      <c r="M40" s="274"/>
      <c r="N40" s="274"/>
      <c r="O40" s="274"/>
      <c r="P40" s="274"/>
      <c r="Q40" s="274"/>
      <c r="R40" s="316"/>
      <c r="S40" s="50" t="s">
        <v>3352</v>
      </c>
      <c r="T40" s="317">
        <v>3705541.3909800006</v>
      </c>
      <c r="U40" s="162">
        <v>3983456.995303501</v>
      </c>
      <c r="V40" s="318">
        <f t="shared" si="1"/>
        <v>7.5</v>
      </c>
      <c r="W40" s="274"/>
      <c r="X40" s="274"/>
      <c r="Y40" s="274"/>
      <c r="Z40" s="274">
        <v>2.437</v>
      </c>
      <c r="AA40" s="309">
        <v>290856.5385</v>
      </c>
      <c r="AB40" s="309">
        <v>162879.6615</v>
      </c>
      <c r="AC40" s="309">
        <v>302490.8</v>
      </c>
      <c r="AD40" s="274"/>
      <c r="AG40" s="274"/>
      <c r="AH40" s="274"/>
      <c r="AI40" s="274"/>
      <c r="AJ40" s="274"/>
      <c r="AK40" s="274"/>
      <c r="AL40" s="274"/>
      <c r="AM40" s="274"/>
      <c r="AN40" s="274"/>
      <c r="AO40" s="274"/>
      <c r="AP40" s="274"/>
      <c r="AQ40" s="274"/>
      <c r="AR40" s="274"/>
      <c r="AS40" s="274"/>
      <c r="AT40" s="274"/>
      <c r="AU40" s="274"/>
      <c r="AV40" s="274"/>
      <c r="AW40" s="274"/>
    </row>
    <row r="41" ht="15.75" customHeight="1">
      <c r="A41" s="339" t="s">
        <v>3353</v>
      </c>
      <c r="G41" s="274"/>
      <c r="H41" s="274"/>
      <c r="I41" s="274"/>
      <c r="J41" s="309">
        <f>24086*1.35*1.3*1.22*1.15*1.15</f>
        <v>68202.03201</v>
      </c>
      <c r="K41" s="274"/>
      <c r="L41" s="274"/>
      <c r="M41" s="274"/>
      <c r="N41" s="309"/>
      <c r="O41" s="274"/>
      <c r="P41" s="274"/>
      <c r="Q41" s="274"/>
      <c r="R41" s="316"/>
      <c r="S41" s="50" t="s">
        <v>3354</v>
      </c>
      <c r="T41" s="317">
        <v>3604874.060720791</v>
      </c>
      <c r="U41" s="162">
        <v>3882172.065391621</v>
      </c>
      <c r="V41" s="318">
        <f t="shared" si="1"/>
        <v>7.7</v>
      </c>
      <c r="W41" s="274"/>
      <c r="X41" s="274"/>
      <c r="Y41" s="274"/>
      <c r="Z41" s="274">
        <v>2.5</v>
      </c>
      <c r="AA41" s="309">
        <v>290856.5385</v>
      </c>
      <c r="AB41" s="309">
        <v>162879.6615</v>
      </c>
      <c r="AC41" s="309">
        <v>302490.8</v>
      </c>
      <c r="AD41" s="274"/>
      <c r="AG41" s="274"/>
      <c r="AH41" s="274"/>
      <c r="AI41" s="274"/>
      <c r="AJ41" s="274"/>
      <c r="AK41" s="274"/>
      <c r="AL41" s="274"/>
      <c r="AM41" s="274"/>
      <c r="AN41" s="274"/>
      <c r="AO41" s="274"/>
      <c r="AP41" s="274"/>
      <c r="AQ41" s="274"/>
      <c r="AR41" s="274"/>
      <c r="AS41" s="274"/>
      <c r="AT41" s="274"/>
      <c r="AU41" s="274"/>
      <c r="AV41" s="274"/>
      <c r="AW41" s="274"/>
    </row>
    <row r="42" ht="15.75" customHeight="1">
      <c r="A42" s="309"/>
      <c r="B42" s="309" t="s">
        <v>3355</v>
      </c>
      <c r="C42" s="309" t="s">
        <v>3356</v>
      </c>
      <c r="D42" s="309" t="s">
        <v>3357</v>
      </c>
      <c r="E42" s="309" t="s">
        <v>3358</v>
      </c>
      <c r="F42" s="308" t="s">
        <v>3359</v>
      </c>
      <c r="G42" s="274">
        <f>ROUND(C44/C43,2)</f>
        <v>3.89</v>
      </c>
      <c r="H42" s="274"/>
      <c r="I42" s="274"/>
      <c r="J42" s="274">
        <f>2032*1.35*1.3*1.1*3</f>
        <v>11768.328</v>
      </c>
      <c r="K42" s="274"/>
      <c r="L42" s="274"/>
      <c r="M42" s="274"/>
      <c r="N42" s="274"/>
      <c r="O42" s="274"/>
      <c r="P42" s="274"/>
      <c r="Q42" s="274"/>
      <c r="R42" s="316"/>
      <c r="S42" s="50" t="s">
        <v>3360</v>
      </c>
      <c r="T42" s="317">
        <v>2522677.93245468</v>
      </c>
      <c r="U42" s="162">
        <v>2716730.08110504</v>
      </c>
      <c r="V42" s="318">
        <f t="shared" si="1"/>
        <v>7.7</v>
      </c>
      <c r="W42" s="274"/>
      <c r="X42" s="274"/>
      <c r="Y42" s="274"/>
      <c r="Z42" s="274">
        <v>2.562</v>
      </c>
      <c r="AA42" s="309">
        <v>290856.5385</v>
      </c>
      <c r="AB42" s="309">
        <v>162879.6615</v>
      </c>
      <c r="AC42" s="309">
        <v>302490.8</v>
      </c>
      <c r="AD42" s="274"/>
      <c r="AG42" s="274"/>
      <c r="AH42" s="274"/>
      <c r="AI42" s="274"/>
      <c r="AJ42" s="274"/>
      <c r="AK42" s="274"/>
      <c r="AL42" s="274"/>
      <c r="AM42" s="274"/>
      <c r="AN42" s="274"/>
      <c r="AO42" s="274"/>
      <c r="AP42" s="274"/>
      <c r="AQ42" s="274"/>
      <c r="AR42" s="274"/>
      <c r="AS42" s="274"/>
      <c r="AT42" s="274"/>
      <c r="AU42" s="274"/>
      <c r="AV42" s="274"/>
      <c r="AW42" s="274"/>
    </row>
    <row r="43" ht="15.75" customHeight="1">
      <c r="A43" s="309" t="s">
        <v>3361</v>
      </c>
      <c r="B43" s="309">
        <v>465048.0</v>
      </c>
      <c r="C43" s="274">
        <f t="shared" ref="C43:C44" si="18">ROUND(B43/3,0)</f>
        <v>155016</v>
      </c>
      <c r="D43" s="309">
        <f>100-88.047337</f>
        <v>11.952663</v>
      </c>
      <c r="E43" s="274">
        <f t="shared" ref="E43:E44" si="19">ROUND(D43/3,2)</f>
        <v>3.98</v>
      </c>
      <c r="F43" s="308" t="s">
        <v>3362</v>
      </c>
      <c r="G43" s="274">
        <f>ROUND(D44/D43,2)</f>
        <v>3.97</v>
      </c>
      <c r="H43" s="274"/>
      <c r="I43" s="274"/>
      <c r="J43" s="274">
        <f>SUM(J40:J42)</f>
        <v>113146.36</v>
      </c>
      <c r="K43" s="274"/>
      <c r="L43" s="274"/>
      <c r="M43" s="274"/>
      <c r="N43" s="274"/>
      <c r="O43" s="274"/>
      <c r="P43" s="274"/>
      <c r="Q43" s="274"/>
      <c r="R43" s="316"/>
      <c r="S43" s="50" t="s">
        <v>3363</v>
      </c>
      <c r="T43" s="317">
        <v>2397000.846240001</v>
      </c>
      <c r="U43" s="162">
        <v>2593769.220900001</v>
      </c>
      <c r="V43" s="318">
        <f t="shared" si="1"/>
        <v>8.2</v>
      </c>
      <c r="W43" s="274"/>
      <c r="X43" s="274"/>
      <c r="Y43" s="274"/>
      <c r="Z43" s="274">
        <v>2.64</v>
      </c>
      <c r="AA43" s="309">
        <v>290856.5385</v>
      </c>
      <c r="AB43" s="309">
        <v>162879.6615</v>
      </c>
      <c r="AC43" s="309">
        <v>302490.8</v>
      </c>
      <c r="AD43" s="274"/>
      <c r="AG43" s="274"/>
      <c r="AH43" s="274"/>
      <c r="AI43" s="274"/>
      <c r="AJ43" s="274"/>
      <c r="AK43" s="274"/>
      <c r="AL43" s="274"/>
      <c r="AM43" s="274"/>
      <c r="AN43" s="274"/>
      <c r="AO43" s="274"/>
      <c r="AP43" s="274"/>
      <c r="AQ43" s="274"/>
      <c r="AR43" s="274"/>
      <c r="AS43" s="274"/>
      <c r="AT43" s="274"/>
      <c r="AU43" s="274"/>
      <c r="AV43" s="274"/>
      <c r="AW43" s="274"/>
    </row>
    <row r="44" ht="15.75" customHeight="1">
      <c r="A44" s="309" t="s">
        <v>3364</v>
      </c>
      <c r="B44" s="274">
        <f>1808512</f>
        <v>1808512</v>
      </c>
      <c r="C44" s="274">
        <f t="shared" si="18"/>
        <v>602837</v>
      </c>
      <c r="D44" s="309">
        <f>100-52.544379</f>
        <v>47.455621</v>
      </c>
      <c r="E44" s="274">
        <f t="shared" si="19"/>
        <v>15.82</v>
      </c>
      <c r="F44" s="274"/>
      <c r="G44" s="274"/>
      <c r="H44" s="274"/>
      <c r="I44" s="274"/>
      <c r="K44" s="274"/>
      <c r="L44" s="274"/>
      <c r="M44" s="274"/>
      <c r="N44" s="274"/>
      <c r="O44" s="274"/>
      <c r="P44" s="274"/>
      <c r="Q44" s="274"/>
      <c r="R44" s="316"/>
      <c r="S44" s="50" t="s">
        <v>3365</v>
      </c>
      <c r="T44" s="317">
        <v>2431436.371650001</v>
      </c>
      <c r="U44" s="162">
        <v>2631070.0947960005</v>
      </c>
      <c r="V44" s="318">
        <f t="shared" si="1"/>
        <v>8.2</v>
      </c>
      <c r="W44" s="274"/>
      <c r="X44" s="274"/>
      <c r="Y44" s="274"/>
      <c r="Z44" s="274">
        <v>2.687</v>
      </c>
      <c r="AA44" s="309">
        <v>290856.5385</v>
      </c>
      <c r="AB44" s="309">
        <v>162879.6615</v>
      </c>
      <c r="AC44" s="309">
        <v>302490.8</v>
      </c>
      <c r="AD44" s="274"/>
      <c r="AG44" s="274"/>
      <c r="AH44" s="274"/>
      <c r="AI44" s="274"/>
      <c r="AJ44" s="274"/>
      <c r="AK44" s="274"/>
      <c r="AL44" s="274"/>
      <c r="AM44" s="274"/>
      <c r="AN44" s="274"/>
      <c r="AO44" s="274"/>
      <c r="AP44" s="274"/>
      <c r="AQ44" s="274"/>
      <c r="AR44" s="274"/>
      <c r="AS44" s="274"/>
      <c r="AT44" s="274"/>
      <c r="AU44" s="274"/>
      <c r="AV44" s="274"/>
      <c r="AW44" s="274"/>
    </row>
    <row r="45" ht="15.75" customHeight="1">
      <c r="A45" s="340"/>
      <c r="B45" s="274"/>
      <c r="C45" s="274"/>
      <c r="D45" s="309"/>
      <c r="E45" s="309"/>
      <c r="F45" s="274"/>
      <c r="G45" s="274"/>
      <c r="H45" s="274"/>
      <c r="I45" s="274"/>
      <c r="J45" s="274">
        <f>16000*1.45*1.3*1.1</f>
        <v>33176</v>
      </c>
      <c r="K45" s="274"/>
      <c r="L45" s="274"/>
      <c r="M45" s="274"/>
      <c r="N45" s="274"/>
      <c r="O45" s="274"/>
      <c r="P45" s="274"/>
      <c r="Q45" s="274"/>
      <c r="R45" s="316"/>
      <c r="S45" s="50" t="s">
        <v>3366</v>
      </c>
      <c r="T45" s="317">
        <v>2381445.155232</v>
      </c>
      <c r="U45" s="162">
        <v>2579898.918168</v>
      </c>
      <c r="V45" s="318">
        <f t="shared" si="1"/>
        <v>8.3</v>
      </c>
      <c r="W45" s="274"/>
      <c r="X45" s="274"/>
      <c r="Y45" s="274"/>
      <c r="Z45" s="274">
        <v>2.75</v>
      </c>
      <c r="AA45" s="309">
        <v>290856.5385</v>
      </c>
      <c r="AB45" s="309">
        <v>162879.6615</v>
      </c>
      <c r="AC45" s="309">
        <v>349027.8462</v>
      </c>
      <c r="AD45" s="274"/>
      <c r="AG45" s="274"/>
      <c r="AH45" s="274"/>
      <c r="AI45" s="274"/>
      <c r="AJ45" s="274"/>
      <c r="AK45" s="274"/>
      <c r="AL45" s="274"/>
      <c r="AM45" s="274"/>
      <c r="AN45" s="274"/>
      <c r="AO45" s="274"/>
      <c r="AP45" s="274"/>
      <c r="AQ45" s="274"/>
      <c r="AR45" s="274"/>
      <c r="AS45" s="274"/>
      <c r="AT45" s="274"/>
      <c r="AU45" s="274"/>
      <c r="AV45" s="274"/>
      <c r="AW45" s="274"/>
    </row>
    <row r="46" ht="15.75" customHeight="1">
      <c r="A46" s="341" t="s">
        <v>3367</v>
      </c>
      <c r="G46" s="274"/>
      <c r="H46" s="274"/>
      <c r="I46" s="274"/>
      <c r="J46" s="274">
        <f>7157.662*1.35*1.3*1.22*1.15</f>
        <v>17624.06062</v>
      </c>
      <c r="K46" s="274"/>
      <c r="L46" s="274"/>
      <c r="M46" s="274"/>
      <c r="N46" s="274"/>
      <c r="O46" s="274"/>
      <c r="P46" s="274"/>
      <c r="Q46" s="274"/>
      <c r="R46" s="316"/>
      <c r="S46" s="50" t="s">
        <v>3368</v>
      </c>
      <c r="T46" s="317">
        <v>4892807.462400001</v>
      </c>
      <c r="U46" s="162">
        <v>5300541.417600001</v>
      </c>
      <c r="V46" s="318">
        <f t="shared" si="1"/>
        <v>8.3</v>
      </c>
      <c r="W46" s="274"/>
      <c r="X46" s="274"/>
      <c r="Y46" s="274"/>
      <c r="Z46" s="274">
        <v>2.812</v>
      </c>
      <c r="AA46" s="309">
        <v>290856.5385</v>
      </c>
      <c r="AB46" s="309">
        <v>162879.6615</v>
      </c>
      <c r="AC46" s="309">
        <v>349027.8462</v>
      </c>
      <c r="AD46" s="274"/>
      <c r="AG46" s="274"/>
      <c r="AH46" s="274"/>
      <c r="AI46" s="274"/>
      <c r="AJ46" s="274"/>
      <c r="AK46" s="274"/>
      <c r="AL46" s="274"/>
      <c r="AM46" s="274"/>
      <c r="AN46" s="274"/>
      <c r="AO46" s="274"/>
      <c r="AP46" s="274"/>
      <c r="AQ46" s="274"/>
      <c r="AR46" s="274"/>
      <c r="AS46" s="274"/>
      <c r="AT46" s="274"/>
      <c r="AU46" s="274"/>
      <c r="AV46" s="274"/>
      <c r="AW46" s="274"/>
    </row>
    <row r="47" ht="15.75" customHeight="1">
      <c r="A47" s="342" t="s">
        <v>3369</v>
      </c>
      <c r="B47" s="343">
        <v>3.0</v>
      </c>
      <c r="C47" s="344">
        <v>821881.3860772</v>
      </c>
      <c r="D47" s="345">
        <f>1.3*1.3*1.1</f>
        <v>1.859</v>
      </c>
      <c r="E47" s="342">
        <f t="shared" ref="E47:E49" si="20">PRODUCT(B47:D47)</f>
        <v>4583632.49</v>
      </c>
      <c r="F47" s="330"/>
      <c r="J47" s="309">
        <f>24086*1.35*1.3*1.22*1.15*1.15</f>
        <v>68202.03201</v>
      </c>
      <c r="K47" s="274"/>
      <c r="L47" s="274"/>
      <c r="M47" s="274"/>
      <c r="N47" s="274"/>
      <c r="O47" s="274"/>
      <c r="P47" s="274"/>
      <c r="Q47" s="274"/>
      <c r="R47" s="316"/>
      <c r="S47" s="50" t="s">
        <v>3370</v>
      </c>
      <c r="T47" s="317">
        <v>2452225.8103200006</v>
      </c>
      <c r="U47" s="162">
        <v>2656577.9611800006</v>
      </c>
      <c r="V47" s="318">
        <f t="shared" si="1"/>
        <v>8.3</v>
      </c>
      <c r="W47" s="274"/>
      <c r="X47" s="274"/>
      <c r="Y47" s="274"/>
      <c r="Z47" s="274">
        <v>2.875</v>
      </c>
      <c r="AA47" s="309">
        <v>290856.5385</v>
      </c>
      <c r="AB47" s="309">
        <v>162879.6615</v>
      </c>
      <c r="AC47" s="309">
        <v>349027.8462</v>
      </c>
      <c r="AD47" s="274"/>
      <c r="AG47" s="274"/>
      <c r="AH47" s="274"/>
      <c r="AI47" s="274"/>
      <c r="AJ47" s="274"/>
      <c r="AK47" s="274"/>
      <c r="AL47" s="274"/>
      <c r="AM47" s="274"/>
      <c r="AN47" s="274"/>
      <c r="AO47" s="274"/>
      <c r="AP47" s="274"/>
      <c r="AQ47" s="274"/>
      <c r="AR47" s="274"/>
      <c r="AS47" s="274"/>
      <c r="AT47" s="274"/>
      <c r="AU47" s="274"/>
      <c r="AV47" s="274"/>
      <c r="AW47" s="274"/>
    </row>
    <row r="48" ht="15.75" customHeight="1">
      <c r="A48" s="342" t="s">
        <v>3371</v>
      </c>
      <c r="B48" s="343">
        <v>35.0</v>
      </c>
      <c r="C48" s="342">
        <v>64700.0</v>
      </c>
      <c r="D48" s="345">
        <f t="shared" ref="D48:D49" si="21">1.35*1.1*1.22*1.3</f>
        <v>2.35521</v>
      </c>
      <c r="E48" s="342">
        <f t="shared" si="20"/>
        <v>5333373.045</v>
      </c>
      <c r="F48" s="330"/>
      <c r="G48" s="309"/>
      <c r="H48" s="309"/>
      <c r="I48" s="274"/>
      <c r="J48" s="274">
        <f>2032*1.35*1.3*1.1</f>
        <v>3922.776</v>
      </c>
      <c r="K48" s="274"/>
      <c r="L48" s="274"/>
      <c r="M48" s="274"/>
      <c r="N48" s="274"/>
      <c r="O48" s="274"/>
      <c r="P48" s="274"/>
      <c r="Q48" s="274"/>
      <c r="R48" s="316"/>
      <c r="S48" s="50" t="s">
        <v>3372</v>
      </c>
      <c r="T48" s="317">
        <v>2851755.399636001</v>
      </c>
      <c r="U48" s="162">
        <v>3090709.4829390007</v>
      </c>
      <c r="V48" s="318">
        <f t="shared" si="1"/>
        <v>8.4</v>
      </c>
      <c r="W48" s="274"/>
      <c r="X48" s="274"/>
      <c r="Y48" s="274"/>
      <c r="Z48" s="274">
        <v>2.937</v>
      </c>
      <c r="AA48" s="309">
        <v>290856.5385</v>
      </c>
      <c r="AB48" s="309">
        <v>162879.6615</v>
      </c>
      <c r="AC48" s="309">
        <v>395564.8923</v>
      </c>
      <c r="AD48" s="274"/>
      <c r="AE48" s="320"/>
      <c r="AF48" s="274"/>
      <c r="AG48" s="274"/>
      <c r="AH48" s="274"/>
      <c r="AI48" s="274"/>
      <c r="AJ48" s="274"/>
      <c r="AK48" s="274"/>
      <c r="AL48" s="274"/>
      <c r="AM48" s="274"/>
      <c r="AN48" s="274"/>
      <c r="AO48" s="274"/>
      <c r="AP48" s="274"/>
      <c r="AQ48" s="274"/>
      <c r="AR48" s="274"/>
      <c r="AS48" s="274"/>
      <c r="AT48" s="274"/>
      <c r="AU48" s="274"/>
      <c r="AV48" s="274"/>
      <c r="AW48" s="274"/>
    </row>
    <row r="49" ht="15.75" customHeight="1">
      <c r="A49" s="342" t="s">
        <v>3373</v>
      </c>
      <c r="B49" s="321">
        <v>2.0</v>
      </c>
      <c r="C49" s="342">
        <v>147610.0</v>
      </c>
      <c r="D49" s="345">
        <f t="shared" si="21"/>
        <v>2.35521</v>
      </c>
      <c r="E49" s="342">
        <f t="shared" si="20"/>
        <v>695305.0962</v>
      </c>
      <c r="F49" s="330"/>
      <c r="G49" s="274"/>
      <c r="H49" s="274"/>
      <c r="I49" s="274"/>
      <c r="J49" s="274">
        <f>SUM(J45:J48)</f>
        <v>122924.8686</v>
      </c>
      <c r="K49" s="274"/>
      <c r="L49" s="274"/>
      <c r="M49" s="274"/>
      <c r="N49" s="274"/>
      <c r="O49" s="274"/>
      <c r="P49" s="274"/>
      <c r="Q49" s="274"/>
      <c r="R49" s="316"/>
      <c r="S49" s="50" t="s">
        <v>3374</v>
      </c>
      <c r="T49" s="317">
        <v>3244386.654648712</v>
      </c>
      <c r="U49" s="162">
        <v>3521684.6593195423</v>
      </c>
      <c r="V49" s="318">
        <f t="shared" si="1"/>
        <v>8.5</v>
      </c>
      <c r="W49" s="274"/>
      <c r="X49" s="274"/>
      <c r="Y49" s="274"/>
      <c r="Z49" s="274">
        <v>3.0</v>
      </c>
      <c r="AA49" s="309">
        <v>290856.5385</v>
      </c>
      <c r="AB49" s="309">
        <v>162879.6615</v>
      </c>
      <c r="AC49" s="309">
        <v>395564.8923</v>
      </c>
      <c r="AD49" s="274"/>
      <c r="AE49" s="320"/>
      <c r="AF49" s="274"/>
      <c r="AG49" s="274"/>
      <c r="AH49" s="274"/>
      <c r="AI49" s="274"/>
      <c r="AJ49" s="274"/>
      <c r="AK49" s="274"/>
      <c r="AL49" s="274"/>
      <c r="AM49" s="274"/>
      <c r="AN49" s="274"/>
      <c r="AO49" s="274"/>
      <c r="AP49" s="274"/>
      <c r="AQ49" s="274"/>
      <c r="AR49" s="274"/>
      <c r="AS49" s="274"/>
      <c r="AT49" s="274"/>
      <c r="AU49" s="274"/>
      <c r="AV49" s="274"/>
      <c r="AW49" s="274"/>
    </row>
    <row r="50" ht="15.75" customHeight="1">
      <c r="A50" s="274"/>
      <c r="B50" s="330"/>
      <c r="C50" s="274"/>
      <c r="D50" s="345"/>
      <c r="E50" s="274">
        <f>SUM(E47:E49)</f>
        <v>10612310.63</v>
      </c>
      <c r="F50" s="321"/>
      <c r="G50" s="274"/>
      <c r="H50" s="274"/>
      <c r="I50" s="274"/>
      <c r="J50" s="274"/>
      <c r="K50" s="274"/>
      <c r="L50" s="274"/>
      <c r="M50" s="274"/>
      <c r="N50" s="274"/>
      <c r="O50" s="274"/>
      <c r="P50" s="274"/>
      <c r="Q50" s="274"/>
      <c r="R50" s="316"/>
      <c r="S50" s="50" t="s">
        <v>3375</v>
      </c>
      <c r="T50" s="317">
        <v>3011336.177850001</v>
      </c>
      <c r="U50" s="162">
        <v>3269450.7073800014</v>
      </c>
      <c r="V50" s="318">
        <f t="shared" si="1"/>
        <v>8.6</v>
      </c>
      <c r="W50" s="274"/>
      <c r="X50" s="274"/>
      <c r="Y50" s="274"/>
      <c r="Z50" s="274">
        <v>3.062</v>
      </c>
      <c r="AA50" s="309">
        <v>290856.5385</v>
      </c>
      <c r="AB50" s="309">
        <v>162879.6615</v>
      </c>
      <c r="AC50" s="309">
        <v>395564.8923</v>
      </c>
      <c r="AD50" s="274"/>
      <c r="AE50" s="320"/>
      <c r="AF50" s="274"/>
      <c r="AG50" s="274"/>
      <c r="AH50" s="274"/>
      <c r="AI50" s="274"/>
      <c r="AJ50" s="274"/>
      <c r="AK50" s="274"/>
      <c r="AL50" s="274"/>
      <c r="AM50" s="274"/>
      <c r="AN50" s="274"/>
      <c r="AO50" s="274"/>
      <c r="AP50" s="274"/>
      <c r="AQ50" s="274"/>
      <c r="AR50" s="274"/>
      <c r="AS50" s="274"/>
      <c r="AT50" s="274"/>
      <c r="AU50" s="274"/>
      <c r="AV50" s="274"/>
      <c r="AW50" s="274"/>
    </row>
    <row r="51" ht="15.75" customHeight="1">
      <c r="A51" s="309"/>
      <c r="B51" s="321"/>
      <c r="C51" s="309"/>
      <c r="D51" s="345"/>
      <c r="E51" s="342"/>
      <c r="F51" s="330"/>
      <c r="G51" s="274"/>
      <c r="H51" s="274"/>
      <c r="I51" s="274"/>
      <c r="J51" s="274">
        <f>1659.403*10*2.5*1.35*1.3*1.22</f>
        <v>88823.69408</v>
      </c>
      <c r="K51" s="274"/>
      <c r="L51" s="274"/>
      <c r="M51" s="274"/>
      <c r="N51" s="274"/>
      <c r="O51" s="274"/>
      <c r="P51" s="274"/>
      <c r="Q51" s="274"/>
      <c r="R51" s="316"/>
      <c r="S51" s="50"/>
      <c r="T51" s="317"/>
      <c r="U51" s="162"/>
      <c r="V51" s="318"/>
      <c r="W51" s="274"/>
      <c r="X51" s="274"/>
      <c r="Y51" s="274"/>
      <c r="Z51" s="274">
        <v>3.125</v>
      </c>
      <c r="AA51" s="309">
        <v>290856.5385</v>
      </c>
      <c r="AB51" s="309">
        <v>162879.6615</v>
      </c>
      <c r="AC51" s="309">
        <v>442101.9385</v>
      </c>
      <c r="AD51" s="274"/>
      <c r="AE51" s="274"/>
      <c r="AF51" s="274"/>
      <c r="AG51" s="274"/>
      <c r="AH51" s="274"/>
      <c r="AI51" s="274"/>
      <c r="AJ51" s="274"/>
      <c r="AK51" s="274"/>
      <c r="AL51" s="274"/>
      <c r="AM51" s="274"/>
      <c r="AN51" s="274"/>
      <c r="AO51" s="274"/>
      <c r="AP51" s="274"/>
      <c r="AQ51" s="274"/>
      <c r="AR51" s="274"/>
      <c r="AS51" s="274"/>
      <c r="AT51" s="274"/>
      <c r="AU51" s="274"/>
      <c r="AV51" s="274"/>
      <c r="AW51" s="274"/>
    </row>
    <row r="52" ht="15.75" customHeight="1">
      <c r="A52" s="320" t="s">
        <v>3371</v>
      </c>
      <c r="B52" s="343">
        <v>21.0</v>
      </c>
      <c r="C52" s="342">
        <v>64700.0</v>
      </c>
      <c r="D52" s="345">
        <f>1.35*1.1*1.22*1.3</f>
        <v>2.35521</v>
      </c>
      <c r="E52" s="342">
        <f t="shared" ref="E52:E55" si="22">PRODUCT(B52:D52)</f>
        <v>3200023.827</v>
      </c>
      <c r="F52" s="330"/>
      <c r="G52" s="274"/>
      <c r="H52" s="274"/>
      <c r="I52" s="274"/>
      <c r="J52" s="274"/>
      <c r="K52" s="274"/>
      <c r="L52" s="274"/>
      <c r="M52" s="274"/>
      <c r="N52" s="274"/>
      <c r="O52" s="274"/>
      <c r="P52" s="274"/>
      <c r="Q52" s="274"/>
      <c r="R52" s="316"/>
      <c r="S52" s="50" t="s">
        <v>3376</v>
      </c>
      <c r="T52" s="317">
        <v>3400326.9008280006</v>
      </c>
      <c r="U52" s="162">
        <v>3696007.500900001</v>
      </c>
      <c r="V52" s="318">
        <f t="shared" ref="V52:V59" si="23">(ROUND(U52/T52,3)-1)*100</f>
        <v>8.7</v>
      </c>
      <c r="W52" s="274"/>
      <c r="X52" s="274"/>
      <c r="Y52" s="274"/>
      <c r="Z52" s="274">
        <v>3.187</v>
      </c>
      <c r="AA52" s="309">
        <v>290856.5385</v>
      </c>
      <c r="AB52" s="309">
        <v>290856.5385</v>
      </c>
      <c r="AC52" s="309">
        <v>442101.9385</v>
      </c>
      <c r="AD52" s="274"/>
      <c r="AE52" s="274"/>
      <c r="AF52" s="274"/>
      <c r="AG52" s="274"/>
      <c r="AH52" s="274"/>
      <c r="AI52" s="274"/>
      <c r="AJ52" s="274"/>
      <c r="AK52" s="274"/>
      <c r="AL52" s="274"/>
      <c r="AM52" s="274"/>
      <c r="AN52" s="274"/>
      <c r="AO52" s="274"/>
      <c r="AP52" s="274"/>
      <c r="AQ52" s="274"/>
      <c r="AR52" s="274"/>
      <c r="AS52" s="274"/>
      <c r="AT52" s="274"/>
      <c r="AU52" s="274"/>
      <c r="AV52" s="274"/>
      <c r="AW52" s="274"/>
    </row>
    <row r="53" ht="15.75" customHeight="1">
      <c r="A53" s="320" t="s">
        <v>3377</v>
      </c>
      <c r="B53" s="343">
        <v>6.0</v>
      </c>
      <c r="C53" s="119">
        <v>94162.57654357784</v>
      </c>
      <c r="D53" s="345">
        <f>1.35*1.1*1.1*1.3*1.1*1.3*1.3*1.22</f>
        <v>4.816168929</v>
      </c>
      <c r="E53" s="342">
        <f t="shared" si="22"/>
        <v>2721017.253</v>
      </c>
      <c r="G53" s="274"/>
      <c r="H53" s="274"/>
      <c r="I53" s="274"/>
      <c r="J53" s="274"/>
      <c r="K53" s="274"/>
      <c r="L53" s="274"/>
      <c r="M53" s="274"/>
      <c r="N53" s="274"/>
      <c r="O53" s="274"/>
      <c r="P53" s="274"/>
      <c r="Q53" s="274"/>
      <c r="R53" s="316"/>
      <c r="S53" s="346" t="s">
        <v>3378</v>
      </c>
      <c r="T53" s="317">
        <v>2768170.4017110006</v>
      </c>
      <c r="U53" s="162">
        <v>3008880.871425001</v>
      </c>
      <c r="V53" s="318">
        <f t="shared" si="23"/>
        <v>8.7</v>
      </c>
      <c r="W53" s="274"/>
      <c r="X53" s="274"/>
      <c r="Y53" s="274"/>
      <c r="Z53" s="274">
        <v>3.25</v>
      </c>
      <c r="AA53" s="309">
        <v>290856.5385</v>
      </c>
      <c r="AB53" s="309">
        <v>290856.5385</v>
      </c>
      <c r="AC53" s="309">
        <v>442101.9385</v>
      </c>
      <c r="AD53" s="274"/>
      <c r="AE53" s="274"/>
      <c r="AF53" s="274"/>
      <c r="AG53" s="274"/>
      <c r="AH53" s="274"/>
      <c r="AI53" s="274"/>
      <c r="AJ53" s="274"/>
      <c r="AK53" s="274"/>
      <c r="AL53" s="274"/>
      <c r="AM53" s="274"/>
      <c r="AN53" s="274"/>
      <c r="AO53" s="274"/>
      <c r="AP53" s="274"/>
      <c r="AQ53" s="274"/>
      <c r="AR53" s="274"/>
      <c r="AS53" s="274"/>
      <c r="AT53" s="274"/>
      <c r="AU53" s="274"/>
      <c r="AV53" s="274"/>
      <c r="AW53" s="274"/>
    </row>
    <row r="54" ht="15.75" customHeight="1">
      <c r="A54" s="320" t="s">
        <v>3379</v>
      </c>
      <c r="B54" s="320">
        <v>2.0</v>
      </c>
      <c r="C54" s="112">
        <v>715112.5445787</v>
      </c>
      <c r="D54" s="345">
        <f t="shared" ref="D54:D55" si="24">1.3*1.3*1.1</f>
        <v>1.859</v>
      </c>
      <c r="E54" s="342">
        <f t="shared" si="22"/>
        <v>2658788.441</v>
      </c>
      <c r="F54" s="274"/>
      <c r="G54" s="274"/>
      <c r="H54" s="274"/>
      <c r="I54" s="274"/>
      <c r="J54" s="274"/>
      <c r="K54" s="274"/>
      <c r="L54" s="274"/>
      <c r="M54" s="274"/>
      <c r="N54" s="274"/>
      <c r="O54" s="274"/>
      <c r="P54" s="274"/>
      <c r="Q54" s="274"/>
      <c r="R54" s="316"/>
      <c r="S54" s="50" t="s">
        <v>3380</v>
      </c>
      <c r="T54" s="317">
        <v>1851354.1544355005</v>
      </c>
      <c r="U54" s="162">
        <v>2012341.4722125006</v>
      </c>
      <c r="V54" s="318">
        <f t="shared" si="23"/>
        <v>8.7</v>
      </c>
      <c r="W54" s="274"/>
      <c r="X54" s="274"/>
      <c r="Y54" s="274"/>
      <c r="Z54" s="274">
        <v>3.312</v>
      </c>
      <c r="AA54" s="309">
        <v>290856.5385</v>
      </c>
      <c r="AB54" s="309">
        <v>337393.5846</v>
      </c>
      <c r="AC54" s="309">
        <v>442101.9385</v>
      </c>
      <c r="AD54" s="274"/>
      <c r="AE54" s="274"/>
      <c r="AF54" s="274"/>
      <c r="AG54" s="274"/>
      <c r="AH54" s="274"/>
      <c r="AI54" s="274"/>
      <c r="AJ54" s="274"/>
      <c r="AK54" s="274"/>
      <c r="AL54" s="274"/>
      <c r="AM54" s="274"/>
      <c r="AN54" s="274"/>
      <c r="AO54" s="274"/>
      <c r="AP54" s="274"/>
      <c r="AQ54" s="274"/>
      <c r="AR54" s="274"/>
      <c r="AS54" s="274"/>
      <c r="AT54" s="274"/>
      <c r="AU54" s="274"/>
      <c r="AV54" s="274"/>
      <c r="AW54" s="274"/>
    </row>
    <row r="55" ht="15.75" customHeight="1">
      <c r="A55" s="320" t="s">
        <v>3369</v>
      </c>
      <c r="B55" s="343">
        <v>1.0</v>
      </c>
      <c r="C55" s="344">
        <v>821881.3860772</v>
      </c>
      <c r="D55" s="345">
        <f t="shared" si="24"/>
        <v>1.859</v>
      </c>
      <c r="E55" s="342">
        <f t="shared" si="22"/>
        <v>1527877.497</v>
      </c>
      <c r="F55" s="312"/>
      <c r="G55" s="312"/>
      <c r="H55" s="274"/>
      <c r="I55" s="274"/>
      <c r="J55" s="274"/>
      <c r="K55" s="274"/>
      <c r="L55" s="274"/>
      <c r="M55" s="274"/>
      <c r="N55" s="274"/>
      <c r="O55" s="274"/>
      <c r="P55" s="274"/>
      <c r="Q55" s="274"/>
      <c r="R55" s="316"/>
      <c r="S55" s="50" t="s">
        <v>3381</v>
      </c>
      <c r="T55" s="317">
        <v>1851354.1544355005</v>
      </c>
      <c r="U55" s="162">
        <v>2012341.4722125006</v>
      </c>
      <c r="V55" s="318">
        <f t="shared" si="23"/>
        <v>8.7</v>
      </c>
      <c r="W55" s="274"/>
      <c r="X55" s="274"/>
      <c r="Y55" s="274"/>
      <c r="Z55" s="274">
        <v>3.375</v>
      </c>
      <c r="AA55" s="309">
        <v>477004.7231</v>
      </c>
      <c r="AB55" s="309">
        <v>337393.5846</v>
      </c>
      <c r="AC55" s="309">
        <v>442101.9385</v>
      </c>
      <c r="AD55" s="274"/>
      <c r="AE55" s="274"/>
      <c r="AF55" s="274"/>
      <c r="AG55" s="274"/>
      <c r="AH55" s="274"/>
      <c r="AI55" s="274"/>
      <c r="AJ55" s="274"/>
      <c r="AK55" s="274"/>
      <c r="AL55" s="274"/>
      <c r="AM55" s="274"/>
      <c r="AN55" s="274"/>
      <c r="AO55" s="274"/>
      <c r="AP55" s="274"/>
      <c r="AQ55" s="274"/>
      <c r="AR55" s="274"/>
      <c r="AS55" s="274"/>
      <c r="AT55" s="274"/>
      <c r="AU55" s="274"/>
      <c r="AV55" s="274"/>
      <c r="AW55" s="274"/>
    </row>
    <row r="56" ht="15.75" customHeight="1">
      <c r="A56" s="309"/>
      <c r="B56" s="343"/>
      <c r="C56" s="309"/>
      <c r="D56" s="345"/>
      <c r="E56" s="274">
        <f>SUM(E52:E55)</f>
        <v>10107707.02</v>
      </c>
      <c r="F56" s="111"/>
      <c r="G56" s="111"/>
      <c r="H56" s="274"/>
      <c r="I56" s="274"/>
      <c r="J56" s="274"/>
      <c r="K56" s="274"/>
      <c r="L56" s="274"/>
      <c r="M56" s="274"/>
      <c r="N56" s="274"/>
      <c r="O56" s="274"/>
      <c r="P56" s="274"/>
      <c r="Q56" s="274"/>
      <c r="R56" s="316"/>
      <c r="S56" s="50" t="s">
        <v>3382</v>
      </c>
      <c r="T56" s="317">
        <v>2503087.6301145004</v>
      </c>
      <c r="U56" s="162">
        <v>2720747.4240375003</v>
      </c>
      <c r="V56" s="318">
        <f t="shared" si="23"/>
        <v>8.7</v>
      </c>
      <c r="W56" s="274"/>
      <c r="X56" s="274"/>
      <c r="Y56" s="274"/>
      <c r="Z56" s="274">
        <v>3.437</v>
      </c>
      <c r="AA56" s="309">
        <v>477004.7231</v>
      </c>
      <c r="AB56" s="309">
        <v>337393.5846</v>
      </c>
      <c r="AC56" s="309">
        <v>442101.9385</v>
      </c>
      <c r="AD56" s="274"/>
      <c r="AE56" s="274"/>
      <c r="AF56" s="274"/>
      <c r="AG56" s="274"/>
      <c r="AH56" s="274"/>
      <c r="AI56" s="274"/>
      <c r="AJ56" s="274"/>
      <c r="AK56" s="274"/>
      <c r="AL56" s="274"/>
      <c r="AM56" s="274"/>
      <c r="AN56" s="274"/>
      <c r="AO56" s="274"/>
      <c r="AP56" s="274"/>
      <c r="AQ56" s="274"/>
      <c r="AR56" s="274"/>
      <c r="AS56" s="274"/>
      <c r="AT56" s="274"/>
      <c r="AU56" s="274"/>
      <c r="AV56" s="274"/>
      <c r="AW56" s="274"/>
    </row>
    <row r="57" ht="15.75" customHeight="1">
      <c r="A57" s="111"/>
      <c r="B57" s="114"/>
      <c r="C57" s="111"/>
      <c r="D57" s="111"/>
      <c r="E57" s="111"/>
      <c r="F57" s="111"/>
      <c r="G57" s="347"/>
      <c r="H57" s="274"/>
      <c r="I57" s="274"/>
      <c r="J57" s="274"/>
      <c r="K57" s="274"/>
      <c r="L57" s="274"/>
      <c r="M57" s="274"/>
      <c r="N57" s="274"/>
      <c r="O57" s="274"/>
      <c r="P57" s="274"/>
      <c r="Q57" s="274"/>
      <c r="R57" s="316"/>
      <c r="S57" s="50" t="s">
        <v>3383</v>
      </c>
      <c r="T57" s="317">
        <v>1570453.792479</v>
      </c>
      <c r="U57" s="162">
        <v>1707014.9918250002</v>
      </c>
      <c r="V57" s="318">
        <f t="shared" si="23"/>
        <v>8.7</v>
      </c>
      <c r="W57" s="274"/>
      <c r="X57" s="274"/>
      <c r="Y57" s="274"/>
      <c r="Z57" s="274">
        <v>3.5</v>
      </c>
      <c r="AA57" s="309">
        <v>477004.7231</v>
      </c>
      <c r="AB57" s="309">
        <v>337393.5846</v>
      </c>
      <c r="AC57" s="309">
        <v>442101.9385</v>
      </c>
      <c r="AD57" s="274"/>
      <c r="AE57" s="274"/>
      <c r="AF57" s="274"/>
      <c r="AG57" s="274"/>
      <c r="AH57" s="274"/>
      <c r="AI57" s="274"/>
      <c r="AJ57" s="274"/>
      <c r="AK57" s="274"/>
      <c r="AL57" s="274"/>
      <c r="AM57" s="274"/>
      <c r="AN57" s="274"/>
      <c r="AO57" s="274"/>
      <c r="AP57" s="274"/>
      <c r="AQ57" s="274"/>
      <c r="AR57" s="274"/>
      <c r="AS57" s="274"/>
      <c r="AT57" s="274"/>
      <c r="AU57" s="274"/>
      <c r="AV57" s="274"/>
      <c r="AW57" s="274"/>
    </row>
    <row r="58" ht="15.75" customHeight="1">
      <c r="A58" s="342" t="s">
        <v>3369</v>
      </c>
      <c r="B58" s="343">
        <v>1.0</v>
      </c>
      <c r="C58" s="344">
        <v>821881.3860772</v>
      </c>
      <c r="D58" s="345">
        <f>1.3*1.3*1.1</f>
        <v>1.859</v>
      </c>
      <c r="E58" s="342">
        <f t="shared" ref="E58:E61" si="25">PRODUCT(B58:D58)</f>
        <v>1527877.497</v>
      </c>
      <c r="F58" s="44"/>
      <c r="G58" s="347"/>
      <c r="H58" s="274"/>
      <c r="I58" s="274"/>
      <c r="J58" s="274"/>
      <c r="K58" s="274"/>
      <c r="L58" s="274"/>
      <c r="M58" s="274"/>
      <c r="N58" s="274"/>
      <c r="O58" s="274"/>
      <c r="P58" s="274"/>
      <c r="Q58" s="274"/>
      <c r="R58" s="316"/>
      <c r="S58" s="50" t="s">
        <v>3384</v>
      </c>
      <c r="T58" s="317">
        <v>5362488.151020002</v>
      </c>
      <c r="U58" s="162">
        <v>5828791.468500001</v>
      </c>
      <c r="V58" s="318">
        <f t="shared" si="23"/>
        <v>8.7</v>
      </c>
      <c r="W58" s="274"/>
      <c r="X58" s="274"/>
      <c r="Y58" s="274"/>
      <c r="Z58" s="274">
        <v>3.562</v>
      </c>
      <c r="AA58" s="309">
        <v>477004.7231</v>
      </c>
      <c r="AB58" s="309">
        <v>349027.8462</v>
      </c>
      <c r="AC58" s="309">
        <v>442101.9385</v>
      </c>
      <c r="AD58" s="274"/>
      <c r="AE58" s="274"/>
      <c r="AF58" s="274"/>
      <c r="AG58" s="274"/>
      <c r="AH58" s="274"/>
      <c r="AI58" s="274"/>
      <c r="AJ58" s="274"/>
      <c r="AK58" s="274"/>
      <c r="AL58" s="274"/>
      <c r="AM58" s="274"/>
      <c r="AN58" s="274"/>
      <c r="AO58" s="274"/>
      <c r="AP58" s="274"/>
      <c r="AQ58" s="274"/>
      <c r="AR58" s="274"/>
      <c r="AS58" s="274"/>
      <c r="AT58" s="274"/>
      <c r="AU58" s="274"/>
      <c r="AV58" s="274"/>
      <c r="AW58" s="274"/>
    </row>
    <row r="59" ht="15.75" customHeight="1">
      <c r="A59" s="320" t="s">
        <v>3385</v>
      </c>
      <c r="B59" s="320">
        <v>2.0</v>
      </c>
      <c r="C59" s="114">
        <v>689871.0</v>
      </c>
      <c r="D59" s="345">
        <f>1.1*1.3*1.3</f>
        <v>1.859</v>
      </c>
      <c r="E59" s="342">
        <f t="shared" si="25"/>
        <v>2564940.378</v>
      </c>
      <c r="F59" s="111"/>
      <c r="G59" s="347"/>
      <c r="H59" s="274"/>
      <c r="I59" s="274"/>
      <c r="J59" s="274"/>
      <c r="K59" s="274"/>
      <c r="L59" s="274"/>
      <c r="M59" s="274"/>
      <c r="N59" s="274"/>
      <c r="O59" s="274"/>
      <c r="P59" s="274"/>
      <c r="Q59" s="274"/>
      <c r="R59" s="316"/>
      <c r="S59" s="50" t="s">
        <v>3386</v>
      </c>
      <c r="T59" s="317">
        <v>2610877.4663400007</v>
      </c>
      <c r="U59" s="162">
        <v>2837910.289500001</v>
      </c>
      <c r="V59" s="318">
        <f t="shared" si="23"/>
        <v>8.7</v>
      </c>
      <c r="W59" s="274"/>
      <c r="X59" s="274"/>
      <c r="Y59" s="274"/>
      <c r="Z59" s="274">
        <v>3.625</v>
      </c>
      <c r="AA59" s="309">
        <v>477004.7231</v>
      </c>
      <c r="AB59" s="309">
        <v>349027.8462</v>
      </c>
      <c r="AC59" s="309">
        <v>442101.9385</v>
      </c>
      <c r="AD59" s="274"/>
      <c r="AE59" s="274"/>
      <c r="AF59" s="274"/>
      <c r="AG59" s="274"/>
      <c r="AH59" s="274"/>
      <c r="AI59" s="274"/>
      <c r="AJ59" s="274"/>
      <c r="AK59" s="274"/>
      <c r="AL59" s="274"/>
      <c r="AM59" s="274"/>
      <c r="AN59" s="274"/>
      <c r="AO59" s="274"/>
      <c r="AP59" s="274"/>
      <c r="AQ59" s="274"/>
      <c r="AR59" s="274"/>
      <c r="AS59" s="274"/>
      <c r="AT59" s="274"/>
      <c r="AU59" s="274"/>
      <c r="AV59" s="274"/>
      <c r="AW59" s="274"/>
    </row>
    <row r="60" ht="15.75" customHeight="1">
      <c r="A60" s="342" t="s">
        <v>3371</v>
      </c>
      <c r="B60" s="343">
        <v>35.0</v>
      </c>
      <c r="C60" s="342">
        <v>64700.0</v>
      </c>
      <c r="D60" s="345">
        <f>1.35*1.1*1.22*1.3</f>
        <v>2.35521</v>
      </c>
      <c r="E60" s="342">
        <f t="shared" si="25"/>
        <v>5333373.045</v>
      </c>
      <c r="F60" s="111"/>
      <c r="G60" s="347"/>
      <c r="H60" s="274"/>
      <c r="I60" s="274"/>
      <c r="J60" s="274"/>
      <c r="K60" s="274"/>
      <c r="L60" s="274"/>
      <c r="M60" s="274"/>
      <c r="N60" s="274"/>
      <c r="O60" s="274"/>
      <c r="P60" s="274"/>
      <c r="Q60" s="274"/>
      <c r="R60" s="316"/>
      <c r="S60" s="50"/>
      <c r="T60" s="317"/>
      <c r="U60" s="162"/>
      <c r="V60" s="318"/>
      <c r="W60" s="274"/>
      <c r="X60" s="274"/>
      <c r="Y60" s="274"/>
      <c r="Z60" s="274">
        <v>3.687</v>
      </c>
      <c r="AA60" s="309">
        <v>477004.7231</v>
      </c>
      <c r="AB60" s="309">
        <v>349027.8462</v>
      </c>
      <c r="AC60" s="309">
        <v>442101.9385</v>
      </c>
      <c r="AD60" s="274"/>
      <c r="AE60" s="274"/>
      <c r="AF60" s="274"/>
      <c r="AG60" s="274"/>
      <c r="AH60" s="274"/>
      <c r="AI60" s="274"/>
      <c r="AJ60" s="274"/>
      <c r="AK60" s="274"/>
      <c r="AL60" s="274"/>
      <c r="AM60" s="274"/>
      <c r="AN60" s="274"/>
      <c r="AO60" s="274"/>
      <c r="AP60" s="274"/>
      <c r="AQ60" s="274"/>
      <c r="AR60" s="274"/>
      <c r="AS60" s="274"/>
      <c r="AT60" s="274"/>
      <c r="AU60" s="274"/>
      <c r="AV60" s="274"/>
      <c r="AW60" s="274"/>
    </row>
    <row r="61" ht="15.75" customHeight="1">
      <c r="A61" s="348" t="s">
        <v>3387</v>
      </c>
      <c r="B61" s="343">
        <v>2.0</v>
      </c>
      <c r="C61" s="344">
        <v>262288.7503970638</v>
      </c>
      <c r="D61" s="345">
        <f>1.35*1.1*1.3</f>
        <v>1.9305</v>
      </c>
      <c r="E61" s="342">
        <f t="shared" si="25"/>
        <v>1012696.865</v>
      </c>
      <c r="F61" s="44"/>
      <c r="G61" s="347"/>
      <c r="H61" s="274"/>
      <c r="I61" s="274"/>
      <c r="J61" s="274"/>
      <c r="K61" s="274"/>
      <c r="L61" s="274"/>
      <c r="M61" s="274"/>
      <c r="N61" s="274"/>
      <c r="O61" s="274"/>
      <c r="P61" s="274"/>
      <c r="Q61" s="274"/>
      <c r="R61" s="316"/>
      <c r="S61" s="50"/>
      <c r="T61" s="317"/>
      <c r="U61" s="162"/>
      <c r="V61" s="318"/>
      <c r="W61" s="274"/>
      <c r="X61" s="274"/>
      <c r="Y61" s="274"/>
      <c r="Z61" s="274">
        <v>3.75</v>
      </c>
      <c r="AA61" s="309">
        <v>477004.7231</v>
      </c>
      <c r="AB61" s="309">
        <v>349027.8462</v>
      </c>
      <c r="AC61" s="309">
        <v>442101.9385</v>
      </c>
      <c r="AD61" s="274"/>
      <c r="AE61" s="274"/>
      <c r="AF61" s="274"/>
      <c r="AG61" s="274"/>
      <c r="AH61" s="274"/>
      <c r="AI61" s="274"/>
      <c r="AJ61" s="274"/>
      <c r="AK61" s="274"/>
      <c r="AL61" s="274"/>
      <c r="AM61" s="274"/>
      <c r="AN61" s="274"/>
      <c r="AO61" s="274"/>
      <c r="AP61" s="274"/>
      <c r="AQ61" s="274"/>
      <c r="AR61" s="274"/>
      <c r="AS61" s="274"/>
      <c r="AT61" s="274"/>
      <c r="AU61" s="274"/>
      <c r="AV61" s="274"/>
      <c r="AW61" s="274"/>
    </row>
    <row r="62" ht="15.75" customHeight="1">
      <c r="A62" s="342"/>
      <c r="B62" s="321"/>
      <c r="C62" s="342"/>
      <c r="D62" s="345"/>
      <c r="E62" s="274">
        <f>SUM(E58:E61)</f>
        <v>10438887.79</v>
      </c>
      <c r="F62" s="44"/>
      <c r="G62" s="347"/>
      <c r="H62" s="274"/>
      <c r="I62" s="274"/>
      <c r="J62" s="274"/>
      <c r="K62" s="274"/>
      <c r="L62" s="274"/>
      <c r="M62" s="274"/>
      <c r="N62" s="274"/>
      <c r="O62" s="274"/>
      <c r="P62" s="274"/>
      <c r="Q62" s="274"/>
      <c r="R62" s="316"/>
      <c r="S62" s="50"/>
      <c r="T62" s="317"/>
      <c r="U62" s="162"/>
      <c r="V62" s="318"/>
      <c r="W62" s="274"/>
      <c r="X62" s="274"/>
      <c r="Y62" s="274"/>
      <c r="Z62" s="274">
        <v>3.812</v>
      </c>
      <c r="AA62" s="309">
        <v>477004.7231</v>
      </c>
      <c r="AB62" s="309">
        <v>349027.8462</v>
      </c>
      <c r="AC62" s="309">
        <v>442101.9385</v>
      </c>
      <c r="AD62" s="274"/>
      <c r="AE62" s="274"/>
      <c r="AF62" s="274"/>
      <c r="AG62" s="274"/>
      <c r="AH62" s="274"/>
      <c r="AI62" s="274"/>
      <c r="AJ62" s="274"/>
      <c r="AK62" s="274"/>
      <c r="AL62" s="274"/>
      <c r="AM62" s="274"/>
      <c r="AN62" s="274"/>
      <c r="AO62" s="274"/>
      <c r="AP62" s="274"/>
      <c r="AQ62" s="274"/>
      <c r="AR62" s="274"/>
      <c r="AS62" s="274"/>
      <c r="AT62" s="274"/>
      <c r="AU62" s="274"/>
      <c r="AV62" s="274"/>
      <c r="AW62" s="274"/>
    </row>
    <row r="63" ht="15.75" customHeight="1">
      <c r="A63" s="274"/>
      <c r="B63" s="330"/>
      <c r="C63" s="274"/>
      <c r="D63" s="345"/>
      <c r="E63" s="274"/>
      <c r="F63" s="44"/>
      <c r="G63" s="347"/>
      <c r="H63" s="274"/>
      <c r="I63" s="274"/>
      <c r="J63" s="274"/>
      <c r="K63" s="274"/>
      <c r="L63" s="274"/>
      <c r="M63" s="274"/>
      <c r="N63" s="274"/>
      <c r="O63" s="274"/>
      <c r="P63" s="274"/>
      <c r="Q63" s="274"/>
      <c r="R63" s="316"/>
      <c r="S63" s="50" t="s">
        <v>3388</v>
      </c>
      <c r="T63" s="317">
        <v>3608810.5610700008</v>
      </c>
      <c r="U63" s="162">
        <v>3936884.2484400007</v>
      </c>
      <c r="V63" s="318">
        <f t="shared" ref="V63:V64" si="26">(ROUND(U63/T63,3)-1)*100</f>
        <v>9.1</v>
      </c>
      <c r="W63" s="274"/>
      <c r="X63" s="274"/>
      <c r="Y63" s="274"/>
      <c r="Z63" s="274">
        <v>3.875</v>
      </c>
      <c r="AA63" s="309">
        <v>477004.7231</v>
      </c>
      <c r="AB63" s="309">
        <v>349027.8462</v>
      </c>
      <c r="AC63" s="309">
        <v>442101.9385</v>
      </c>
      <c r="AD63" s="274"/>
      <c r="AE63" s="274"/>
      <c r="AF63" s="274"/>
      <c r="AG63" s="274"/>
      <c r="AH63" s="274"/>
      <c r="AI63" s="274"/>
      <c r="AJ63" s="274"/>
      <c r="AK63" s="274"/>
      <c r="AL63" s="274"/>
      <c r="AM63" s="274"/>
      <c r="AN63" s="274"/>
      <c r="AO63" s="274"/>
      <c r="AP63" s="274"/>
      <c r="AQ63" s="274"/>
      <c r="AR63" s="274"/>
      <c r="AS63" s="274"/>
      <c r="AT63" s="274"/>
      <c r="AU63" s="274"/>
      <c r="AV63" s="274"/>
      <c r="AW63" s="274"/>
    </row>
    <row r="64" ht="15.75" customHeight="1">
      <c r="A64" s="342" t="s">
        <v>3369</v>
      </c>
      <c r="B64" s="343">
        <v>1.0</v>
      </c>
      <c r="C64" s="344">
        <v>821881.3860772</v>
      </c>
      <c r="D64" s="345">
        <f t="shared" ref="D64:D65" si="27">1.3*1.3*1.1</f>
        <v>1.859</v>
      </c>
      <c r="E64" s="342">
        <f t="shared" ref="E64:E68" si="28">PRODUCT(B64:D64)</f>
        <v>1527877.497</v>
      </c>
      <c r="F64" s="274"/>
      <c r="G64" s="44"/>
      <c r="H64" s="274"/>
      <c r="I64" s="274"/>
      <c r="J64" s="274"/>
      <c r="K64" s="274"/>
      <c r="L64" s="274"/>
      <c r="M64" s="274"/>
      <c r="N64" s="274"/>
      <c r="O64" s="274"/>
      <c r="P64" s="274"/>
      <c r="Q64" s="274"/>
      <c r="R64" s="316"/>
      <c r="S64" s="50" t="s">
        <v>3389</v>
      </c>
      <c r="T64" s="317">
        <v>7812351.096907502</v>
      </c>
      <c r="U64" s="162">
        <v>8526725.504154002</v>
      </c>
      <c r="V64" s="318">
        <f t="shared" si="26"/>
        <v>9.1</v>
      </c>
      <c r="W64" s="274"/>
      <c r="X64" s="274"/>
      <c r="Y64" s="274"/>
      <c r="Z64" s="274">
        <v>3.937</v>
      </c>
      <c r="AA64" s="309">
        <v>477004.7231</v>
      </c>
      <c r="AB64" s="309">
        <v>349027.8462</v>
      </c>
      <c r="AC64" s="309">
        <v>442101.9385</v>
      </c>
      <c r="AD64" s="274"/>
      <c r="AE64" s="274"/>
      <c r="AF64" s="274"/>
      <c r="AG64" s="274"/>
      <c r="AH64" s="274"/>
      <c r="AI64" s="274"/>
      <c r="AJ64" s="274"/>
      <c r="AK64" s="274"/>
      <c r="AL64" s="274"/>
      <c r="AM64" s="274"/>
      <c r="AN64" s="274"/>
      <c r="AO64" s="274"/>
      <c r="AP64" s="274"/>
      <c r="AQ64" s="274"/>
      <c r="AR64" s="274"/>
      <c r="AS64" s="274"/>
      <c r="AT64" s="274"/>
      <c r="AU64" s="274"/>
      <c r="AV64" s="274"/>
      <c r="AW64" s="274"/>
    </row>
    <row r="65" ht="15.75" customHeight="1">
      <c r="A65" s="320" t="s">
        <v>3379</v>
      </c>
      <c r="B65" s="320">
        <v>2.0</v>
      </c>
      <c r="C65" s="112">
        <v>715112.5445787</v>
      </c>
      <c r="D65" s="345">
        <f t="shared" si="27"/>
        <v>1.859</v>
      </c>
      <c r="E65" s="342">
        <f t="shared" si="28"/>
        <v>2658788.441</v>
      </c>
      <c r="F65" s="111"/>
      <c r="G65" s="347"/>
      <c r="H65" s="44"/>
      <c r="I65" s="274"/>
      <c r="J65" s="274"/>
      <c r="K65" s="274"/>
      <c r="L65" s="274"/>
      <c r="M65" s="274"/>
      <c r="N65" s="274"/>
      <c r="O65" s="274"/>
      <c r="P65" s="274"/>
      <c r="Q65" s="274"/>
      <c r="R65" s="316"/>
      <c r="S65" s="50"/>
      <c r="T65" s="317"/>
      <c r="U65" s="162"/>
      <c r="V65" s="318"/>
      <c r="W65" s="274"/>
      <c r="X65" s="274"/>
      <c r="Y65" s="274"/>
      <c r="Z65" s="274">
        <v>4.0</v>
      </c>
      <c r="AA65" s="309">
        <v>477004.7231</v>
      </c>
      <c r="AB65" s="309">
        <v>349027.8462</v>
      </c>
      <c r="AC65" s="309">
        <v>442101.9385</v>
      </c>
      <c r="AD65" s="274"/>
      <c r="AE65" s="274"/>
      <c r="AF65" s="274"/>
      <c r="AG65" s="274"/>
      <c r="AH65" s="274"/>
      <c r="AI65" s="274"/>
      <c r="AJ65" s="274"/>
      <c r="AK65" s="274"/>
      <c r="AL65" s="274"/>
      <c r="AM65" s="274"/>
      <c r="AN65" s="274"/>
      <c r="AO65" s="274"/>
      <c r="AP65" s="274"/>
      <c r="AQ65" s="274"/>
      <c r="AR65" s="274"/>
      <c r="AS65" s="274"/>
      <c r="AT65" s="274"/>
      <c r="AU65" s="274"/>
      <c r="AV65" s="274"/>
      <c r="AW65" s="274"/>
    </row>
    <row r="66" ht="15.75" customHeight="1">
      <c r="A66" s="320" t="s">
        <v>3390</v>
      </c>
      <c r="B66" s="343">
        <v>28.0</v>
      </c>
      <c r="C66" s="342">
        <v>64700.0</v>
      </c>
      <c r="D66" s="345">
        <f>1.35*1.22*1.3*1.1*1.1*1.3</f>
        <v>3.3679503</v>
      </c>
      <c r="E66" s="342">
        <f t="shared" si="28"/>
        <v>6101378.763</v>
      </c>
      <c r="F66" s="111"/>
      <c r="G66" s="347"/>
      <c r="H66" s="44"/>
      <c r="I66" s="274"/>
      <c r="J66" s="274"/>
      <c r="K66" s="274"/>
      <c r="L66" s="274"/>
      <c r="M66" s="274"/>
      <c r="N66" s="274"/>
      <c r="O66" s="274"/>
      <c r="P66" s="274"/>
      <c r="Q66" s="274"/>
      <c r="R66" s="316"/>
      <c r="S66" s="50" t="s">
        <v>3391</v>
      </c>
      <c r="T66" s="317">
        <v>3762674.0751600014</v>
      </c>
      <c r="U66" s="162">
        <v>4104735.354720001</v>
      </c>
      <c r="V66" s="318">
        <f t="shared" ref="V66:V87" si="29">(ROUND(U66/T66,3)-1)*100</f>
        <v>9.1</v>
      </c>
      <c r="W66" s="274"/>
      <c r="X66" s="274"/>
      <c r="Y66" s="274"/>
      <c r="Z66" s="274">
        <v>4.062</v>
      </c>
      <c r="AA66" s="309">
        <v>477004.7231</v>
      </c>
      <c r="AB66" s="309">
        <v>546810.2923</v>
      </c>
      <c r="AC66" s="309">
        <v>488638.9846</v>
      </c>
      <c r="AD66" s="274"/>
      <c r="AE66" s="274"/>
      <c r="AF66" s="274"/>
      <c r="AG66" s="274"/>
      <c r="AH66" s="274"/>
      <c r="AI66" s="274"/>
      <c r="AJ66" s="274"/>
      <c r="AK66" s="274"/>
      <c r="AL66" s="274"/>
      <c r="AM66" s="274"/>
      <c r="AN66" s="274"/>
      <c r="AO66" s="274"/>
      <c r="AP66" s="274"/>
      <c r="AQ66" s="274"/>
      <c r="AR66" s="274"/>
      <c r="AS66" s="274"/>
      <c r="AT66" s="274"/>
      <c r="AU66" s="274"/>
      <c r="AV66" s="274"/>
      <c r="AW66" s="274"/>
    </row>
    <row r="67" ht="15.75" customHeight="1">
      <c r="A67" s="320" t="s">
        <v>3371</v>
      </c>
      <c r="B67" s="114">
        <v>7.0</v>
      </c>
      <c r="C67" s="342">
        <v>64700.0</v>
      </c>
      <c r="D67" s="345">
        <f>1.35*1.22*1.3*1.1</f>
        <v>2.35521</v>
      </c>
      <c r="E67" s="342">
        <f t="shared" si="28"/>
        <v>1066674.609</v>
      </c>
      <c r="F67" s="44"/>
      <c r="G67" s="347"/>
      <c r="H67" s="44"/>
      <c r="I67" s="274"/>
      <c r="J67" s="274"/>
      <c r="K67" s="274"/>
      <c r="L67" s="274"/>
      <c r="M67" s="274"/>
      <c r="N67" s="274"/>
      <c r="O67" s="274"/>
      <c r="P67" s="274"/>
      <c r="Q67" s="274"/>
      <c r="R67" s="316"/>
      <c r="S67" s="50" t="s">
        <v>3392</v>
      </c>
      <c r="T67" s="317">
        <v>835962.9478200002</v>
      </c>
      <c r="U67" s="162">
        <v>915578.4666600003</v>
      </c>
      <c r="V67" s="318">
        <f t="shared" si="29"/>
        <v>9.5</v>
      </c>
      <c r="W67" s="274"/>
      <c r="X67" s="274"/>
      <c r="Y67" s="274"/>
      <c r="Z67" s="274">
        <v>4.125</v>
      </c>
      <c r="AA67" s="309">
        <v>477004.7231</v>
      </c>
      <c r="AB67" s="309">
        <v>546810.2923</v>
      </c>
      <c r="AC67" s="309">
        <v>488638.9846</v>
      </c>
      <c r="AD67" s="274"/>
      <c r="AE67" s="274"/>
      <c r="AF67" s="274"/>
      <c r="AG67" s="274"/>
      <c r="AH67" s="274"/>
      <c r="AI67" s="274"/>
      <c r="AJ67" s="274"/>
      <c r="AK67" s="274"/>
      <c r="AL67" s="274"/>
      <c r="AM67" s="274"/>
      <c r="AN67" s="274"/>
      <c r="AO67" s="274"/>
      <c r="AP67" s="274"/>
      <c r="AQ67" s="274"/>
      <c r="AR67" s="274"/>
      <c r="AS67" s="274"/>
      <c r="AT67" s="274"/>
      <c r="AU67" s="274"/>
      <c r="AV67" s="274"/>
      <c r="AW67" s="274"/>
    </row>
    <row r="68" ht="15.75" customHeight="1">
      <c r="A68" s="342" t="s">
        <v>3373</v>
      </c>
      <c r="B68" s="321">
        <v>2.0</v>
      </c>
      <c r="C68" s="342">
        <v>147610.0</v>
      </c>
      <c r="D68" s="345">
        <f>1.35*1.1*1.22*1.3</f>
        <v>2.35521</v>
      </c>
      <c r="E68" s="342">
        <f t="shared" si="28"/>
        <v>695305.0962</v>
      </c>
      <c r="F68" s="111"/>
      <c r="G68" s="347"/>
      <c r="H68" s="44"/>
      <c r="I68" s="274"/>
      <c r="J68" s="274"/>
      <c r="K68" s="274"/>
      <c r="L68" s="274"/>
      <c r="M68" s="274"/>
      <c r="N68" s="274"/>
      <c r="O68" s="274"/>
      <c r="P68" s="274"/>
      <c r="Q68" s="274"/>
      <c r="R68" s="316"/>
      <c r="S68" s="50" t="s">
        <v>3393</v>
      </c>
      <c r="T68" s="317">
        <v>3634357.523940001</v>
      </c>
      <c r="U68" s="162">
        <v>3992674.4629200012</v>
      </c>
      <c r="V68" s="318">
        <f t="shared" si="29"/>
        <v>9.9</v>
      </c>
      <c r="W68" s="274"/>
      <c r="X68" s="274"/>
      <c r="Y68" s="274"/>
      <c r="Z68" s="274">
        <v>4.187</v>
      </c>
      <c r="AA68" s="309">
        <v>477004.7231</v>
      </c>
      <c r="AB68" s="309">
        <v>546810.2923</v>
      </c>
      <c r="AC68" s="309">
        <v>488638.9846</v>
      </c>
      <c r="AD68" s="274"/>
      <c r="AE68" s="274"/>
      <c r="AF68" s="274"/>
      <c r="AG68" s="274"/>
      <c r="AH68" s="274"/>
      <c r="AI68" s="274"/>
      <c r="AJ68" s="274"/>
      <c r="AK68" s="274"/>
      <c r="AL68" s="274"/>
      <c r="AM68" s="274"/>
      <c r="AN68" s="274"/>
      <c r="AO68" s="274"/>
      <c r="AP68" s="274"/>
      <c r="AQ68" s="274"/>
      <c r="AR68" s="274"/>
      <c r="AS68" s="274"/>
      <c r="AT68" s="274"/>
      <c r="AU68" s="274"/>
      <c r="AV68" s="274"/>
      <c r="AW68" s="274"/>
    </row>
    <row r="69" ht="15.75" customHeight="1">
      <c r="A69" s="111"/>
      <c r="B69" s="44"/>
      <c r="C69" s="44"/>
      <c r="D69" s="44"/>
      <c r="E69" s="274">
        <f>SUM(E64:E68)</f>
        <v>12050024.41</v>
      </c>
      <c r="F69" s="111"/>
      <c r="G69" s="347"/>
      <c r="H69" s="44"/>
      <c r="I69" s="274"/>
      <c r="J69" s="274"/>
      <c r="K69" s="274"/>
      <c r="L69" s="274"/>
      <c r="M69" s="274"/>
      <c r="N69" s="274"/>
      <c r="O69" s="274"/>
      <c r="P69" s="274"/>
      <c r="Q69" s="274"/>
      <c r="R69" s="316"/>
      <c r="S69" s="50" t="s">
        <v>3394</v>
      </c>
      <c r="T69" s="317">
        <v>1848152.1286800005</v>
      </c>
      <c r="U69" s="162">
        <f>1848152.12868*22/20</f>
        <v>2032967.342</v>
      </c>
      <c r="V69" s="318">
        <f t="shared" si="29"/>
        <v>10</v>
      </c>
      <c r="W69" s="274"/>
      <c r="X69" s="274"/>
      <c r="Y69" s="274"/>
      <c r="Z69" s="274">
        <v>4.25</v>
      </c>
      <c r="AA69" s="309">
        <v>477004.7231</v>
      </c>
      <c r="AB69" s="309">
        <v>546810.2923</v>
      </c>
      <c r="AC69" s="309">
        <v>488638.9846</v>
      </c>
      <c r="AD69" s="274"/>
      <c r="AE69" s="274"/>
      <c r="AF69" s="274"/>
      <c r="AG69" s="274"/>
      <c r="AH69" s="274"/>
      <c r="AI69" s="274"/>
      <c r="AJ69" s="274"/>
      <c r="AK69" s="274"/>
      <c r="AL69" s="274"/>
      <c r="AM69" s="274"/>
      <c r="AN69" s="274"/>
      <c r="AO69" s="274"/>
      <c r="AP69" s="274"/>
      <c r="AQ69" s="274"/>
      <c r="AR69" s="274"/>
      <c r="AS69" s="274"/>
      <c r="AT69" s="274"/>
      <c r="AU69" s="274"/>
      <c r="AV69" s="274"/>
      <c r="AW69" s="274"/>
    </row>
    <row r="70" ht="15.75" customHeight="1">
      <c r="A70" s="44"/>
      <c r="B70" s="44"/>
      <c r="C70" s="44"/>
      <c r="D70" s="44"/>
      <c r="E70" s="44"/>
      <c r="F70" s="44"/>
      <c r="G70" s="44"/>
      <c r="H70" s="44"/>
      <c r="I70" s="274"/>
      <c r="J70" s="274"/>
      <c r="K70" s="274"/>
      <c r="L70" s="274"/>
      <c r="M70" s="274"/>
      <c r="N70" s="274"/>
      <c r="O70" s="274"/>
      <c r="P70" s="274"/>
      <c r="Q70" s="274"/>
      <c r="R70" s="316"/>
      <c r="S70" s="50" t="s">
        <v>3395</v>
      </c>
      <c r="T70" s="317">
        <v>3327576.0560499597</v>
      </c>
      <c r="U70" s="162">
        <v>3660333.6616549557</v>
      </c>
      <c r="V70" s="318">
        <f t="shared" si="29"/>
        <v>10</v>
      </c>
      <c r="W70" s="274"/>
      <c r="X70" s="274"/>
      <c r="Y70" s="274"/>
      <c r="Z70" s="274">
        <v>4.312</v>
      </c>
      <c r="AA70" s="309">
        <v>477004.7231</v>
      </c>
      <c r="AB70" s="309">
        <v>546810.2923</v>
      </c>
      <c r="AC70" s="309">
        <v>488638.9846</v>
      </c>
      <c r="AD70" s="274"/>
      <c r="AE70" s="274"/>
      <c r="AF70" s="274"/>
      <c r="AG70" s="274"/>
      <c r="AH70" s="274"/>
      <c r="AI70" s="274"/>
      <c r="AJ70" s="274"/>
      <c r="AK70" s="274"/>
      <c r="AL70" s="274"/>
      <c r="AM70" s="274"/>
      <c r="AN70" s="274"/>
      <c r="AO70" s="274"/>
      <c r="AP70" s="274"/>
      <c r="AQ70" s="274"/>
      <c r="AR70" s="274"/>
      <c r="AS70" s="274"/>
      <c r="AT70" s="274"/>
      <c r="AU70" s="274"/>
      <c r="AV70" s="274"/>
      <c r="AW70" s="274"/>
    </row>
    <row r="71" ht="15.75" customHeight="1">
      <c r="A71" s="342" t="s">
        <v>3369</v>
      </c>
      <c r="B71" s="343">
        <v>4.0</v>
      </c>
      <c r="C71" s="344">
        <v>821881.3860772</v>
      </c>
      <c r="D71" s="345">
        <f>1.3*1.3*1.1</f>
        <v>1.859</v>
      </c>
      <c r="E71" s="342">
        <f t="shared" ref="E71:E73" si="30">PRODUCT(B71:D71)</f>
        <v>6111509.987</v>
      </c>
      <c r="F71" s="44"/>
      <c r="G71" s="44"/>
      <c r="H71" s="44"/>
      <c r="I71" s="274"/>
      <c r="J71" s="274"/>
      <c r="K71" s="274"/>
      <c r="L71" s="274"/>
      <c r="M71" s="274"/>
      <c r="N71" s="274"/>
      <c r="O71" s="274"/>
      <c r="P71" s="274"/>
      <c r="Q71" s="274"/>
      <c r="R71" s="316"/>
      <c r="S71" s="50" t="s">
        <v>3396</v>
      </c>
      <c r="T71" s="317">
        <v>4546026.342000001</v>
      </c>
      <c r="U71" s="162">
        <v>5000628.976200001</v>
      </c>
      <c r="V71" s="318">
        <f t="shared" si="29"/>
        <v>10</v>
      </c>
      <c r="W71" s="274"/>
      <c r="X71" s="274"/>
      <c r="Y71" s="274"/>
      <c r="Z71" s="274">
        <v>4.375</v>
      </c>
      <c r="AA71" s="309">
        <v>477004.7231</v>
      </c>
      <c r="AB71" s="309">
        <v>546810.2923</v>
      </c>
      <c r="AC71" s="309">
        <v>488638.9846</v>
      </c>
      <c r="AD71" s="274"/>
      <c r="AE71" s="274"/>
      <c r="AF71" s="274"/>
      <c r="AG71" s="274"/>
      <c r="AH71" s="274"/>
      <c r="AI71" s="274"/>
      <c r="AJ71" s="274"/>
      <c r="AK71" s="274"/>
      <c r="AL71" s="274"/>
      <c r="AM71" s="274"/>
      <c r="AN71" s="274"/>
      <c r="AO71" s="274"/>
      <c r="AP71" s="274"/>
      <c r="AQ71" s="274"/>
      <c r="AR71" s="274"/>
      <c r="AS71" s="274"/>
      <c r="AT71" s="274"/>
      <c r="AU71" s="274"/>
      <c r="AV71" s="274"/>
      <c r="AW71" s="274"/>
    </row>
    <row r="72" ht="15.75" customHeight="1">
      <c r="A72" s="320" t="s">
        <v>3371</v>
      </c>
      <c r="B72" s="114">
        <v>21.0</v>
      </c>
      <c r="C72" s="342">
        <v>64700.0</v>
      </c>
      <c r="D72" s="345">
        <f>1.35*1.22*1.3*1.1*1.05</f>
        <v>2.4729705</v>
      </c>
      <c r="E72" s="342">
        <f t="shared" si="30"/>
        <v>3360025.018</v>
      </c>
      <c r="F72" s="44"/>
      <c r="G72" s="44"/>
      <c r="H72" s="44"/>
      <c r="I72" s="274"/>
      <c r="J72" s="274"/>
      <c r="K72" s="274"/>
      <c r="L72" s="274"/>
      <c r="M72" s="274"/>
      <c r="N72" s="274"/>
      <c r="O72" s="274"/>
      <c r="P72" s="274"/>
      <c r="Q72" s="274"/>
      <c r="R72" s="316"/>
      <c r="S72" s="50" t="s">
        <v>3397</v>
      </c>
      <c r="T72" s="317">
        <v>3105521.991000001</v>
      </c>
      <c r="U72" s="162">
        <v>3416074.190100001</v>
      </c>
      <c r="V72" s="318">
        <f t="shared" si="29"/>
        <v>10</v>
      </c>
      <c r="W72" s="274"/>
      <c r="X72" s="274"/>
      <c r="Y72" s="274"/>
      <c r="Z72" s="274">
        <v>4.437</v>
      </c>
      <c r="AA72" s="309">
        <v>686421.4308</v>
      </c>
      <c r="AB72" s="309">
        <v>546810.2923</v>
      </c>
      <c r="AC72" s="309">
        <v>488638.9846</v>
      </c>
      <c r="AD72" s="274"/>
      <c r="AE72" s="274"/>
      <c r="AF72" s="274"/>
      <c r="AG72" s="274"/>
      <c r="AH72" s="274"/>
      <c r="AI72" s="274"/>
      <c r="AJ72" s="274"/>
      <c r="AK72" s="274"/>
      <c r="AL72" s="274"/>
      <c r="AM72" s="274"/>
      <c r="AN72" s="274"/>
      <c r="AO72" s="274"/>
      <c r="AP72" s="274"/>
      <c r="AQ72" s="274"/>
      <c r="AR72" s="274"/>
      <c r="AS72" s="274"/>
      <c r="AT72" s="274"/>
      <c r="AU72" s="274"/>
      <c r="AV72" s="274"/>
      <c r="AW72" s="274"/>
    </row>
    <row r="73" ht="15.75" customHeight="1">
      <c r="A73" s="342" t="s">
        <v>3373</v>
      </c>
      <c r="B73" s="343">
        <v>2.0</v>
      </c>
      <c r="C73" s="342">
        <v>147610.0</v>
      </c>
      <c r="D73" s="345">
        <f>1.35*1.1*1.22*1.3*1.05</f>
        <v>2.4729705</v>
      </c>
      <c r="E73" s="342">
        <f t="shared" si="30"/>
        <v>730070.351</v>
      </c>
      <c r="F73" s="44"/>
      <c r="G73" s="44"/>
      <c r="H73" s="44"/>
      <c r="I73" s="274"/>
      <c r="J73" s="274"/>
      <c r="K73" s="274"/>
      <c r="L73" s="274"/>
      <c r="M73" s="274"/>
      <c r="N73" s="274"/>
      <c r="O73" s="274"/>
      <c r="P73" s="274"/>
      <c r="Q73" s="274"/>
      <c r="R73" s="316"/>
      <c r="S73" s="50" t="s">
        <v>3398</v>
      </c>
      <c r="T73" s="317">
        <v>5052612.826076401</v>
      </c>
      <c r="U73" s="162">
        <v>5568512.991835952</v>
      </c>
      <c r="V73" s="318">
        <f t="shared" si="29"/>
        <v>10.2</v>
      </c>
      <c r="W73" s="274"/>
      <c r="X73" s="274"/>
      <c r="Y73" s="274"/>
      <c r="Z73" s="274">
        <v>4.515</v>
      </c>
      <c r="AA73" s="309">
        <v>686421.4308</v>
      </c>
      <c r="AB73" s="309">
        <v>546810.2923</v>
      </c>
      <c r="AC73" s="309">
        <v>581713.0769</v>
      </c>
      <c r="AD73" s="274"/>
      <c r="AE73" s="274"/>
      <c r="AF73" s="274"/>
      <c r="AG73" s="274"/>
      <c r="AH73" s="274"/>
      <c r="AI73" s="274"/>
      <c r="AJ73" s="274"/>
      <c r="AK73" s="274"/>
      <c r="AL73" s="274"/>
      <c r="AM73" s="274"/>
      <c r="AN73" s="274"/>
      <c r="AO73" s="274"/>
      <c r="AP73" s="274"/>
      <c r="AQ73" s="274"/>
      <c r="AR73" s="274"/>
      <c r="AS73" s="274"/>
      <c r="AT73" s="274"/>
      <c r="AU73" s="274"/>
      <c r="AV73" s="274"/>
      <c r="AW73" s="274"/>
    </row>
    <row r="74" ht="15.75" customHeight="1">
      <c r="A74" s="44"/>
      <c r="B74" s="44"/>
      <c r="C74" s="44"/>
      <c r="D74" s="44"/>
      <c r="E74" s="274">
        <f>SUM(E71:E73)</f>
        <v>10201605.36</v>
      </c>
      <c r="F74" s="44"/>
      <c r="G74" s="44"/>
      <c r="H74" s="44"/>
      <c r="I74" s="274"/>
      <c r="J74" s="274"/>
      <c r="K74" s="274"/>
      <c r="L74" s="274"/>
      <c r="M74" s="274"/>
      <c r="N74" s="274"/>
      <c r="O74" s="274"/>
      <c r="P74" s="274"/>
      <c r="Q74" s="274"/>
      <c r="R74" s="316"/>
      <c r="S74" s="50" t="s">
        <v>3399</v>
      </c>
      <c r="T74" s="317">
        <v>5551166.410920001</v>
      </c>
      <c r="U74" s="162">
        <v>6129385.774785001</v>
      </c>
      <c r="V74" s="318">
        <f t="shared" si="29"/>
        <v>10.4</v>
      </c>
      <c r="W74" s="274"/>
      <c r="X74" s="274"/>
      <c r="Y74" s="274"/>
      <c r="Z74" s="274">
        <v>4.562</v>
      </c>
      <c r="AA74" s="309">
        <v>686421.4308</v>
      </c>
      <c r="AB74" s="309">
        <v>546810.2923</v>
      </c>
      <c r="AC74" s="309">
        <v>581713.0769</v>
      </c>
      <c r="AD74" s="274"/>
      <c r="AE74" s="274"/>
      <c r="AF74" s="274"/>
      <c r="AG74" s="274"/>
      <c r="AH74" s="274"/>
      <c r="AI74" s="274"/>
      <c r="AJ74" s="274"/>
      <c r="AK74" s="274"/>
      <c r="AL74" s="274"/>
      <c r="AM74" s="274"/>
      <c r="AN74" s="274"/>
      <c r="AO74" s="274"/>
      <c r="AP74" s="274"/>
      <c r="AQ74" s="274"/>
      <c r="AR74" s="274"/>
      <c r="AS74" s="274"/>
      <c r="AT74" s="274"/>
      <c r="AU74" s="274"/>
      <c r="AV74" s="274"/>
      <c r="AW74" s="274"/>
    </row>
    <row r="75" ht="15.75" customHeight="1">
      <c r="A75" s="44"/>
      <c r="B75" s="44"/>
      <c r="C75" s="44"/>
      <c r="D75" s="44"/>
      <c r="E75" s="44"/>
      <c r="F75" s="44"/>
      <c r="G75" s="44"/>
      <c r="H75" s="44"/>
      <c r="I75" s="274"/>
      <c r="J75" s="274"/>
      <c r="K75" s="274"/>
      <c r="L75" s="274"/>
      <c r="M75" s="274"/>
      <c r="N75" s="274"/>
      <c r="O75" s="274"/>
      <c r="P75" s="274"/>
      <c r="Q75" s="274"/>
      <c r="R75" s="316"/>
      <c r="S75" s="50" t="s">
        <v>3400</v>
      </c>
      <c r="T75" s="317">
        <v>2288133.6192000005</v>
      </c>
      <c r="U75" s="162">
        <v>2525786.0842500003</v>
      </c>
      <c r="V75" s="318">
        <f t="shared" si="29"/>
        <v>10.4</v>
      </c>
      <c r="W75" s="274"/>
      <c r="X75" s="274"/>
      <c r="Y75" s="274"/>
      <c r="Z75" s="274">
        <v>4.625</v>
      </c>
      <c r="AA75" s="309">
        <v>686421.4308</v>
      </c>
      <c r="AB75" s="309">
        <v>546810.2923</v>
      </c>
      <c r="AC75" s="309">
        <v>581713.0769</v>
      </c>
      <c r="AD75" s="274"/>
      <c r="AE75" s="274"/>
      <c r="AF75" s="274"/>
      <c r="AG75" s="274"/>
      <c r="AH75" s="274"/>
      <c r="AI75" s="274"/>
      <c r="AJ75" s="274"/>
      <c r="AK75" s="274"/>
      <c r="AL75" s="274"/>
      <c r="AM75" s="274"/>
      <c r="AN75" s="274"/>
      <c r="AO75" s="274"/>
      <c r="AP75" s="274"/>
      <c r="AQ75" s="274"/>
      <c r="AR75" s="274"/>
      <c r="AS75" s="274"/>
      <c r="AT75" s="274"/>
      <c r="AU75" s="274"/>
      <c r="AV75" s="274"/>
      <c r="AW75" s="274"/>
    </row>
    <row r="76" ht="15.75" customHeight="1">
      <c r="A76" s="349" t="s">
        <v>3401</v>
      </c>
      <c r="B76" s="350" t="s">
        <v>3402</v>
      </c>
      <c r="C76" s="350" t="s">
        <v>3403</v>
      </c>
      <c r="D76" s="350" t="s">
        <v>3404</v>
      </c>
      <c r="E76" s="350" t="s">
        <v>3405</v>
      </c>
      <c r="F76" s="350" t="s">
        <v>3406</v>
      </c>
      <c r="G76" s="350" t="s">
        <v>3407</v>
      </c>
      <c r="H76" s="351" t="s">
        <v>3408</v>
      </c>
      <c r="I76" s="351" t="s">
        <v>3409</v>
      </c>
      <c r="J76" s="350" t="s">
        <v>3410</v>
      </c>
      <c r="K76" s="352" t="s">
        <v>3411</v>
      </c>
      <c r="L76" s="274"/>
      <c r="M76" s="274"/>
      <c r="N76" s="274"/>
      <c r="O76" s="274"/>
      <c r="P76" s="274"/>
      <c r="Q76" s="274"/>
      <c r="R76" s="316"/>
      <c r="S76" s="50" t="s">
        <v>3412</v>
      </c>
      <c r="T76" s="317">
        <v>6662069.47692</v>
      </c>
      <c r="U76" s="162">
        <v>7362520.706970001</v>
      </c>
      <c r="V76" s="318">
        <f t="shared" si="29"/>
        <v>10.5</v>
      </c>
      <c r="W76" s="162"/>
      <c r="X76" s="274"/>
      <c r="Y76" s="274"/>
      <c r="Z76" s="274">
        <v>4.687</v>
      </c>
      <c r="AA76" s="309">
        <v>686421.4308</v>
      </c>
      <c r="AB76" s="309">
        <v>546810.2923</v>
      </c>
      <c r="AC76" s="309">
        <v>581713.0769</v>
      </c>
      <c r="AD76" s="274"/>
      <c r="AE76" s="274"/>
      <c r="AF76" s="274"/>
      <c r="AG76" s="274"/>
      <c r="AH76" s="274"/>
      <c r="AI76" s="274"/>
      <c r="AJ76" s="274"/>
      <c r="AK76" s="274"/>
      <c r="AL76" s="274"/>
      <c r="AM76" s="274"/>
      <c r="AN76" s="274"/>
      <c r="AO76" s="274"/>
      <c r="AP76" s="274"/>
      <c r="AQ76" s="274"/>
      <c r="AR76" s="274"/>
      <c r="AS76" s="274"/>
      <c r="AT76" s="274"/>
      <c r="AU76" s="274"/>
      <c r="AV76" s="274"/>
      <c r="AW76" s="274"/>
    </row>
    <row r="77" ht="15.75" customHeight="1">
      <c r="A77" s="353" t="s">
        <v>1777</v>
      </c>
      <c r="B77" s="354" t="s">
        <v>3413</v>
      </c>
      <c r="C77" s="355">
        <v>0.433</v>
      </c>
      <c r="D77" s="355">
        <v>142.8</v>
      </c>
      <c r="E77" s="355">
        <v>175.0</v>
      </c>
      <c r="F77" s="355">
        <v>454.0</v>
      </c>
      <c r="G77" s="355">
        <v>2.0</v>
      </c>
      <c r="H77" s="356">
        <f t="shared" ref="H77:H84" si="31">E77*3</f>
        <v>525</v>
      </c>
      <c r="I77" s="355">
        <f t="shared" ref="I77:I84" si="32">G77*F77</f>
        <v>908</v>
      </c>
      <c r="J77" s="355">
        <v>0.433</v>
      </c>
      <c r="K77" s="357">
        <f t="shared" ref="K77:K84" si="33">H77/I77</f>
        <v>0.5781938326</v>
      </c>
      <c r="L77" s="274"/>
      <c r="M77" s="274"/>
      <c r="N77" s="274"/>
      <c r="O77" s="274"/>
      <c r="P77" s="274"/>
      <c r="Q77" s="274"/>
      <c r="R77" s="316"/>
      <c r="S77" s="50" t="s">
        <v>3414</v>
      </c>
      <c r="T77" s="317">
        <v>4535444.383470002</v>
      </c>
      <c r="U77" s="162">
        <v>5012859.581730002</v>
      </c>
      <c r="V77" s="318">
        <f t="shared" si="29"/>
        <v>10.5</v>
      </c>
      <c r="W77" s="274"/>
      <c r="X77" s="274"/>
      <c r="Y77" s="274"/>
      <c r="Z77" s="274">
        <v>4.75</v>
      </c>
      <c r="AA77" s="309">
        <v>686421.4308</v>
      </c>
      <c r="AB77" s="309">
        <v>546810.2923</v>
      </c>
      <c r="AC77" s="309">
        <v>581713.0769</v>
      </c>
      <c r="AD77" s="274"/>
      <c r="AE77" s="274"/>
      <c r="AF77" s="274"/>
      <c r="AG77" s="274"/>
      <c r="AH77" s="274"/>
      <c r="AI77" s="274"/>
      <c r="AJ77" s="274"/>
      <c r="AK77" s="274"/>
      <c r="AL77" s="274"/>
      <c r="AM77" s="274"/>
      <c r="AN77" s="274"/>
      <c r="AO77" s="274"/>
      <c r="AP77" s="274"/>
      <c r="AQ77" s="274"/>
      <c r="AR77" s="274"/>
      <c r="AS77" s="274"/>
      <c r="AT77" s="274"/>
      <c r="AU77" s="274"/>
      <c r="AV77" s="274"/>
      <c r="AW77" s="274"/>
    </row>
    <row r="78" ht="15.75" customHeight="1">
      <c r="A78" s="353" t="s">
        <v>2045</v>
      </c>
      <c r="B78" s="354" t="s">
        <v>3413</v>
      </c>
      <c r="C78" s="355">
        <v>0.233</v>
      </c>
      <c r="D78" s="355">
        <v>130.7</v>
      </c>
      <c r="E78" s="356">
        <f t="shared" ref="E78:E84" si="34">D78*(E77/D77)</f>
        <v>160.1715686</v>
      </c>
      <c r="F78" s="355">
        <v>60.0</v>
      </c>
      <c r="G78" s="355">
        <v>5.0</v>
      </c>
      <c r="H78" s="356">
        <f t="shared" si="31"/>
        <v>480.5147059</v>
      </c>
      <c r="I78" s="355">
        <f t="shared" si="32"/>
        <v>300</v>
      </c>
      <c r="J78" s="355">
        <v>0.932</v>
      </c>
      <c r="K78" s="357">
        <f t="shared" si="33"/>
        <v>1.601715686</v>
      </c>
      <c r="L78" s="274"/>
      <c r="M78" s="274"/>
      <c r="N78" s="274"/>
      <c r="O78" s="274"/>
      <c r="P78" s="274"/>
      <c r="Q78" s="274"/>
      <c r="R78" s="316"/>
      <c r="S78" s="50" t="s">
        <v>3415</v>
      </c>
      <c r="T78" s="317">
        <v>1.1767277313792001E7</v>
      </c>
      <c r="U78" s="162">
        <v>1.301587022736E7</v>
      </c>
      <c r="V78" s="318">
        <f t="shared" si="29"/>
        <v>10.6</v>
      </c>
      <c r="W78" s="274"/>
      <c r="X78" s="274"/>
      <c r="Y78" s="274"/>
      <c r="Z78" s="274">
        <v>4.812</v>
      </c>
      <c r="AA78" s="309">
        <v>686421.4308</v>
      </c>
      <c r="AB78" s="309">
        <v>546810.2923</v>
      </c>
      <c r="AC78" s="309">
        <v>581713.0769</v>
      </c>
      <c r="AD78" s="274"/>
      <c r="AE78" s="274"/>
      <c r="AF78" s="274"/>
      <c r="AG78" s="274"/>
      <c r="AH78" s="274"/>
      <c r="AI78" s="274"/>
      <c r="AJ78" s="274"/>
      <c r="AK78" s="274"/>
      <c r="AL78" s="274"/>
      <c r="AM78" s="274"/>
      <c r="AN78" s="274"/>
      <c r="AO78" s="274"/>
      <c r="AP78" s="274"/>
      <c r="AQ78" s="274"/>
      <c r="AR78" s="274"/>
      <c r="AS78" s="274"/>
      <c r="AT78" s="274"/>
      <c r="AU78" s="274"/>
      <c r="AV78" s="274"/>
      <c r="AW78" s="274"/>
    </row>
    <row r="79" ht="15.75" customHeight="1">
      <c r="A79" s="353" t="s">
        <v>1834</v>
      </c>
      <c r="B79" s="354" t="s">
        <v>3413</v>
      </c>
      <c r="C79" s="355">
        <v>0.109</v>
      </c>
      <c r="D79" s="355">
        <v>121.4</v>
      </c>
      <c r="E79" s="356">
        <f t="shared" si="34"/>
        <v>148.7745098</v>
      </c>
      <c r="F79" s="355">
        <v>90.0</v>
      </c>
      <c r="G79" s="355">
        <v>10.0</v>
      </c>
      <c r="H79" s="356">
        <f t="shared" si="31"/>
        <v>446.3235294</v>
      </c>
      <c r="I79" s="355">
        <f t="shared" si="32"/>
        <v>900</v>
      </c>
      <c r="J79" s="355">
        <v>0.981</v>
      </c>
      <c r="K79" s="357">
        <f t="shared" si="33"/>
        <v>0.4959150327</v>
      </c>
      <c r="L79" s="274"/>
      <c r="M79" s="274"/>
      <c r="N79" s="274"/>
      <c r="O79" s="274"/>
      <c r="P79" s="274"/>
      <c r="Q79" s="274"/>
      <c r="R79" s="316"/>
      <c r="S79" s="50" t="s">
        <v>3416</v>
      </c>
      <c r="T79" s="317">
        <v>4720205.772500401</v>
      </c>
      <c r="U79" s="162">
        <v>5223256.619062953</v>
      </c>
      <c r="V79" s="318">
        <f t="shared" si="29"/>
        <v>10.7</v>
      </c>
      <c r="W79" s="274"/>
      <c r="X79" s="274"/>
      <c r="Y79" s="274"/>
      <c r="Z79" s="274">
        <v>4.875</v>
      </c>
      <c r="AA79" s="309">
        <v>686421.4308</v>
      </c>
      <c r="AB79" s="309">
        <v>546810.2923</v>
      </c>
      <c r="AC79" s="309">
        <v>581713.0769</v>
      </c>
      <c r="AD79" s="274"/>
      <c r="AE79" s="274"/>
      <c r="AF79" s="274"/>
      <c r="AG79" s="274"/>
      <c r="AH79" s="274"/>
      <c r="AI79" s="274"/>
      <c r="AJ79" s="274"/>
      <c r="AK79" s="274"/>
      <c r="AL79" s="274"/>
      <c r="AM79" s="274"/>
      <c r="AN79" s="274"/>
      <c r="AO79" s="274"/>
      <c r="AP79" s="274"/>
      <c r="AQ79" s="274"/>
      <c r="AR79" s="274"/>
      <c r="AS79" s="274"/>
      <c r="AT79" s="274"/>
      <c r="AU79" s="274"/>
      <c r="AV79" s="274"/>
      <c r="AW79" s="274"/>
    </row>
    <row r="80" ht="15.75" customHeight="1">
      <c r="A80" s="353" t="s">
        <v>3417</v>
      </c>
      <c r="B80" s="354" t="s">
        <v>1038</v>
      </c>
      <c r="C80" s="355">
        <v>0.348</v>
      </c>
      <c r="D80" s="355">
        <v>137.7</v>
      </c>
      <c r="E80" s="356">
        <f t="shared" si="34"/>
        <v>168.75</v>
      </c>
      <c r="F80" s="355">
        <v>123.0</v>
      </c>
      <c r="G80" s="355">
        <v>5.0</v>
      </c>
      <c r="H80" s="356">
        <f t="shared" si="31"/>
        <v>506.25</v>
      </c>
      <c r="I80" s="355">
        <f t="shared" si="32"/>
        <v>615</v>
      </c>
      <c r="J80" s="355">
        <v>1.392</v>
      </c>
      <c r="K80" s="357">
        <f t="shared" si="33"/>
        <v>0.8231707317</v>
      </c>
      <c r="L80" s="274"/>
      <c r="M80" s="274"/>
      <c r="N80" s="274"/>
      <c r="O80" s="274"/>
      <c r="P80" s="274"/>
      <c r="Q80" s="274"/>
      <c r="R80" s="316"/>
      <c r="S80" s="50" t="s">
        <v>3418</v>
      </c>
      <c r="T80" s="317">
        <v>3410245.1611800003</v>
      </c>
      <c r="U80" s="162">
        <v>3778920.31374</v>
      </c>
      <c r="V80" s="318">
        <f t="shared" si="29"/>
        <v>10.8</v>
      </c>
      <c r="W80" s="274"/>
      <c r="X80" s="274"/>
      <c r="Y80" s="274"/>
      <c r="Z80" s="274">
        <v>4.937</v>
      </c>
      <c r="AA80" s="309">
        <v>686421.4308</v>
      </c>
      <c r="AB80" s="309">
        <v>546810.2923</v>
      </c>
      <c r="AC80" s="309">
        <v>581713.0769</v>
      </c>
      <c r="AD80" s="274"/>
      <c r="AE80" s="274"/>
      <c r="AF80" s="274"/>
      <c r="AG80" s="274"/>
      <c r="AH80" s="274"/>
      <c r="AI80" s="274"/>
      <c r="AJ80" s="274"/>
      <c r="AK80" s="274"/>
      <c r="AL80" s="274"/>
      <c r="AM80" s="274"/>
      <c r="AN80" s="274"/>
      <c r="AO80" s="274"/>
      <c r="AP80" s="274"/>
      <c r="AQ80" s="274"/>
      <c r="AR80" s="274"/>
      <c r="AS80" s="274"/>
      <c r="AT80" s="274"/>
      <c r="AU80" s="274"/>
      <c r="AV80" s="274"/>
      <c r="AW80" s="274"/>
    </row>
    <row r="81" ht="15.75" customHeight="1">
      <c r="A81" s="353" t="s">
        <v>2010</v>
      </c>
      <c r="B81" s="354" t="s">
        <v>3419</v>
      </c>
      <c r="C81" s="355">
        <v>0.2</v>
      </c>
      <c r="D81" s="355">
        <v>155.8</v>
      </c>
      <c r="E81" s="356">
        <f t="shared" si="34"/>
        <v>190.9313725</v>
      </c>
      <c r="F81" s="358">
        <v>74.79754601226993</v>
      </c>
      <c r="G81" s="355">
        <v>7.0</v>
      </c>
      <c r="H81" s="356">
        <f t="shared" si="31"/>
        <v>572.7941176</v>
      </c>
      <c r="I81" s="356">
        <f t="shared" si="32"/>
        <v>523.5828221</v>
      </c>
      <c r="J81" s="355">
        <v>1.2</v>
      </c>
      <c r="K81" s="357">
        <f t="shared" si="33"/>
        <v>1.093989515</v>
      </c>
      <c r="L81" s="274"/>
      <c r="M81" s="274"/>
      <c r="N81" s="274"/>
      <c r="O81" s="274"/>
      <c r="P81" s="274"/>
      <c r="Q81" s="274"/>
      <c r="R81" s="316"/>
      <c r="S81" s="50" t="s">
        <v>3420</v>
      </c>
      <c r="T81" s="317">
        <v>4162786.5708000003</v>
      </c>
      <c r="U81" s="162">
        <v>4616908.74216</v>
      </c>
      <c r="V81" s="318">
        <f t="shared" si="29"/>
        <v>10.9</v>
      </c>
      <c r="W81" s="274"/>
      <c r="X81" s="274"/>
      <c r="Y81" s="274"/>
      <c r="Z81" s="274">
        <v>5.015</v>
      </c>
      <c r="AA81" s="309">
        <v>686421.4308</v>
      </c>
      <c r="AB81" s="309">
        <v>546810.2923</v>
      </c>
      <c r="AC81" s="309">
        <v>581713.0769</v>
      </c>
      <c r="AD81" s="274"/>
      <c r="AE81" s="274"/>
      <c r="AF81" s="274"/>
      <c r="AG81" s="274"/>
      <c r="AH81" s="274"/>
      <c r="AI81" s="274"/>
      <c r="AJ81" s="274"/>
      <c r="AK81" s="274"/>
      <c r="AL81" s="274"/>
      <c r="AM81" s="274"/>
      <c r="AN81" s="274"/>
      <c r="AO81" s="274"/>
      <c r="AP81" s="274"/>
      <c r="AQ81" s="274"/>
      <c r="AR81" s="274"/>
      <c r="AS81" s="274"/>
      <c r="AT81" s="274"/>
      <c r="AU81" s="274"/>
      <c r="AV81" s="274"/>
      <c r="AW81" s="274"/>
    </row>
    <row r="82" ht="15.75" customHeight="1">
      <c r="A82" s="353" t="s">
        <v>1879</v>
      </c>
      <c r="B82" s="354" t="s">
        <v>3413</v>
      </c>
      <c r="C82" s="355">
        <v>0.083</v>
      </c>
      <c r="D82" s="355">
        <v>115.6</v>
      </c>
      <c r="E82" s="356">
        <f t="shared" si="34"/>
        <v>141.6666667</v>
      </c>
      <c r="F82" s="355">
        <v>22.0</v>
      </c>
      <c r="G82" s="355">
        <v>11.0</v>
      </c>
      <c r="H82" s="356">
        <f t="shared" si="31"/>
        <v>425</v>
      </c>
      <c r="I82" s="355">
        <f t="shared" si="32"/>
        <v>242</v>
      </c>
      <c r="J82" s="355">
        <v>0.83</v>
      </c>
      <c r="K82" s="357">
        <f t="shared" si="33"/>
        <v>1.756198347</v>
      </c>
      <c r="L82" s="274"/>
      <c r="M82" s="274"/>
      <c r="N82" s="274"/>
      <c r="O82" s="274"/>
      <c r="P82" s="274"/>
      <c r="Q82" s="274"/>
      <c r="R82" s="316"/>
      <c r="S82" s="50" t="s">
        <v>3421</v>
      </c>
      <c r="T82" s="317">
        <v>5359694.871960002</v>
      </c>
      <c r="U82" s="162">
        <v>5949392.351760002</v>
      </c>
      <c r="V82" s="318">
        <f t="shared" si="29"/>
        <v>11</v>
      </c>
      <c r="W82" s="274"/>
      <c r="X82" s="274"/>
      <c r="Y82" s="274"/>
      <c r="Z82" s="274">
        <v>5.062</v>
      </c>
      <c r="AA82" s="309">
        <v>686421.4308</v>
      </c>
      <c r="AB82" s="309">
        <v>546810.2923</v>
      </c>
      <c r="AC82" s="309">
        <v>581713.0769</v>
      </c>
      <c r="AD82" s="274"/>
      <c r="AE82" s="274"/>
      <c r="AF82" s="274"/>
      <c r="AG82" s="274"/>
      <c r="AH82" s="274"/>
      <c r="AI82" s="274"/>
      <c r="AJ82" s="274"/>
      <c r="AK82" s="274"/>
      <c r="AL82" s="274"/>
      <c r="AM82" s="274"/>
      <c r="AN82" s="274"/>
      <c r="AO82" s="274"/>
      <c r="AP82" s="274"/>
      <c r="AQ82" s="274"/>
      <c r="AR82" s="274"/>
      <c r="AS82" s="274"/>
      <c r="AT82" s="274"/>
      <c r="AU82" s="274"/>
      <c r="AV82" s="274"/>
      <c r="AW82" s="274"/>
    </row>
    <row r="83" ht="15.75" customHeight="1">
      <c r="A83" s="353" t="s">
        <v>3422</v>
      </c>
      <c r="B83" s="354" t="s">
        <v>3423</v>
      </c>
      <c r="C83" s="355">
        <v>0.067</v>
      </c>
      <c r="D83" s="355">
        <v>162.1</v>
      </c>
      <c r="E83" s="356">
        <f t="shared" si="34"/>
        <v>198.6519608</v>
      </c>
      <c r="F83" s="355">
        <v>28.0</v>
      </c>
      <c r="G83" s="355">
        <v>13.0</v>
      </c>
      <c r="H83" s="356">
        <f t="shared" si="31"/>
        <v>595.9558824</v>
      </c>
      <c r="I83" s="355">
        <f t="shared" si="32"/>
        <v>364</v>
      </c>
      <c r="J83" s="355">
        <v>0.804</v>
      </c>
      <c r="K83" s="357">
        <f t="shared" si="33"/>
        <v>1.637241435</v>
      </c>
      <c r="L83" s="274"/>
      <c r="M83" s="274"/>
      <c r="N83" s="274"/>
      <c r="O83" s="274"/>
      <c r="P83" s="274"/>
      <c r="Q83" s="274"/>
      <c r="R83" s="316"/>
      <c r="S83" s="50" t="s">
        <v>3424</v>
      </c>
      <c r="T83" s="317">
        <v>6312971.524860002</v>
      </c>
      <c r="U83" s="162">
        <v>7025575.638510003</v>
      </c>
      <c r="V83" s="318">
        <f t="shared" si="29"/>
        <v>11.3</v>
      </c>
      <c r="W83" s="274"/>
      <c r="X83" s="274"/>
      <c r="Y83" s="274"/>
      <c r="Z83" s="274">
        <v>5.125</v>
      </c>
      <c r="AA83" s="309">
        <v>686421.4308</v>
      </c>
      <c r="AB83" s="309">
        <v>663152.9077</v>
      </c>
      <c r="AC83" s="309">
        <v>581713.0769</v>
      </c>
      <c r="AD83" s="274"/>
      <c r="AE83" s="274"/>
      <c r="AF83" s="274"/>
      <c r="AG83" s="274"/>
      <c r="AH83" s="274"/>
      <c r="AI83" s="274"/>
      <c r="AJ83" s="274"/>
      <c r="AK83" s="274"/>
      <c r="AL83" s="274"/>
      <c r="AM83" s="274"/>
      <c r="AN83" s="274"/>
      <c r="AO83" s="274"/>
      <c r="AP83" s="274"/>
      <c r="AQ83" s="274"/>
      <c r="AR83" s="274"/>
      <c r="AS83" s="274"/>
      <c r="AT83" s="274"/>
      <c r="AU83" s="274"/>
      <c r="AV83" s="274"/>
      <c r="AW83" s="274"/>
    </row>
    <row r="84" ht="15.75" customHeight="1">
      <c r="A84" s="353" t="s">
        <v>1752</v>
      </c>
      <c r="B84" s="354" t="s">
        <v>1038</v>
      </c>
      <c r="C84" s="355">
        <v>1.15</v>
      </c>
      <c r="D84" s="355">
        <v>162.1</v>
      </c>
      <c r="E84" s="356">
        <f t="shared" si="34"/>
        <v>198.6519608</v>
      </c>
      <c r="F84" s="355">
        <v>204.0</v>
      </c>
      <c r="G84" s="355">
        <v>2.0</v>
      </c>
      <c r="H84" s="356">
        <f t="shared" si="31"/>
        <v>595.9558824</v>
      </c>
      <c r="I84" s="355">
        <f t="shared" si="32"/>
        <v>408</v>
      </c>
      <c r="J84" s="355">
        <v>1.15</v>
      </c>
      <c r="K84" s="357">
        <f t="shared" si="33"/>
        <v>1.460676182</v>
      </c>
      <c r="L84" s="274"/>
      <c r="M84" s="274"/>
      <c r="N84" s="274"/>
      <c r="O84" s="274"/>
      <c r="P84" s="274"/>
      <c r="Q84" s="274"/>
      <c r="R84" s="316"/>
      <c r="S84" s="50" t="s">
        <v>3425</v>
      </c>
      <c r="T84" s="317">
        <v>1.364526500958621E7</v>
      </c>
      <c r="U84" s="162">
        <v>1.5184566350268086E7</v>
      </c>
      <c r="V84" s="318">
        <f t="shared" si="29"/>
        <v>11.3</v>
      </c>
      <c r="W84" s="274"/>
      <c r="X84" s="274"/>
      <c r="Y84" s="274"/>
      <c r="Z84" s="274">
        <v>5.187</v>
      </c>
      <c r="AA84" s="309">
        <v>686421.4308</v>
      </c>
      <c r="AB84" s="309">
        <v>663152.9077</v>
      </c>
      <c r="AC84" s="309">
        <v>581713.0769</v>
      </c>
      <c r="AD84" s="274"/>
      <c r="AE84" s="274"/>
      <c r="AF84" s="274"/>
      <c r="AG84" s="274"/>
      <c r="AH84" s="274"/>
      <c r="AI84" s="274"/>
      <c r="AJ84" s="274"/>
      <c r="AK84" s="274"/>
      <c r="AL84" s="274"/>
      <c r="AM84" s="274"/>
      <c r="AN84" s="274"/>
      <c r="AO84" s="274"/>
      <c r="AP84" s="274"/>
      <c r="AQ84" s="274"/>
      <c r="AR84" s="274"/>
      <c r="AS84" s="274"/>
      <c r="AT84" s="274"/>
      <c r="AU84" s="274"/>
      <c r="AV84" s="274"/>
      <c r="AW84" s="274"/>
    </row>
    <row r="85" ht="15.75" customHeight="1">
      <c r="A85" s="274"/>
      <c r="B85" s="274"/>
      <c r="C85" s="274"/>
      <c r="D85" s="274"/>
      <c r="E85" s="274"/>
      <c r="F85" s="274"/>
      <c r="G85" s="274"/>
      <c r="H85" s="274"/>
      <c r="I85" s="274"/>
      <c r="J85" s="274"/>
      <c r="K85" s="274"/>
      <c r="L85" s="274"/>
      <c r="M85" s="274"/>
      <c r="N85" s="274"/>
      <c r="O85" s="274"/>
      <c r="P85" s="274"/>
      <c r="Q85" s="274"/>
      <c r="R85" s="316"/>
      <c r="S85" s="50" t="s">
        <v>3426</v>
      </c>
      <c r="T85" s="317">
        <v>1.1449403828963103E7</v>
      </c>
      <c r="U85" s="162">
        <v>1.2745075506263105E7</v>
      </c>
      <c r="V85" s="318">
        <f t="shared" si="29"/>
        <v>11.3</v>
      </c>
      <c r="W85" s="274"/>
      <c r="X85" s="274"/>
      <c r="Y85" s="274"/>
      <c r="Z85" s="274">
        <v>5.25</v>
      </c>
      <c r="AA85" s="309">
        <v>686421.4308</v>
      </c>
      <c r="AB85" s="309">
        <v>663152.9077</v>
      </c>
      <c r="AC85" s="309">
        <v>581713.0769</v>
      </c>
      <c r="AD85" s="274"/>
      <c r="AE85" s="274"/>
      <c r="AF85" s="274"/>
      <c r="AG85" s="274"/>
      <c r="AH85" s="274"/>
      <c r="AI85" s="274"/>
      <c r="AJ85" s="274"/>
      <c r="AK85" s="274"/>
      <c r="AL85" s="274"/>
      <c r="AM85" s="274"/>
      <c r="AN85" s="274"/>
      <c r="AO85" s="274"/>
      <c r="AP85" s="274"/>
      <c r="AQ85" s="274"/>
      <c r="AR85" s="274"/>
      <c r="AS85" s="274"/>
      <c r="AT85" s="274"/>
      <c r="AU85" s="274"/>
      <c r="AV85" s="274"/>
      <c r="AW85" s="274"/>
    </row>
    <row r="86" ht="15.75" customHeight="1">
      <c r="B86" s="312" t="s">
        <v>3427</v>
      </c>
      <c r="C86" s="312" t="s">
        <v>292</v>
      </c>
      <c r="D86" s="312" t="s">
        <v>3193</v>
      </c>
      <c r="E86" s="312" t="s">
        <v>3428</v>
      </c>
      <c r="F86" s="312" t="s">
        <v>3429</v>
      </c>
      <c r="G86" s="274"/>
      <c r="H86" s="274"/>
      <c r="I86" s="274"/>
      <c r="J86" s="274"/>
      <c r="K86" s="274"/>
      <c r="L86" s="141"/>
      <c r="M86" s="141"/>
      <c r="N86" s="141"/>
      <c r="O86" s="141"/>
      <c r="P86" s="141"/>
      <c r="Q86" s="141"/>
      <c r="R86" s="316"/>
      <c r="S86" s="50" t="s">
        <v>3430</v>
      </c>
      <c r="T86" s="317">
        <v>4299803.267760001</v>
      </c>
      <c r="U86" s="162">
        <v>4791209.355504001</v>
      </c>
      <c r="V86" s="318">
        <f t="shared" si="29"/>
        <v>11.4</v>
      </c>
      <c r="W86" s="274"/>
      <c r="X86" s="274"/>
      <c r="Y86" s="274"/>
      <c r="Z86" s="274">
        <v>5.312</v>
      </c>
      <c r="AA86" s="309">
        <v>686421.4308</v>
      </c>
      <c r="AB86" s="309">
        <v>663152.9077</v>
      </c>
      <c r="AC86" s="309">
        <v>581713.0769</v>
      </c>
      <c r="AD86" s="274"/>
      <c r="AE86" s="274"/>
      <c r="AF86" s="274"/>
      <c r="AG86" s="274"/>
      <c r="AH86" s="274"/>
      <c r="AI86" s="274"/>
      <c r="AJ86" s="274"/>
      <c r="AK86" s="274"/>
      <c r="AL86" s="274"/>
      <c r="AM86" s="274"/>
      <c r="AN86" s="274"/>
      <c r="AO86" s="274"/>
      <c r="AP86" s="274"/>
      <c r="AQ86" s="274"/>
      <c r="AR86" s="274"/>
      <c r="AS86" s="274"/>
      <c r="AT86" s="274"/>
      <c r="AU86" s="274"/>
      <c r="AV86" s="274"/>
      <c r="AW86" s="274"/>
    </row>
    <row r="87" ht="15.75" customHeight="1">
      <c r="A87" s="329" t="s">
        <v>3431</v>
      </c>
      <c r="B87" s="359" t="s">
        <v>3432</v>
      </c>
      <c r="C87" s="329">
        <v>9.0</v>
      </c>
      <c r="D87" s="329">
        <v>35585.0</v>
      </c>
      <c r="E87" s="329">
        <v>44379.0</v>
      </c>
      <c r="F87" s="360">
        <f t="shared" ref="F87:F130" si="35">E87/D87</f>
        <v>1.247126598</v>
      </c>
      <c r="G87" s="274"/>
      <c r="H87" s="274"/>
      <c r="I87" s="274"/>
      <c r="J87" s="274"/>
      <c r="K87" s="274"/>
      <c r="L87" s="141"/>
      <c r="M87" s="141"/>
      <c r="N87" s="141"/>
      <c r="O87" s="141"/>
      <c r="P87" s="141"/>
      <c r="Q87" s="141"/>
      <c r="R87" s="316"/>
      <c r="S87" s="50" t="s">
        <v>3433</v>
      </c>
      <c r="T87" s="317">
        <v>5379751.840320001</v>
      </c>
      <c r="U87" s="162">
        <v>5999718.4790400015</v>
      </c>
      <c r="V87" s="318">
        <f t="shared" si="29"/>
        <v>11.5</v>
      </c>
      <c r="W87" s="274"/>
      <c r="X87" s="274"/>
      <c r="Y87" s="274"/>
      <c r="Z87" s="274">
        <v>5.375</v>
      </c>
      <c r="AA87" s="309">
        <v>686421.4308</v>
      </c>
      <c r="AB87" s="309">
        <v>663152.9077</v>
      </c>
      <c r="AC87" s="309">
        <v>581713.0769</v>
      </c>
      <c r="AD87" s="274"/>
      <c r="AE87" s="274"/>
      <c r="AF87" s="274"/>
      <c r="AG87" s="274"/>
      <c r="AH87" s="274"/>
      <c r="AI87" s="274"/>
      <c r="AJ87" s="274"/>
      <c r="AK87" s="274"/>
      <c r="AL87" s="274"/>
      <c r="AM87" s="274"/>
      <c r="AN87" s="274"/>
      <c r="AO87" s="274"/>
      <c r="AP87" s="274"/>
      <c r="AQ87" s="274"/>
      <c r="AR87" s="274"/>
      <c r="AS87" s="274"/>
      <c r="AT87" s="274"/>
      <c r="AU87" s="274"/>
      <c r="AV87" s="274"/>
      <c r="AW87" s="274"/>
    </row>
    <row r="88" ht="15.75" customHeight="1">
      <c r="A88" s="329" t="s">
        <v>3434</v>
      </c>
      <c r="B88" s="359" t="s">
        <v>3432</v>
      </c>
      <c r="C88" s="329">
        <v>9.0</v>
      </c>
      <c r="D88" s="329">
        <v>35337.0</v>
      </c>
      <c r="E88" s="329">
        <v>42604.0</v>
      </c>
      <c r="F88" s="360">
        <f t="shared" si="35"/>
        <v>1.20564847</v>
      </c>
      <c r="G88" s="274"/>
      <c r="H88" s="274"/>
      <c r="I88" s="274"/>
      <c r="J88" s="274"/>
      <c r="K88" s="274"/>
      <c r="L88" s="141"/>
      <c r="M88" s="141"/>
      <c r="N88" s="141"/>
      <c r="O88" s="141"/>
      <c r="P88" s="141"/>
      <c r="Q88" s="141"/>
      <c r="R88" s="316"/>
      <c r="S88" s="50"/>
      <c r="T88" s="317"/>
      <c r="U88" s="162"/>
      <c r="V88" s="318"/>
      <c r="W88" s="274"/>
      <c r="X88" s="274"/>
      <c r="Y88" s="274"/>
      <c r="Z88" s="274"/>
      <c r="AA88" s="309"/>
      <c r="AB88" s="309"/>
      <c r="AC88" s="309"/>
      <c r="AD88" s="274"/>
      <c r="AE88" s="274"/>
      <c r="AF88" s="274"/>
      <c r="AG88" s="274"/>
      <c r="AH88" s="274"/>
      <c r="AI88" s="274"/>
      <c r="AJ88" s="274"/>
      <c r="AK88" s="274"/>
      <c r="AL88" s="274"/>
      <c r="AM88" s="274"/>
      <c r="AN88" s="274"/>
      <c r="AO88" s="274"/>
      <c r="AP88" s="274"/>
      <c r="AQ88" s="274"/>
      <c r="AR88" s="274"/>
      <c r="AS88" s="274"/>
      <c r="AT88" s="274"/>
      <c r="AU88" s="274"/>
      <c r="AV88" s="274"/>
      <c r="AW88" s="274"/>
    </row>
    <row r="89" ht="15.75" customHeight="1">
      <c r="A89" s="329" t="s">
        <v>3435</v>
      </c>
      <c r="B89" s="359" t="s">
        <v>3432</v>
      </c>
      <c r="C89" s="329">
        <v>9.0</v>
      </c>
      <c r="D89" s="329">
        <v>35244.0</v>
      </c>
      <c r="E89" s="329">
        <v>56805.0</v>
      </c>
      <c r="F89" s="360">
        <f t="shared" si="35"/>
        <v>1.611763704</v>
      </c>
      <c r="G89" s="274"/>
      <c r="H89" s="274"/>
      <c r="I89" s="274"/>
      <c r="J89" s="274"/>
      <c r="K89" s="274"/>
      <c r="L89" s="274"/>
      <c r="M89" s="274"/>
      <c r="N89" s="274"/>
      <c r="O89" s="274"/>
      <c r="P89" s="274"/>
      <c r="Q89" s="274"/>
      <c r="R89" s="316"/>
      <c r="S89" s="50" t="s">
        <v>3436</v>
      </c>
      <c r="T89" s="317">
        <v>4464265.020769126</v>
      </c>
      <c r="U89" s="162">
        <v>4988155.330426554</v>
      </c>
      <c r="V89" s="318">
        <f t="shared" ref="V89:V90" si="36">(ROUND(U89/T89,3)-1)*100</f>
        <v>11.7</v>
      </c>
      <c r="W89" s="274"/>
      <c r="X89" s="274"/>
      <c r="Y89" s="274"/>
      <c r="Z89" s="274">
        <v>5.437</v>
      </c>
      <c r="AA89" s="309">
        <v>709689.9538</v>
      </c>
      <c r="AB89" s="309">
        <v>663152.9077</v>
      </c>
      <c r="AC89" s="309">
        <v>628250.1231</v>
      </c>
      <c r="AD89" s="274"/>
      <c r="AE89" s="274"/>
      <c r="AF89" s="274"/>
      <c r="AG89" s="274"/>
      <c r="AH89" s="274"/>
      <c r="AI89" s="274"/>
      <c r="AJ89" s="274"/>
      <c r="AK89" s="274"/>
      <c r="AL89" s="274"/>
      <c r="AM89" s="274"/>
      <c r="AN89" s="274"/>
      <c r="AO89" s="274"/>
      <c r="AP89" s="274"/>
      <c r="AQ89" s="274"/>
      <c r="AR89" s="274"/>
      <c r="AS89" s="274"/>
      <c r="AT89" s="274"/>
      <c r="AU89" s="274"/>
      <c r="AV89" s="274"/>
      <c r="AW89" s="274"/>
    </row>
    <row r="90" ht="15.75" customHeight="1">
      <c r="A90" s="329" t="s">
        <v>3437</v>
      </c>
      <c r="B90" s="359" t="s">
        <v>3432</v>
      </c>
      <c r="C90" s="329">
        <v>9.0</v>
      </c>
      <c r="D90" s="329">
        <v>35147.0</v>
      </c>
      <c r="E90" s="329">
        <v>58580.0</v>
      </c>
      <c r="F90" s="360">
        <f t="shared" si="35"/>
        <v>1.666714087</v>
      </c>
      <c r="G90" s="274"/>
      <c r="H90" s="274"/>
      <c r="I90" s="274"/>
      <c r="J90" s="274"/>
      <c r="K90" s="274"/>
      <c r="L90" s="274"/>
      <c r="M90" s="274"/>
      <c r="N90" s="274"/>
      <c r="O90" s="274"/>
      <c r="P90" s="274"/>
      <c r="Q90" s="274"/>
      <c r="R90" s="316"/>
      <c r="S90" s="50" t="s">
        <v>3438</v>
      </c>
      <c r="T90" s="317">
        <v>3511895.0826960006</v>
      </c>
      <c r="U90" s="162">
        <v>3925059.2100720005</v>
      </c>
      <c r="V90" s="318">
        <f t="shared" si="36"/>
        <v>11.8</v>
      </c>
      <c r="W90" s="274"/>
      <c r="X90" s="274"/>
      <c r="Y90" s="274"/>
      <c r="Z90" s="274">
        <v>5.562</v>
      </c>
      <c r="AA90" s="309">
        <v>744592.7385</v>
      </c>
      <c r="AB90" s="309">
        <v>663152.9077</v>
      </c>
      <c r="AC90" s="309">
        <v>628250.1231</v>
      </c>
      <c r="AD90" s="274"/>
      <c r="AE90" s="274"/>
      <c r="AF90" s="274"/>
      <c r="AG90" s="274"/>
      <c r="AH90" s="274"/>
      <c r="AI90" s="274"/>
      <c r="AJ90" s="274"/>
      <c r="AK90" s="274"/>
      <c r="AL90" s="274"/>
      <c r="AM90" s="274"/>
      <c r="AN90" s="274"/>
      <c r="AO90" s="274"/>
      <c r="AP90" s="274"/>
      <c r="AQ90" s="274"/>
      <c r="AR90" s="274"/>
      <c r="AS90" s="274"/>
      <c r="AT90" s="274"/>
      <c r="AU90" s="274"/>
      <c r="AV90" s="274"/>
      <c r="AW90" s="274"/>
    </row>
    <row r="91" ht="15.75" customHeight="1">
      <c r="A91" s="329" t="s">
        <v>3439</v>
      </c>
      <c r="B91" s="359" t="s">
        <v>3432</v>
      </c>
      <c r="C91" s="329">
        <v>9.0</v>
      </c>
      <c r="D91" s="329">
        <v>31618.0</v>
      </c>
      <c r="E91" s="329">
        <v>88757.0</v>
      </c>
      <c r="F91" s="360">
        <f t="shared" si="35"/>
        <v>2.807166804</v>
      </c>
      <c r="G91" s="274"/>
      <c r="H91" s="274"/>
      <c r="I91" s="274"/>
      <c r="J91" s="274"/>
      <c r="K91" s="274"/>
      <c r="L91" s="274"/>
      <c r="M91" s="274"/>
      <c r="N91" s="274"/>
      <c r="O91" s="274"/>
      <c r="P91" s="274"/>
      <c r="Q91" s="274"/>
      <c r="R91" s="316"/>
      <c r="S91" s="50"/>
      <c r="T91" s="317"/>
      <c r="U91" s="162"/>
      <c r="V91" s="318"/>
      <c r="W91" s="274"/>
      <c r="X91" s="274"/>
      <c r="Y91" s="274"/>
      <c r="Z91" s="274"/>
      <c r="AA91" s="309"/>
      <c r="AB91" s="309"/>
      <c r="AC91" s="309"/>
      <c r="AD91" s="274"/>
      <c r="AE91" s="274"/>
      <c r="AF91" s="274"/>
      <c r="AG91" s="274"/>
      <c r="AH91" s="274"/>
      <c r="AI91" s="274"/>
      <c r="AJ91" s="274"/>
      <c r="AK91" s="274"/>
      <c r="AL91" s="274"/>
      <c r="AM91" s="274"/>
      <c r="AN91" s="274"/>
      <c r="AO91" s="274"/>
      <c r="AP91" s="274"/>
      <c r="AQ91" s="274"/>
      <c r="AR91" s="274"/>
      <c r="AS91" s="274"/>
      <c r="AT91" s="274"/>
      <c r="AU91" s="274"/>
      <c r="AV91" s="274"/>
      <c r="AW91" s="274"/>
    </row>
    <row r="92" ht="15.75" customHeight="1">
      <c r="A92" s="361" t="s">
        <v>3439</v>
      </c>
      <c r="B92" s="362" t="s">
        <v>3440</v>
      </c>
      <c r="C92" s="361">
        <v>9.0</v>
      </c>
      <c r="D92" s="361">
        <v>23729.0</v>
      </c>
      <c r="E92" s="361">
        <v>42604.0</v>
      </c>
      <c r="F92" s="345">
        <f t="shared" si="35"/>
        <v>1.795440179</v>
      </c>
      <c r="G92" s="274"/>
      <c r="H92" s="274"/>
      <c r="I92" s="274"/>
      <c r="J92" s="274"/>
      <c r="K92" s="274"/>
      <c r="L92" s="274"/>
      <c r="M92" s="274"/>
      <c r="N92" s="274"/>
      <c r="O92" s="274"/>
      <c r="P92" s="274"/>
      <c r="Q92" s="274"/>
      <c r="R92" s="316"/>
      <c r="S92" s="50"/>
      <c r="T92" s="317"/>
      <c r="U92" s="162"/>
      <c r="V92" s="318"/>
      <c r="W92" s="274"/>
      <c r="X92" s="274"/>
      <c r="Y92" s="274"/>
      <c r="Z92" s="274"/>
      <c r="AA92" s="309"/>
      <c r="AB92" s="309"/>
      <c r="AC92" s="309"/>
      <c r="AD92" s="274"/>
      <c r="AE92" s="274"/>
      <c r="AF92" s="274"/>
      <c r="AG92" s="274"/>
      <c r="AH92" s="274"/>
      <c r="AI92" s="274"/>
      <c r="AJ92" s="274"/>
      <c r="AK92" s="274"/>
      <c r="AL92" s="274"/>
      <c r="AM92" s="274"/>
      <c r="AN92" s="274"/>
      <c r="AO92" s="274"/>
      <c r="AP92" s="274"/>
      <c r="AQ92" s="274"/>
      <c r="AR92" s="274"/>
      <c r="AS92" s="274"/>
      <c r="AT92" s="274"/>
      <c r="AU92" s="274"/>
      <c r="AV92" s="274"/>
      <c r="AW92" s="274"/>
    </row>
    <row r="93" ht="15.75" customHeight="1">
      <c r="A93" s="361" t="s">
        <v>3439</v>
      </c>
      <c r="B93" s="362" t="s">
        <v>3441</v>
      </c>
      <c r="C93" s="361">
        <v>9.0</v>
      </c>
      <c r="D93" s="361">
        <v>31509.0</v>
      </c>
      <c r="E93" s="361">
        <v>83432.0</v>
      </c>
      <c r="F93" s="345">
        <f t="shared" si="35"/>
        <v>2.647878384</v>
      </c>
      <c r="G93" s="274"/>
      <c r="H93" s="274"/>
      <c r="I93" s="274"/>
      <c r="J93" s="274"/>
      <c r="K93" s="274"/>
      <c r="L93" s="274"/>
      <c r="M93" s="274"/>
      <c r="N93" s="274"/>
      <c r="O93" s="274"/>
      <c r="P93" s="274"/>
      <c r="Q93" s="274"/>
      <c r="R93" s="316"/>
      <c r="S93" s="50" t="s">
        <v>3442</v>
      </c>
      <c r="T93" s="317">
        <v>2083459.4357662804</v>
      </c>
      <c r="U93" s="162">
        <v>2339400.1064662808</v>
      </c>
      <c r="V93" s="318">
        <f>(ROUND(U93/T93,3)-1)*100</f>
        <v>12.3</v>
      </c>
      <c r="W93" s="274"/>
      <c r="X93" s="274"/>
      <c r="Y93" s="274"/>
      <c r="Z93" s="274">
        <v>5.687</v>
      </c>
      <c r="AA93" s="309">
        <v>744592.7385</v>
      </c>
      <c r="AB93" s="309">
        <v>686421.4308</v>
      </c>
      <c r="AC93" s="309">
        <v>686421.4308</v>
      </c>
      <c r="AD93" s="274"/>
      <c r="AE93" s="274"/>
      <c r="AF93" s="274"/>
      <c r="AG93" s="274"/>
      <c r="AH93" s="274"/>
      <c r="AI93" s="274"/>
      <c r="AJ93" s="274"/>
      <c r="AK93" s="274"/>
      <c r="AL93" s="274"/>
      <c r="AM93" s="274"/>
      <c r="AN93" s="274"/>
      <c r="AO93" s="274"/>
      <c r="AP93" s="274"/>
      <c r="AQ93" s="274"/>
      <c r="AR93" s="274"/>
      <c r="AS93" s="274"/>
      <c r="AT93" s="274"/>
      <c r="AU93" s="274"/>
      <c r="AV93" s="274"/>
      <c r="AW93" s="274"/>
    </row>
    <row r="94" ht="15.75" customHeight="1">
      <c r="A94" s="361" t="s">
        <v>3439</v>
      </c>
      <c r="B94" s="362" t="s">
        <v>3443</v>
      </c>
      <c r="C94" s="361">
        <v>9.0</v>
      </c>
      <c r="D94" s="361">
        <v>31120.0</v>
      </c>
      <c r="E94" s="361">
        <v>56805.0</v>
      </c>
      <c r="F94" s="345">
        <f t="shared" si="35"/>
        <v>1.82535347</v>
      </c>
      <c r="G94" s="274"/>
      <c r="H94" s="274"/>
      <c r="I94" s="274"/>
      <c r="J94" s="274"/>
      <c r="K94" s="274"/>
      <c r="L94" s="274"/>
      <c r="M94" s="274"/>
      <c r="N94" s="274"/>
      <c r="O94" s="274"/>
      <c r="P94" s="274"/>
      <c r="Q94" s="274"/>
      <c r="R94" s="316"/>
      <c r="S94" s="50"/>
      <c r="T94" s="317"/>
      <c r="U94" s="162"/>
      <c r="V94" s="318"/>
      <c r="W94" s="274"/>
      <c r="X94" s="274"/>
      <c r="Y94" s="274"/>
      <c r="Z94" s="274"/>
      <c r="AA94" s="309"/>
      <c r="AB94" s="309"/>
      <c r="AC94" s="309"/>
      <c r="AD94" s="274"/>
      <c r="AE94" s="274"/>
      <c r="AF94" s="274"/>
      <c r="AG94" s="274"/>
      <c r="AH94" s="274"/>
      <c r="AI94" s="274"/>
      <c r="AJ94" s="274"/>
      <c r="AK94" s="274"/>
      <c r="AL94" s="274"/>
      <c r="AM94" s="274"/>
      <c r="AN94" s="274"/>
      <c r="AO94" s="274"/>
      <c r="AP94" s="274"/>
      <c r="AQ94" s="274"/>
      <c r="AR94" s="274"/>
      <c r="AS94" s="274"/>
      <c r="AT94" s="274"/>
      <c r="AU94" s="274"/>
      <c r="AV94" s="274"/>
      <c r="AW94" s="274"/>
    </row>
    <row r="95" ht="15.75" customHeight="1">
      <c r="A95" s="337" t="s">
        <v>3439</v>
      </c>
      <c r="B95" s="363" t="s">
        <v>3444</v>
      </c>
      <c r="C95" s="337">
        <v>9.0</v>
      </c>
      <c r="D95" s="337">
        <v>35678.0</v>
      </c>
      <c r="E95" s="337">
        <v>88757.0</v>
      </c>
      <c r="F95" s="345">
        <f t="shared" si="35"/>
        <v>2.487723527</v>
      </c>
      <c r="G95" s="274"/>
      <c r="H95" s="274"/>
      <c r="I95" s="274"/>
      <c r="J95" s="274"/>
      <c r="K95" s="274"/>
      <c r="L95" s="274"/>
      <c r="M95" s="274"/>
      <c r="N95" s="274"/>
      <c r="O95" s="274"/>
      <c r="P95" s="274"/>
      <c r="Q95" s="274"/>
      <c r="R95" s="316"/>
      <c r="S95" s="50"/>
      <c r="T95" s="317"/>
      <c r="U95" s="162"/>
      <c r="V95" s="318"/>
      <c r="W95" s="274"/>
      <c r="X95" s="274"/>
      <c r="Y95" s="274"/>
      <c r="Z95" s="274"/>
      <c r="AA95" s="309"/>
      <c r="AB95" s="309"/>
      <c r="AC95" s="309"/>
      <c r="AD95" s="274"/>
      <c r="AE95" s="274"/>
      <c r="AF95" s="274"/>
      <c r="AG95" s="274"/>
      <c r="AH95" s="274"/>
      <c r="AI95" s="274"/>
      <c r="AJ95" s="274"/>
      <c r="AK95" s="274"/>
      <c r="AL95" s="274"/>
      <c r="AM95" s="274"/>
      <c r="AN95" s="274"/>
      <c r="AO95" s="274"/>
      <c r="AP95" s="274"/>
      <c r="AQ95" s="274"/>
      <c r="AR95" s="274"/>
      <c r="AS95" s="274"/>
      <c r="AT95" s="274"/>
      <c r="AU95" s="274"/>
      <c r="AV95" s="274"/>
      <c r="AW95" s="274"/>
    </row>
    <row r="96" ht="15.75" customHeight="1">
      <c r="A96" s="337" t="s">
        <v>3439</v>
      </c>
      <c r="B96" s="363" t="s">
        <v>3445</v>
      </c>
      <c r="C96" s="337">
        <v>9.0</v>
      </c>
      <c r="D96" s="337">
        <v>41478.0</v>
      </c>
      <c r="E96" s="337">
        <v>42604.0</v>
      </c>
      <c r="F96" s="345">
        <f t="shared" si="35"/>
        <v>1.027146921</v>
      </c>
      <c r="G96" s="274"/>
      <c r="H96" s="274"/>
      <c r="I96" s="274"/>
      <c r="J96" s="274"/>
      <c r="K96" s="274"/>
      <c r="L96" s="274"/>
      <c r="M96" s="274"/>
      <c r="N96" s="274"/>
      <c r="O96" s="274"/>
      <c r="P96" s="274"/>
      <c r="Q96" s="274"/>
      <c r="R96" s="316"/>
      <c r="S96" s="50"/>
      <c r="T96" s="317"/>
      <c r="U96" s="162"/>
      <c r="V96" s="318"/>
      <c r="W96" s="274"/>
      <c r="X96" s="274"/>
      <c r="Y96" s="274"/>
      <c r="Z96" s="274"/>
      <c r="AA96" s="309"/>
      <c r="AB96" s="309"/>
      <c r="AC96" s="309"/>
      <c r="AD96" s="274"/>
      <c r="AE96" s="274"/>
      <c r="AF96" s="274"/>
      <c r="AG96" s="274"/>
      <c r="AH96" s="274"/>
      <c r="AI96" s="274"/>
      <c r="AJ96" s="274"/>
      <c r="AK96" s="274"/>
      <c r="AL96" s="274"/>
      <c r="AM96" s="274"/>
      <c r="AN96" s="274"/>
      <c r="AO96" s="274"/>
      <c r="AP96" s="274"/>
      <c r="AQ96" s="274"/>
      <c r="AR96" s="274"/>
      <c r="AS96" s="274"/>
      <c r="AT96" s="274"/>
      <c r="AU96" s="274"/>
      <c r="AV96" s="274"/>
      <c r="AW96" s="274"/>
    </row>
    <row r="97" ht="15.75" customHeight="1">
      <c r="A97" s="337" t="s">
        <v>3439</v>
      </c>
      <c r="B97" s="363" t="s">
        <v>3446</v>
      </c>
      <c r="C97" s="337">
        <v>9.0</v>
      </c>
      <c r="D97" s="337">
        <v>36209.0</v>
      </c>
      <c r="E97" s="337">
        <v>218343.0</v>
      </c>
      <c r="F97" s="345">
        <f t="shared" si="35"/>
        <v>6.030075396</v>
      </c>
      <c r="G97" s="274"/>
      <c r="H97" s="274"/>
      <c r="I97" s="274"/>
      <c r="J97" s="274"/>
      <c r="K97" s="274"/>
      <c r="L97" s="274"/>
      <c r="M97" s="274"/>
      <c r="N97" s="274"/>
      <c r="O97" s="274"/>
      <c r="P97" s="274"/>
      <c r="Q97" s="274"/>
      <c r="R97" s="316"/>
      <c r="S97" s="50"/>
      <c r="T97" s="317"/>
      <c r="U97" s="162"/>
      <c r="V97" s="318"/>
      <c r="W97" s="274"/>
      <c r="X97" s="274"/>
      <c r="Y97" s="274"/>
      <c r="Z97" s="274"/>
      <c r="AA97" s="309"/>
      <c r="AB97" s="309"/>
      <c r="AC97" s="309"/>
      <c r="AD97" s="274"/>
      <c r="AE97" s="274"/>
      <c r="AF97" s="274"/>
      <c r="AG97" s="274"/>
      <c r="AH97" s="274"/>
      <c r="AI97" s="274"/>
      <c r="AJ97" s="274"/>
      <c r="AK97" s="274"/>
      <c r="AL97" s="274"/>
      <c r="AM97" s="274"/>
      <c r="AN97" s="274"/>
      <c r="AO97" s="274"/>
      <c r="AP97" s="274"/>
      <c r="AQ97" s="274"/>
      <c r="AR97" s="274"/>
      <c r="AS97" s="274"/>
      <c r="AT97" s="274"/>
      <c r="AU97" s="274"/>
      <c r="AV97" s="274"/>
      <c r="AW97" s="274"/>
    </row>
    <row r="98" ht="15.75" customHeight="1">
      <c r="A98" s="337" t="s">
        <v>3439</v>
      </c>
      <c r="B98" s="363" t="s">
        <v>3447</v>
      </c>
      <c r="C98" s="337">
        <v>9.0</v>
      </c>
      <c r="D98" s="337">
        <v>45973.0</v>
      </c>
      <c r="E98" s="337">
        <v>108284.0</v>
      </c>
      <c r="F98" s="345">
        <f t="shared" si="35"/>
        <v>2.355382507</v>
      </c>
      <c r="G98" s="274"/>
      <c r="H98" s="274"/>
      <c r="I98" s="274"/>
      <c r="J98" s="274"/>
      <c r="K98" s="274"/>
      <c r="L98" s="274"/>
      <c r="M98" s="274"/>
      <c r="N98" s="274"/>
      <c r="O98" s="274"/>
      <c r="P98" s="274"/>
      <c r="Q98" s="274"/>
      <c r="R98" s="316"/>
      <c r="S98" s="50"/>
      <c r="T98" s="317"/>
      <c r="U98" s="162"/>
      <c r="V98" s="318"/>
      <c r="W98" s="274"/>
      <c r="X98" s="274"/>
      <c r="Y98" s="274"/>
      <c r="Z98" s="274"/>
      <c r="AA98" s="309"/>
      <c r="AB98" s="309"/>
      <c r="AC98" s="309"/>
      <c r="AD98" s="274"/>
      <c r="AE98" s="274"/>
      <c r="AF98" s="274"/>
      <c r="AG98" s="274"/>
      <c r="AH98" s="274"/>
      <c r="AI98" s="274"/>
      <c r="AJ98" s="274"/>
      <c r="AK98" s="274"/>
      <c r="AL98" s="274"/>
      <c r="AM98" s="274"/>
      <c r="AN98" s="274"/>
      <c r="AO98" s="274"/>
      <c r="AP98" s="274"/>
      <c r="AQ98" s="274"/>
      <c r="AR98" s="274"/>
      <c r="AS98" s="274"/>
      <c r="AT98" s="274"/>
      <c r="AU98" s="274"/>
      <c r="AV98" s="274"/>
      <c r="AW98" s="274"/>
    </row>
    <row r="99" ht="15.75" customHeight="1">
      <c r="A99" s="337" t="s">
        <v>3439</v>
      </c>
      <c r="B99" s="363" t="s">
        <v>3448</v>
      </c>
      <c r="C99" s="337">
        <v>9.0</v>
      </c>
      <c r="D99" s="337">
        <v>54218.0</v>
      </c>
      <c r="E99" s="337">
        <v>140237.0</v>
      </c>
      <c r="F99" s="345">
        <f t="shared" si="35"/>
        <v>2.586539526</v>
      </c>
      <c r="G99" s="274"/>
      <c r="H99" s="274"/>
      <c r="I99" s="274"/>
      <c r="J99" s="274"/>
      <c r="K99" s="274"/>
      <c r="L99" s="274"/>
      <c r="M99" s="274"/>
      <c r="N99" s="274"/>
      <c r="O99" s="274"/>
      <c r="P99" s="274"/>
      <c r="Q99" s="274"/>
      <c r="R99" s="316"/>
      <c r="S99" s="50"/>
      <c r="T99" s="317"/>
      <c r="U99" s="162"/>
      <c r="V99" s="318"/>
      <c r="W99" s="274"/>
      <c r="X99" s="274"/>
      <c r="Y99" s="274"/>
      <c r="Z99" s="274"/>
      <c r="AA99" s="309"/>
      <c r="AB99" s="309"/>
      <c r="AC99" s="309"/>
      <c r="AD99" s="274"/>
      <c r="AE99" s="274"/>
      <c r="AF99" s="274"/>
      <c r="AG99" s="274"/>
      <c r="AH99" s="274"/>
      <c r="AI99" s="274"/>
      <c r="AJ99" s="274"/>
      <c r="AK99" s="274"/>
      <c r="AL99" s="274"/>
      <c r="AM99" s="274"/>
      <c r="AN99" s="274"/>
      <c r="AO99" s="274"/>
      <c r="AP99" s="274"/>
      <c r="AQ99" s="274"/>
      <c r="AR99" s="274"/>
      <c r="AS99" s="274"/>
      <c r="AT99" s="274"/>
      <c r="AU99" s="274"/>
      <c r="AV99" s="274"/>
      <c r="AW99" s="274"/>
    </row>
    <row r="100" ht="15.75" customHeight="1">
      <c r="A100" s="337" t="s">
        <v>3439</v>
      </c>
      <c r="B100" s="363" t="s">
        <v>3449</v>
      </c>
      <c r="C100" s="337">
        <v>9.0</v>
      </c>
      <c r="D100" s="337">
        <v>63620.0</v>
      </c>
      <c r="E100" s="337">
        <v>275148.0</v>
      </c>
      <c r="F100" s="364">
        <f t="shared" si="35"/>
        <v>4.324866394</v>
      </c>
      <c r="G100" s="274"/>
      <c r="H100" s="274"/>
      <c r="I100" s="274"/>
      <c r="J100" s="274"/>
      <c r="K100" s="274"/>
      <c r="L100" s="274"/>
      <c r="M100" s="274"/>
      <c r="N100" s="274"/>
      <c r="O100" s="274"/>
      <c r="P100" s="274"/>
      <c r="Q100" s="274"/>
      <c r="R100" s="316"/>
      <c r="S100" s="50"/>
      <c r="T100" s="317"/>
      <c r="U100" s="162"/>
      <c r="V100" s="318"/>
      <c r="W100" s="274"/>
      <c r="X100" s="274"/>
      <c r="Y100" s="274"/>
      <c r="Z100" s="274"/>
      <c r="AA100" s="309"/>
      <c r="AB100" s="309"/>
      <c r="AC100" s="309"/>
      <c r="AD100" s="274"/>
      <c r="AE100" s="274"/>
      <c r="AF100" s="274"/>
      <c r="AG100" s="274"/>
      <c r="AH100" s="274"/>
      <c r="AI100" s="274"/>
      <c r="AJ100" s="274"/>
      <c r="AK100" s="274"/>
      <c r="AL100" s="274"/>
      <c r="AM100" s="274"/>
      <c r="AN100" s="274"/>
      <c r="AO100" s="274"/>
      <c r="AP100" s="274"/>
      <c r="AQ100" s="274"/>
      <c r="AR100" s="274"/>
      <c r="AS100" s="274"/>
      <c r="AT100" s="274"/>
      <c r="AU100" s="274"/>
      <c r="AV100" s="274"/>
      <c r="AW100" s="274"/>
    </row>
    <row r="101" ht="15.75" customHeight="1">
      <c r="A101" s="337" t="s">
        <v>3439</v>
      </c>
      <c r="B101" s="363" t="s">
        <v>3450</v>
      </c>
      <c r="C101" s="337">
        <v>9.0</v>
      </c>
      <c r="D101" s="337">
        <v>41478.0</v>
      </c>
      <c r="E101" s="337">
        <v>42604.0</v>
      </c>
      <c r="F101" s="345">
        <f t="shared" si="35"/>
        <v>1.027146921</v>
      </c>
      <c r="G101" s="274"/>
      <c r="H101" s="274"/>
      <c r="I101" s="274"/>
      <c r="J101" s="274"/>
      <c r="K101" s="274"/>
      <c r="L101" s="274"/>
      <c r="M101" s="274"/>
      <c r="N101" s="274"/>
      <c r="O101" s="274"/>
      <c r="P101" s="274"/>
      <c r="Q101" s="274"/>
      <c r="R101" s="316"/>
      <c r="S101" s="50"/>
      <c r="T101" s="317"/>
      <c r="U101" s="162"/>
      <c r="V101" s="318"/>
      <c r="W101" s="274"/>
      <c r="X101" s="274"/>
      <c r="Y101" s="274"/>
      <c r="Z101" s="274"/>
      <c r="AA101" s="309"/>
      <c r="AB101" s="309"/>
      <c r="AC101" s="309"/>
      <c r="AD101" s="274"/>
      <c r="AE101" s="274"/>
      <c r="AF101" s="274"/>
      <c r="AG101" s="274"/>
      <c r="AH101" s="274"/>
      <c r="AI101" s="274"/>
      <c r="AJ101" s="274"/>
      <c r="AK101" s="274"/>
      <c r="AL101" s="274"/>
      <c r="AM101" s="274"/>
      <c r="AN101" s="274"/>
      <c r="AO101" s="274"/>
      <c r="AP101" s="274"/>
      <c r="AQ101" s="274"/>
      <c r="AR101" s="274"/>
      <c r="AS101" s="274"/>
      <c r="AT101" s="274"/>
      <c r="AU101" s="274"/>
      <c r="AV101" s="274"/>
      <c r="AW101" s="274"/>
    </row>
    <row r="102" ht="15.75" customHeight="1">
      <c r="A102" s="337" t="s">
        <v>3439</v>
      </c>
      <c r="B102" s="363" t="s">
        <v>3451</v>
      </c>
      <c r="C102" s="337">
        <v>9.0</v>
      </c>
      <c r="D102" s="337">
        <v>76506.0</v>
      </c>
      <c r="E102" s="337">
        <v>90533.0</v>
      </c>
      <c r="F102" s="345">
        <f t="shared" si="35"/>
        <v>1.183345097</v>
      </c>
      <c r="G102" s="274"/>
      <c r="H102" s="274"/>
      <c r="I102" s="274"/>
      <c r="J102" s="274"/>
      <c r="K102" s="274"/>
      <c r="L102" s="274"/>
      <c r="M102" s="274"/>
      <c r="N102" s="274"/>
      <c r="O102" s="274"/>
      <c r="P102" s="274"/>
      <c r="Q102" s="274"/>
      <c r="R102" s="316"/>
      <c r="S102" s="50"/>
      <c r="T102" s="317"/>
      <c r="U102" s="162"/>
      <c r="V102" s="318"/>
      <c r="W102" s="274"/>
      <c r="X102" s="274"/>
      <c r="Y102" s="274"/>
      <c r="Z102" s="274"/>
      <c r="AA102" s="309"/>
      <c r="AB102" s="309"/>
      <c r="AC102" s="309"/>
      <c r="AD102" s="274"/>
      <c r="AE102" s="274"/>
      <c r="AF102" s="274"/>
      <c r="AG102" s="274"/>
      <c r="AH102" s="274"/>
      <c r="AI102" s="274"/>
      <c r="AJ102" s="274"/>
      <c r="AK102" s="274"/>
      <c r="AL102" s="274"/>
      <c r="AM102" s="274"/>
      <c r="AN102" s="274"/>
      <c r="AO102" s="274"/>
      <c r="AP102" s="274"/>
      <c r="AQ102" s="274"/>
      <c r="AR102" s="274"/>
      <c r="AS102" s="274"/>
      <c r="AT102" s="274"/>
      <c r="AU102" s="274"/>
      <c r="AV102" s="274"/>
      <c r="AW102" s="274"/>
    </row>
    <row r="103" ht="15.75" customHeight="1">
      <c r="A103" s="337" t="s">
        <v>3439</v>
      </c>
      <c r="B103" s="363" t="s">
        <v>3452</v>
      </c>
      <c r="C103" s="337">
        <v>9.0</v>
      </c>
      <c r="D103" s="337">
        <v>57608.0</v>
      </c>
      <c r="E103" s="337">
        <v>136686.0</v>
      </c>
      <c r="F103" s="364">
        <f t="shared" si="35"/>
        <v>2.372691293</v>
      </c>
      <c r="G103" s="274"/>
      <c r="H103" s="274"/>
      <c r="I103" s="274"/>
      <c r="J103" s="274"/>
      <c r="K103" s="274"/>
      <c r="L103" s="274"/>
      <c r="M103" s="274"/>
      <c r="N103" s="274"/>
      <c r="O103" s="274"/>
      <c r="P103" s="274"/>
      <c r="Q103" s="274"/>
      <c r="R103" s="316"/>
      <c r="S103" s="50"/>
      <c r="T103" s="317"/>
      <c r="U103" s="162"/>
      <c r="V103" s="318"/>
      <c r="W103" s="274"/>
      <c r="X103" s="274"/>
      <c r="Y103" s="274"/>
      <c r="Z103" s="274"/>
      <c r="AA103" s="309"/>
      <c r="AB103" s="309"/>
      <c r="AC103" s="309"/>
      <c r="AD103" s="274"/>
      <c r="AE103" s="274"/>
      <c r="AF103" s="274"/>
      <c r="AG103" s="274"/>
      <c r="AH103" s="274"/>
      <c r="AI103" s="274"/>
      <c r="AJ103" s="274"/>
      <c r="AK103" s="274"/>
      <c r="AL103" s="274"/>
      <c r="AM103" s="274"/>
      <c r="AN103" s="274"/>
      <c r="AO103" s="274"/>
      <c r="AP103" s="274"/>
      <c r="AQ103" s="274"/>
      <c r="AR103" s="274"/>
      <c r="AS103" s="274"/>
      <c r="AT103" s="274"/>
      <c r="AU103" s="274"/>
      <c r="AV103" s="274"/>
      <c r="AW103" s="274"/>
    </row>
    <row r="104" ht="15.75" customHeight="1">
      <c r="A104" s="337" t="s">
        <v>3439</v>
      </c>
      <c r="B104" s="363" t="s">
        <v>3453</v>
      </c>
      <c r="C104" s="337">
        <v>9.0</v>
      </c>
      <c r="D104" s="337">
        <v>57622.0</v>
      </c>
      <c r="E104" s="337">
        <v>300000.0</v>
      </c>
      <c r="F104" s="364">
        <f t="shared" si="35"/>
        <v>5.206344799</v>
      </c>
      <c r="G104" s="274"/>
      <c r="H104" s="274"/>
      <c r="I104" s="274"/>
      <c r="J104" s="274"/>
      <c r="K104" s="274"/>
      <c r="L104" s="274"/>
      <c r="M104" s="274"/>
      <c r="N104" s="274"/>
      <c r="O104" s="274"/>
      <c r="P104" s="274"/>
      <c r="Q104" s="274"/>
      <c r="R104" s="316"/>
      <c r="S104" s="50"/>
      <c r="T104" s="317"/>
      <c r="U104" s="162"/>
      <c r="V104" s="318"/>
      <c r="W104" s="274"/>
      <c r="X104" s="274"/>
      <c r="Y104" s="274"/>
      <c r="Z104" s="274"/>
      <c r="AA104" s="309"/>
      <c r="AB104" s="309"/>
      <c r="AC104" s="309"/>
      <c r="AD104" s="274"/>
      <c r="AE104" s="274"/>
      <c r="AF104" s="274"/>
      <c r="AG104" s="274"/>
      <c r="AH104" s="274"/>
      <c r="AI104" s="274"/>
      <c r="AJ104" s="274"/>
      <c r="AK104" s="274"/>
      <c r="AL104" s="274"/>
      <c r="AM104" s="274"/>
      <c r="AN104" s="274"/>
      <c r="AO104" s="274"/>
      <c r="AP104" s="274"/>
      <c r="AQ104" s="274"/>
      <c r="AR104" s="274"/>
      <c r="AS104" s="274"/>
      <c r="AT104" s="274"/>
      <c r="AU104" s="274"/>
      <c r="AV104" s="274"/>
      <c r="AW104" s="274"/>
    </row>
    <row r="105" ht="15.75" customHeight="1">
      <c r="A105" s="365" t="s">
        <v>3439</v>
      </c>
      <c r="B105" s="366" t="s">
        <v>3454</v>
      </c>
      <c r="C105" s="365" t="s">
        <v>1047</v>
      </c>
      <c r="D105" s="365">
        <v>51982.0</v>
      </c>
      <c r="E105" s="365">
        <v>232544.0</v>
      </c>
      <c r="F105" s="345">
        <f t="shared" si="35"/>
        <v>4.473548536</v>
      </c>
      <c r="G105" s="274"/>
      <c r="H105" s="274"/>
      <c r="I105" s="274"/>
      <c r="J105" s="274"/>
      <c r="K105" s="274"/>
      <c r="L105" s="274"/>
      <c r="M105" s="274"/>
      <c r="N105" s="274"/>
      <c r="O105" s="274"/>
      <c r="P105" s="274"/>
      <c r="Q105" s="274"/>
      <c r="R105" s="316"/>
      <c r="S105" s="50"/>
      <c r="T105" s="317"/>
      <c r="U105" s="162"/>
      <c r="V105" s="318"/>
      <c r="W105" s="274"/>
      <c r="X105" s="274"/>
      <c r="Y105" s="274"/>
      <c r="Z105" s="274"/>
      <c r="AA105" s="309"/>
      <c r="AB105" s="309"/>
      <c r="AC105" s="309"/>
      <c r="AD105" s="274"/>
      <c r="AE105" s="274"/>
      <c r="AF105" s="274"/>
      <c r="AG105" s="274"/>
      <c r="AH105" s="274"/>
      <c r="AI105" s="274"/>
      <c r="AJ105" s="274"/>
      <c r="AK105" s="274"/>
      <c r="AL105" s="274"/>
      <c r="AM105" s="274"/>
      <c r="AN105" s="274"/>
      <c r="AO105" s="274"/>
      <c r="AP105" s="274"/>
      <c r="AQ105" s="274"/>
      <c r="AR105" s="274"/>
      <c r="AS105" s="274"/>
      <c r="AT105" s="274"/>
      <c r="AU105" s="274"/>
      <c r="AV105" s="274"/>
      <c r="AW105" s="274"/>
    </row>
    <row r="106" ht="15.75" customHeight="1">
      <c r="A106" s="365" t="s">
        <v>3439</v>
      </c>
      <c r="B106" s="366" t="s">
        <v>3455</v>
      </c>
      <c r="C106" s="365" t="s">
        <v>1047</v>
      </c>
      <c r="D106" s="365">
        <v>71309.0</v>
      </c>
      <c r="E106" s="365">
        <v>340828.0</v>
      </c>
      <c r="F106" s="345">
        <f t="shared" si="35"/>
        <v>4.779593039</v>
      </c>
      <c r="G106" s="274"/>
      <c r="H106" s="274"/>
      <c r="I106" s="274"/>
      <c r="J106" s="274"/>
      <c r="K106" s="274"/>
      <c r="L106" s="274"/>
      <c r="M106" s="274"/>
      <c r="N106" s="274"/>
      <c r="O106" s="274"/>
      <c r="P106" s="274"/>
      <c r="Q106" s="274"/>
      <c r="R106" s="316"/>
      <c r="S106" s="50"/>
      <c r="T106" s="317"/>
      <c r="U106" s="162"/>
      <c r="V106" s="318"/>
      <c r="W106" s="274"/>
      <c r="X106" s="274"/>
      <c r="Y106" s="274"/>
      <c r="Z106" s="274"/>
      <c r="AA106" s="309"/>
      <c r="AB106" s="309"/>
      <c r="AC106" s="309"/>
      <c r="AD106" s="274"/>
      <c r="AE106" s="274"/>
      <c r="AF106" s="274"/>
      <c r="AG106" s="274"/>
      <c r="AH106" s="274"/>
      <c r="AI106" s="274"/>
      <c r="AJ106" s="274"/>
      <c r="AK106" s="274"/>
      <c r="AL106" s="274"/>
      <c r="AM106" s="274"/>
      <c r="AN106" s="274"/>
      <c r="AO106" s="274"/>
      <c r="AP106" s="274"/>
      <c r="AQ106" s="274"/>
      <c r="AR106" s="274"/>
      <c r="AS106" s="274"/>
      <c r="AT106" s="274"/>
      <c r="AU106" s="274"/>
      <c r="AV106" s="274"/>
      <c r="AW106" s="274"/>
    </row>
    <row r="107" ht="15.75" customHeight="1">
      <c r="A107" s="365" t="s">
        <v>3439</v>
      </c>
      <c r="B107" s="366" t="s">
        <v>3456</v>
      </c>
      <c r="C107" s="365" t="s">
        <v>1047</v>
      </c>
      <c r="D107" s="365">
        <v>75190.0</v>
      </c>
      <c r="E107" s="365">
        <v>363905.0</v>
      </c>
      <c r="F107" s="367">
        <f t="shared" si="35"/>
        <v>4.839805825</v>
      </c>
      <c r="G107" s="274"/>
      <c r="H107" s="274"/>
      <c r="I107" s="274"/>
      <c r="J107" s="274"/>
      <c r="K107" s="274"/>
      <c r="L107" s="274"/>
      <c r="M107" s="274"/>
      <c r="N107" s="274"/>
      <c r="O107" s="274"/>
      <c r="P107" s="274"/>
      <c r="Q107" s="274"/>
      <c r="R107" s="316"/>
      <c r="S107" s="50"/>
      <c r="T107" s="317"/>
      <c r="U107" s="162"/>
      <c r="V107" s="318"/>
      <c r="W107" s="274"/>
      <c r="X107" s="274"/>
      <c r="Y107" s="274"/>
      <c r="Z107" s="274"/>
      <c r="AA107" s="309"/>
      <c r="AB107" s="309"/>
      <c r="AC107" s="309"/>
      <c r="AD107" s="274"/>
      <c r="AE107" s="274"/>
      <c r="AF107" s="274"/>
      <c r="AG107" s="274"/>
      <c r="AH107" s="274"/>
      <c r="AI107" s="274"/>
      <c r="AJ107" s="274"/>
      <c r="AK107" s="274"/>
      <c r="AL107" s="274"/>
      <c r="AM107" s="274"/>
      <c r="AN107" s="274"/>
      <c r="AO107" s="274"/>
      <c r="AP107" s="274"/>
      <c r="AQ107" s="274"/>
      <c r="AR107" s="274"/>
      <c r="AS107" s="274"/>
      <c r="AT107" s="274"/>
      <c r="AU107" s="274"/>
      <c r="AV107" s="274"/>
      <c r="AW107" s="274"/>
    </row>
    <row r="108" ht="15.75" customHeight="1">
      <c r="A108" s="368" t="s">
        <v>3439</v>
      </c>
      <c r="B108" s="369" t="s">
        <v>3457</v>
      </c>
      <c r="C108" s="368" t="s">
        <v>1047</v>
      </c>
      <c r="D108" s="368">
        <v>114492.0</v>
      </c>
      <c r="E108" s="368">
        <v>493491.0</v>
      </c>
      <c r="F108" s="370">
        <f t="shared" si="35"/>
        <v>4.310266219</v>
      </c>
      <c r="G108" s="274"/>
      <c r="H108" s="274"/>
      <c r="I108" s="274"/>
      <c r="J108" s="274"/>
      <c r="K108" s="274"/>
      <c r="L108" s="274"/>
      <c r="M108" s="274"/>
      <c r="N108" s="274"/>
      <c r="O108" s="274"/>
      <c r="P108" s="274"/>
      <c r="Q108" s="274"/>
      <c r="R108" s="316"/>
      <c r="S108" s="50"/>
      <c r="T108" s="317"/>
      <c r="U108" s="162"/>
      <c r="V108" s="318"/>
      <c r="W108" s="274"/>
      <c r="X108" s="274"/>
      <c r="Y108" s="274"/>
      <c r="Z108" s="274"/>
      <c r="AA108" s="309"/>
      <c r="AB108" s="309"/>
      <c r="AC108" s="309"/>
      <c r="AD108" s="274"/>
      <c r="AE108" s="274"/>
      <c r="AF108" s="274"/>
      <c r="AG108" s="274"/>
      <c r="AH108" s="274"/>
      <c r="AI108" s="274"/>
      <c r="AJ108" s="274"/>
      <c r="AK108" s="274"/>
      <c r="AL108" s="274"/>
      <c r="AM108" s="274"/>
      <c r="AN108" s="274"/>
      <c r="AO108" s="274"/>
      <c r="AP108" s="274"/>
      <c r="AQ108" s="274"/>
      <c r="AR108" s="274"/>
      <c r="AS108" s="274"/>
      <c r="AT108" s="274"/>
      <c r="AU108" s="274"/>
      <c r="AV108" s="274"/>
      <c r="AW108" s="274"/>
    </row>
    <row r="109" ht="15.75" customHeight="1">
      <c r="A109" s="368" t="s">
        <v>3439</v>
      </c>
      <c r="B109" s="371" t="s">
        <v>3458</v>
      </c>
      <c r="C109" s="368" t="s">
        <v>1047</v>
      </c>
      <c r="D109" s="368">
        <v>115371.0</v>
      </c>
      <c r="E109" s="368">
        <v>434911.0</v>
      </c>
      <c r="F109" s="370">
        <f t="shared" si="35"/>
        <v>3.769673488</v>
      </c>
      <c r="G109" s="274"/>
      <c r="H109" s="274"/>
      <c r="I109" s="274"/>
      <c r="J109" s="274"/>
      <c r="K109" s="274"/>
      <c r="L109" s="274"/>
      <c r="M109" s="274"/>
      <c r="N109" s="274"/>
      <c r="O109" s="274"/>
      <c r="P109" s="274"/>
      <c r="Q109" s="274"/>
      <c r="R109" s="316"/>
      <c r="S109" s="50"/>
      <c r="T109" s="317"/>
      <c r="U109" s="162"/>
      <c r="V109" s="318"/>
      <c r="W109" s="274"/>
      <c r="X109" s="274"/>
      <c r="Y109" s="274"/>
      <c r="Z109" s="274"/>
      <c r="AA109" s="309"/>
      <c r="AB109" s="309"/>
      <c r="AC109" s="309"/>
      <c r="AD109" s="274"/>
      <c r="AE109" s="274"/>
      <c r="AF109" s="274"/>
      <c r="AG109" s="274"/>
      <c r="AH109" s="274"/>
      <c r="AI109" s="274"/>
      <c r="AJ109" s="274"/>
      <c r="AK109" s="274"/>
      <c r="AL109" s="274"/>
      <c r="AM109" s="274"/>
      <c r="AN109" s="274"/>
      <c r="AO109" s="274"/>
      <c r="AP109" s="274"/>
      <c r="AQ109" s="274"/>
      <c r="AR109" s="274"/>
      <c r="AS109" s="274"/>
      <c r="AT109" s="274"/>
      <c r="AU109" s="274"/>
      <c r="AV109" s="274"/>
      <c r="AW109" s="274"/>
    </row>
    <row r="110" ht="15.75" customHeight="1">
      <c r="A110" s="368" t="s">
        <v>3439</v>
      </c>
      <c r="B110" s="369" t="s">
        <v>3459</v>
      </c>
      <c r="C110" s="368" t="s">
        <v>1047</v>
      </c>
      <c r="D110" s="368">
        <v>106605.0</v>
      </c>
      <c r="E110" s="368">
        <v>514793.0</v>
      </c>
      <c r="F110" s="370">
        <f t="shared" si="35"/>
        <v>4.828976127</v>
      </c>
      <c r="G110" s="274"/>
      <c r="H110" s="274"/>
      <c r="I110" s="274"/>
      <c r="J110" s="274"/>
      <c r="K110" s="274"/>
      <c r="L110" s="274"/>
      <c r="M110" s="274"/>
      <c r="N110" s="274"/>
      <c r="O110" s="274"/>
      <c r="P110" s="274"/>
      <c r="Q110" s="274"/>
      <c r="R110" s="316"/>
      <c r="S110" s="50"/>
      <c r="T110" s="317"/>
      <c r="U110" s="162"/>
      <c r="V110" s="318"/>
      <c r="W110" s="274"/>
      <c r="X110" s="274"/>
      <c r="Y110" s="274"/>
      <c r="Z110" s="274"/>
      <c r="AA110" s="309"/>
      <c r="AB110" s="309"/>
      <c r="AC110" s="309"/>
      <c r="AD110" s="274"/>
      <c r="AE110" s="274"/>
      <c r="AF110" s="274"/>
      <c r="AG110" s="274"/>
      <c r="AH110" s="274"/>
      <c r="AI110" s="274"/>
      <c r="AJ110" s="274"/>
      <c r="AK110" s="274"/>
      <c r="AL110" s="274"/>
      <c r="AM110" s="274"/>
      <c r="AN110" s="274"/>
      <c r="AO110" s="274"/>
      <c r="AP110" s="274"/>
      <c r="AQ110" s="274"/>
      <c r="AR110" s="274"/>
      <c r="AS110" s="274"/>
      <c r="AT110" s="274"/>
      <c r="AU110" s="274"/>
      <c r="AV110" s="274"/>
      <c r="AW110" s="274"/>
    </row>
    <row r="111" ht="15.75" customHeight="1">
      <c r="A111" s="368" t="s">
        <v>3439</v>
      </c>
      <c r="B111" s="369" t="s">
        <v>3460</v>
      </c>
      <c r="C111" s="368" t="s">
        <v>1047</v>
      </c>
      <c r="D111" s="368">
        <v>115621.0</v>
      </c>
      <c r="E111" s="368">
        <v>509467.0</v>
      </c>
      <c r="F111" s="370">
        <f t="shared" si="35"/>
        <v>4.406353517</v>
      </c>
      <c r="G111" s="274"/>
      <c r="H111" s="274"/>
      <c r="I111" s="274"/>
      <c r="J111" s="274"/>
      <c r="K111" s="274"/>
      <c r="L111" s="274"/>
      <c r="M111" s="274"/>
      <c r="N111" s="274"/>
      <c r="O111" s="274"/>
      <c r="P111" s="274"/>
      <c r="Q111" s="274"/>
      <c r="R111" s="316"/>
      <c r="S111" s="50"/>
      <c r="T111" s="317"/>
      <c r="U111" s="162"/>
      <c r="V111" s="318"/>
      <c r="W111" s="274"/>
      <c r="X111" s="274"/>
      <c r="Y111" s="274"/>
      <c r="Z111" s="274"/>
      <c r="AA111" s="309"/>
      <c r="AB111" s="309"/>
      <c r="AC111" s="309"/>
      <c r="AD111" s="274"/>
      <c r="AE111" s="274"/>
      <c r="AF111" s="274"/>
      <c r="AG111" s="274"/>
      <c r="AH111" s="274"/>
      <c r="AI111" s="274"/>
      <c r="AJ111" s="274"/>
      <c r="AK111" s="274"/>
      <c r="AL111" s="274"/>
      <c r="AM111" s="274"/>
      <c r="AN111" s="274"/>
      <c r="AO111" s="274"/>
      <c r="AP111" s="274"/>
      <c r="AQ111" s="274"/>
      <c r="AR111" s="274"/>
      <c r="AS111" s="274"/>
      <c r="AT111" s="274"/>
      <c r="AU111" s="274"/>
      <c r="AV111" s="274"/>
      <c r="AW111" s="274"/>
    </row>
    <row r="112" ht="15.75" customHeight="1">
      <c r="A112" s="319" t="s">
        <v>3439</v>
      </c>
      <c r="B112" s="372" t="s">
        <v>3461</v>
      </c>
      <c r="C112" s="319" t="s">
        <v>1047</v>
      </c>
      <c r="D112" s="319">
        <v>115357.0</v>
      </c>
      <c r="E112" s="319">
        <v>607101.0</v>
      </c>
      <c r="F112" s="373">
        <f t="shared" si="35"/>
        <v>5.262801564</v>
      </c>
      <c r="G112" s="274"/>
      <c r="H112" s="274"/>
      <c r="I112" s="274"/>
      <c r="J112" s="274"/>
      <c r="K112" s="274"/>
      <c r="L112" s="274"/>
      <c r="M112" s="274"/>
      <c r="N112" s="274"/>
      <c r="O112" s="274"/>
      <c r="P112" s="274"/>
      <c r="Q112" s="274"/>
      <c r="R112" s="316"/>
      <c r="S112" s="50"/>
      <c r="T112" s="317"/>
      <c r="U112" s="162"/>
      <c r="V112" s="318"/>
      <c r="W112" s="274"/>
      <c r="X112" s="274"/>
      <c r="Y112" s="274"/>
      <c r="Z112" s="274"/>
      <c r="AA112" s="309"/>
      <c r="AB112" s="309"/>
      <c r="AC112" s="309"/>
      <c r="AD112" s="274"/>
      <c r="AE112" s="274"/>
      <c r="AF112" s="274"/>
      <c r="AG112" s="274"/>
      <c r="AH112" s="274"/>
      <c r="AI112" s="274"/>
      <c r="AJ112" s="274"/>
      <c r="AK112" s="274"/>
      <c r="AL112" s="274"/>
      <c r="AM112" s="274"/>
      <c r="AN112" s="274"/>
      <c r="AO112" s="274"/>
      <c r="AP112" s="274"/>
      <c r="AQ112" s="274"/>
      <c r="AR112" s="274"/>
      <c r="AS112" s="274"/>
      <c r="AT112" s="274"/>
      <c r="AU112" s="274"/>
      <c r="AV112" s="274"/>
      <c r="AW112" s="274"/>
    </row>
    <row r="113" ht="15.75" customHeight="1">
      <c r="A113" s="319" t="s">
        <v>3462</v>
      </c>
      <c r="B113" s="374" t="s">
        <v>3461</v>
      </c>
      <c r="C113" s="319" t="s">
        <v>1047</v>
      </c>
      <c r="D113" s="319">
        <v>116923.0</v>
      </c>
      <c r="E113" s="319">
        <v>557396.0</v>
      </c>
      <c r="F113" s="373">
        <f t="shared" si="35"/>
        <v>4.767205768</v>
      </c>
      <c r="G113" s="274"/>
      <c r="H113" s="274"/>
      <c r="I113" s="274"/>
      <c r="J113" s="274"/>
      <c r="K113" s="274"/>
      <c r="L113" s="274"/>
      <c r="M113" s="274"/>
      <c r="N113" s="274"/>
      <c r="O113" s="274"/>
      <c r="P113" s="274"/>
      <c r="Q113" s="274"/>
      <c r="R113" s="316"/>
      <c r="S113" s="50"/>
      <c r="T113" s="317"/>
      <c r="U113" s="162"/>
      <c r="V113" s="318"/>
      <c r="W113" s="274"/>
      <c r="X113" s="274"/>
      <c r="Y113" s="274"/>
      <c r="Z113" s="274"/>
      <c r="AA113" s="309"/>
      <c r="AB113" s="309"/>
      <c r="AC113" s="309"/>
      <c r="AD113" s="274"/>
      <c r="AE113" s="274"/>
      <c r="AF113" s="274"/>
      <c r="AG113" s="274"/>
      <c r="AH113" s="274"/>
      <c r="AI113" s="274"/>
      <c r="AJ113" s="274"/>
      <c r="AK113" s="274"/>
      <c r="AL113" s="274"/>
      <c r="AM113" s="274"/>
      <c r="AN113" s="274"/>
      <c r="AO113" s="274"/>
      <c r="AP113" s="274"/>
      <c r="AQ113" s="274"/>
      <c r="AR113" s="274"/>
      <c r="AS113" s="274"/>
      <c r="AT113" s="274"/>
      <c r="AU113" s="274"/>
      <c r="AV113" s="274"/>
      <c r="AW113" s="274"/>
    </row>
    <row r="114" ht="15.75" customHeight="1">
      <c r="A114" s="319" t="s">
        <v>3463</v>
      </c>
      <c r="B114" s="374" t="s">
        <v>3461</v>
      </c>
      <c r="C114" s="319" t="s">
        <v>1047</v>
      </c>
      <c r="D114" s="319">
        <v>115339.0</v>
      </c>
      <c r="E114" s="319">
        <v>388757.0</v>
      </c>
      <c r="F114" s="373">
        <f t="shared" si="35"/>
        <v>3.370559828</v>
      </c>
      <c r="G114" s="274"/>
      <c r="H114" s="274"/>
      <c r="I114" s="274"/>
      <c r="J114" s="274"/>
      <c r="K114" s="274"/>
      <c r="L114" s="274"/>
      <c r="M114" s="274"/>
      <c r="N114" s="274"/>
      <c r="O114" s="274"/>
      <c r="P114" s="274"/>
      <c r="Q114" s="274"/>
      <c r="R114" s="316"/>
      <c r="S114" s="50"/>
      <c r="T114" s="317"/>
      <c r="U114" s="162"/>
      <c r="V114" s="318"/>
      <c r="W114" s="274"/>
      <c r="X114" s="274"/>
      <c r="Y114" s="274"/>
      <c r="Z114" s="274"/>
      <c r="AA114" s="309"/>
      <c r="AB114" s="309"/>
      <c r="AC114" s="309"/>
      <c r="AD114" s="274"/>
      <c r="AE114" s="274"/>
      <c r="AF114" s="274"/>
      <c r="AG114" s="274"/>
      <c r="AH114" s="274"/>
      <c r="AI114" s="274"/>
      <c r="AJ114" s="274"/>
      <c r="AK114" s="274"/>
      <c r="AL114" s="274"/>
      <c r="AM114" s="274"/>
      <c r="AN114" s="274"/>
      <c r="AO114" s="274"/>
      <c r="AP114" s="274"/>
      <c r="AQ114" s="274"/>
      <c r="AR114" s="274"/>
      <c r="AS114" s="274"/>
      <c r="AT114" s="274"/>
      <c r="AU114" s="274"/>
      <c r="AV114" s="274"/>
      <c r="AW114" s="274"/>
    </row>
    <row r="115" ht="15.75" customHeight="1">
      <c r="A115" s="319" t="s">
        <v>3437</v>
      </c>
      <c r="B115" s="374" t="s">
        <v>3461</v>
      </c>
      <c r="C115" s="319" t="s">
        <v>1047</v>
      </c>
      <c r="D115" s="319">
        <v>115621.0</v>
      </c>
      <c r="E115" s="319">
        <v>500592.0</v>
      </c>
      <c r="F115" s="373">
        <f t="shared" si="35"/>
        <v>4.329594105</v>
      </c>
      <c r="G115" s="274"/>
      <c r="H115" s="274"/>
      <c r="I115" s="274"/>
      <c r="J115" s="274"/>
      <c r="K115" s="274"/>
      <c r="L115" s="274"/>
      <c r="M115" s="274"/>
      <c r="N115" s="274"/>
      <c r="O115" s="274"/>
      <c r="P115" s="274"/>
      <c r="Q115" s="274"/>
      <c r="R115" s="316"/>
      <c r="S115" s="50"/>
      <c r="T115" s="317"/>
      <c r="U115" s="162"/>
      <c r="V115" s="318"/>
      <c r="W115" s="274"/>
      <c r="X115" s="274"/>
      <c r="Y115" s="274"/>
      <c r="Z115" s="274"/>
      <c r="AA115" s="309"/>
      <c r="AB115" s="309"/>
      <c r="AC115" s="309"/>
      <c r="AD115" s="274"/>
      <c r="AE115" s="274"/>
      <c r="AF115" s="274"/>
      <c r="AG115" s="274"/>
      <c r="AH115" s="274"/>
      <c r="AI115" s="274"/>
      <c r="AJ115" s="274"/>
      <c r="AK115" s="274"/>
      <c r="AL115" s="274"/>
      <c r="AM115" s="274"/>
      <c r="AN115" s="274"/>
      <c r="AO115" s="274"/>
      <c r="AP115" s="274"/>
      <c r="AQ115" s="274"/>
      <c r="AR115" s="274"/>
      <c r="AS115" s="274"/>
      <c r="AT115" s="274"/>
      <c r="AU115" s="274"/>
      <c r="AV115" s="274"/>
      <c r="AW115" s="274"/>
    </row>
    <row r="116" ht="15.75" customHeight="1">
      <c r="A116" s="319" t="s">
        <v>3464</v>
      </c>
      <c r="B116" s="374" t="s">
        <v>3461</v>
      </c>
      <c r="C116" s="319" t="s">
        <v>1047</v>
      </c>
      <c r="D116" s="319">
        <v>117337.0</v>
      </c>
      <c r="E116" s="319">
        <v>353254.0</v>
      </c>
      <c r="F116" s="373">
        <f t="shared" si="35"/>
        <v>3.010593419</v>
      </c>
      <c r="G116" s="274"/>
      <c r="H116" s="274"/>
      <c r="I116" s="274"/>
      <c r="J116" s="274"/>
      <c r="K116" s="274"/>
      <c r="L116" s="274"/>
      <c r="M116" s="274"/>
      <c r="N116" s="274"/>
      <c r="O116" s="274"/>
      <c r="P116" s="274"/>
      <c r="Q116" s="274"/>
      <c r="R116" s="316"/>
      <c r="S116" s="50"/>
      <c r="T116" s="317"/>
      <c r="U116" s="162"/>
      <c r="V116" s="318"/>
      <c r="W116" s="274"/>
      <c r="X116" s="274"/>
      <c r="Y116" s="274"/>
      <c r="Z116" s="274"/>
      <c r="AA116" s="309"/>
      <c r="AB116" s="309"/>
      <c r="AC116" s="309"/>
      <c r="AD116" s="274"/>
      <c r="AE116" s="274"/>
      <c r="AF116" s="274"/>
      <c r="AG116" s="274"/>
      <c r="AH116" s="274"/>
      <c r="AI116" s="274"/>
      <c r="AJ116" s="274"/>
      <c r="AK116" s="274"/>
      <c r="AL116" s="274"/>
      <c r="AM116" s="274"/>
      <c r="AN116" s="274"/>
      <c r="AO116" s="274"/>
      <c r="AP116" s="274"/>
      <c r="AQ116" s="274"/>
      <c r="AR116" s="274"/>
      <c r="AS116" s="274"/>
      <c r="AT116" s="274"/>
      <c r="AU116" s="274"/>
      <c r="AV116" s="274"/>
      <c r="AW116" s="274"/>
    </row>
    <row r="117" ht="15.75" customHeight="1">
      <c r="A117" s="319" t="s">
        <v>3435</v>
      </c>
      <c r="B117" s="374" t="s">
        <v>3461</v>
      </c>
      <c r="C117" s="319" t="s">
        <v>1047</v>
      </c>
      <c r="D117" s="319">
        <v>115528.0</v>
      </c>
      <c r="E117" s="319">
        <v>446864.0</v>
      </c>
      <c r="F117" s="373">
        <f t="shared" si="35"/>
        <v>3.86801468</v>
      </c>
      <c r="G117" s="274"/>
      <c r="H117" s="274"/>
      <c r="I117" s="274"/>
      <c r="J117" s="274"/>
      <c r="K117" s="274"/>
      <c r="L117" s="274"/>
      <c r="M117" s="274"/>
      <c r="N117" s="274"/>
      <c r="O117" s="274"/>
      <c r="P117" s="274"/>
      <c r="Q117" s="274"/>
      <c r="R117" s="316"/>
      <c r="S117" s="50"/>
      <c r="T117" s="317"/>
      <c r="U117" s="162"/>
      <c r="V117" s="318"/>
      <c r="W117" s="274"/>
      <c r="X117" s="274"/>
      <c r="Y117" s="274"/>
      <c r="Z117" s="274"/>
      <c r="AA117" s="309"/>
      <c r="AB117" s="309"/>
      <c r="AC117" s="309"/>
      <c r="AD117" s="274"/>
      <c r="AE117" s="274"/>
      <c r="AF117" s="274"/>
      <c r="AG117" s="274"/>
      <c r="AH117" s="274"/>
      <c r="AI117" s="274"/>
      <c r="AJ117" s="274"/>
      <c r="AK117" s="274"/>
      <c r="AL117" s="274"/>
      <c r="AM117" s="274"/>
      <c r="AN117" s="274"/>
      <c r="AO117" s="274"/>
      <c r="AP117" s="274"/>
      <c r="AQ117" s="274"/>
      <c r="AR117" s="274"/>
      <c r="AS117" s="274"/>
      <c r="AT117" s="274"/>
      <c r="AU117" s="274"/>
      <c r="AV117" s="274"/>
      <c r="AW117" s="274"/>
    </row>
    <row r="118" ht="15.75" customHeight="1">
      <c r="A118" s="319" t="s">
        <v>3465</v>
      </c>
      <c r="B118" s="374" t="s">
        <v>3461</v>
      </c>
      <c r="C118" s="319" t="s">
        <v>1047</v>
      </c>
      <c r="D118" s="319">
        <v>115355.0</v>
      </c>
      <c r="E118" s="319">
        <v>363905.0</v>
      </c>
      <c r="F118" s="373">
        <f t="shared" si="35"/>
        <v>3.154653028</v>
      </c>
      <c r="G118" s="274"/>
      <c r="H118" s="274"/>
      <c r="I118" s="274"/>
      <c r="J118" s="274"/>
      <c r="K118" s="274"/>
      <c r="L118" s="274"/>
      <c r="M118" s="274"/>
      <c r="N118" s="274"/>
      <c r="O118" s="274"/>
      <c r="P118" s="274"/>
      <c r="Q118" s="274"/>
      <c r="R118" s="316"/>
      <c r="S118" s="50"/>
      <c r="T118" s="317"/>
      <c r="U118" s="162"/>
      <c r="V118" s="318"/>
      <c r="W118" s="274"/>
      <c r="X118" s="274"/>
      <c r="Y118" s="274"/>
      <c r="Z118" s="274"/>
      <c r="AA118" s="309"/>
      <c r="AB118" s="309"/>
      <c r="AC118" s="309"/>
      <c r="AD118" s="274"/>
      <c r="AE118" s="274"/>
      <c r="AF118" s="274"/>
      <c r="AG118" s="274"/>
      <c r="AH118" s="274"/>
      <c r="AI118" s="274"/>
      <c r="AJ118" s="274"/>
      <c r="AK118" s="274"/>
      <c r="AL118" s="274"/>
      <c r="AM118" s="274"/>
      <c r="AN118" s="274"/>
      <c r="AO118" s="274"/>
      <c r="AP118" s="274"/>
      <c r="AQ118" s="274"/>
      <c r="AR118" s="274"/>
      <c r="AS118" s="274"/>
      <c r="AT118" s="274"/>
      <c r="AU118" s="274"/>
      <c r="AV118" s="274"/>
      <c r="AW118" s="274"/>
    </row>
    <row r="119" ht="15.75" customHeight="1">
      <c r="A119" s="319" t="s">
        <v>3466</v>
      </c>
      <c r="B119" s="374" t="s">
        <v>3461</v>
      </c>
      <c r="C119" s="319" t="s">
        <v>1047</v>
      </c>
      <c r="D119" s="319">
        <v>115401.0</v>
      </c>
      <c r="E119" s="319">
        <v>360355.0</v>
      </c>
      <c r="F119" s="373">
        <f t="shared" si="35"/>
        <v>3.122633253</v>
      </c>
      <c r="G119" s="274"/>
      <c r="H119" s="274"/>
      <c r="I119" s="274"/>
      <c r="J119" s="274"/>
      <c r="K119" s="274"/>
      <c r="L119" s="274"/>
      <c r="M119" s="274"/>
      <c r="N119" s="274"/>
      <c r="O119" s="274"/>
      <c r="P119" s="274"/>
      <c r="Q119" s="274"/>
      <c r="R119" s="316"/>
      <c r="S119" s="50"/>
      <c r="T119" s="317"/>
      <c r="U119" s="162"/>
      <c r="V119" s="318"/>
      <c r="W119" s="274"/>
      <c r="X119" s="274"/>
      <c r="Y119" s="274"/>
      <c r="Z119" s="274"/>
      <c r="AA119" s="309"/>
      <c r="AB119" s="309"/>
      <c r="AC119" s="309"/>
      <c r="AD119" s="274"/>
      <c r="AE119" s="274"/>
      <c r="AF119" s="274"/>
      <c r="AG119" s="274"/>
      <c r="AH119" s="274"/>
      <c r="AI119" s="274"/>
      <c r="AJ119" s="274"/>
      <c r="AK119" s="274"/>
      <c r="AL119" s="274"/>
      <c r="AM119" s="274"/>
      <c r="AN119" s="274"/>
      <c r="AO119" s="274"/>
      <c r="AP119" s="274"/>
      <c r="AQ119" s="274"/>
      <c r="AR119" s="274"/>
      <c r="AS119" s="274"/>
      <c r="AT119" s="274"/>
      <c r="AU119" s="274"/>
      <c r="AV119" s="274"/>
      <c r="AW119" s="274"/>
    </row>
    <row r="120" ht="15.75" customHeight="1">
      <c r="A120" s="319" t="s">
        <v>3467</v>
      </c>
      <c r="B120" s="374" t="s">
        <v>3461</v>
      </c>
      <c r="C120" s="319" t="s">
        <v>1047</v>
      </c>
      <c r="D120" s="319">
        <v>116330.0</v>
      </c>
      <c r="E120" s="319">
        <v>207692.0</v>
      </c>
      <c r="F120" s="373">
        <f t="shared" si="35"/>
        <v>1.785369208</v>
      </c>
      <c r="G120" s="274"/>
      <c r="H120" s="274"/>
      <c r="I120" s="274"/>
      <c r="J120" s="274"/>
      <c r="K120" s="274"/>
      <c r="L120" s="274"/>
      <c r="M120" s="274"/>
      <c r="N120" s="274"/>
      <c r="O120" s="274"/>
      <c r="P120" s="274"/>
      <c r="Q120" s="274"/>
      <c r="R120" s="316"/>
      <c r="S120" s="50"/>
      <c r="T120" s="317"/>
      <c r="U120" s="162"/>
      <c r="V120" s="318"/>
      <c r="W120" s="274"/>
      <c r="X120" s="274"/>
      <c r="Y120" s="274"/>
      <c r="Z120" s="274"/>
      <c r="AA120" s="309"/>
      <c r="AB120" s="309"/>
      <c r="AC120" s="309"/>
      <c r="AD120" s="274"/>
      <c r="AE120" s="274"/>
      <c r="AF120" s="274"/>
      <c r="AG120" s="274"/>
      <c r="AH120" s="274"/>
      <c r="AI120" s="274"/>
      <c r="AJ120" s="274"/>
      <c r="AK120" s="274"/>
      <c r="AL120" s="274"/>
      <c r="AM120" s="274"/>
      <c r="AN120" s="274"/>
      <c r="AO120" s="274"/>
      <c r="AP120" s="274"/>
      <c r="AQ120" s="274"/>
      <c r="AR120" s="274"/>
      <c r="AS120" s="274"/>
      <c r="AT120" s="274"/>
      <c r="AU120" s="274"/>
      <c r="AV120" s="274"/>
      <c r="AW120" s="274"/>
    </row>
    <row r="121" ht="15.75" customHeight="1">
      <c r="A121" s="319" t="s">
        <v>3434</v>
      </c>
      <c r="B121" s="374" t="s">
        <v>3461</v>
      </c>
      <c r="C121" s="319" t="s">
        <v>1047</v>
      </c>
      <c r="D121" s="319">
        <v>116572.0</v>
      </c>
      <c r="E121" s="319">
        <v>186391.0</v>
      </c>
      <c r="F121" s="373">
        <f t="shared" si="35"/>
        <v>1.598934564</v>
      </c>
      <c r="G121" s="274"/>
      <c r="H121" s="274"/>
      <c r="I121" s="274"/>
      <c r="J121" s="274"/>
      <c r="K121" s="274"/>
      <c r="L121" s="274"/>
      <c r="M121" s="274"/>
      <c r="N121" s="274"/>
      <c r="O121" s="274"/>
      <c r="P121" s="274"/>
      <c r="Q121" s="274"/>
      <c r="R121" s="316"/>
      <c r="S121" s="50"/>
      <c r="T121" s="317"/>
      <c r="U121" s="162"/>
      <c r="V121" s="318"/>
      <c r="W121" s="274"/>
      <c r="X121" s="274"/>
      <c r="Y121" s="274"/>
      <c r="Z121" s="274"/>
      <c r="AA121" s="309"/>
      <c r="AB121" s="309"/>
      <c r="AC121" s="309"/>
      <c r="AD121" s="274"/>
      <c r="AE121" s="274"/>
      <c r="AF121" s="274"/>
      <c r="AG121" s="274"/>
      <c r="AH121" s="274"/>
      <c r="AI121" s="274"/>
      <c r="AJ121" s="274"/>
      <c r="AK121" s="274"/>
      <c r="AL121" s="274"/>
      <c r="AM121" s="274"/>
      <c r="AN121" s="274"/>
      <c r="AO121" s="274"/>
      <c r="AP121" s="274"/>
      <c r="AQ121" s="274"/>
      <c r="AR121" s="274"/>
      <c r="AS121" s="274"/>
      <c r="AT121" s="274"/>
      <c r="AU121" s="274"/>
      <c r="AV121" s="274"/>
      <c r="AW121" s="274"/>
    </row>
    <row r="122" ht="15.75" customHeight="1">
      <c r="A122" s="319" t="s">
        <v>3431</v>
      </c>
      <c r="B122" s="374" t="s">
        <v>3461</v>
      </c>
      <c r="C122" s="319" t="s">
        <v>1047</v>
      </c>
      <c r="D122" s="319">
        <v>115292.0</v>
      </c>
      <c r="E122" s="319">
        <v>140237.0</v>
      </c>
      <c r="F122" s="373">
        <f t="shared" si="35"/>
        <v>1.216363668</v>
      </c>
      <c r="G122" s="274"/>
      <c r="H122" s="274"/>
      <c r="I122" s="274"/>
      <c r="J122" s="274"/>
      <c r="K122" s="274"/>
      <c r="L122" s="274"/>
      <c r="M122" s="274"/>
      <c r="N122" s="274"/>
      <c r="O122" s="274"/>
      <c r="P122" s="274"/>
      <c r="Q122" s="274"/>
      <c r="R122" s="316"/>
      <c r="S122" s="50"/>
      <c r="T122" s="317"/>
      <c r="U122" s="162"/>
      <c r="V122" s="318"/>
      <c r="W122" s="274"/>
      <c r="X122" s="274"/>
      <c r="Y122" s="274"/>
      <c r="Z122" s="274"/>
      <c r="AA122" s="309"/>
      <c r="AB122" s="309"/>
      <c r="AC122" s="309"/>
      <c r="AD122" s="274"/>
      <c r="AE122" s="274"/>
      <c r="AF122" s="274"/>
      <c r="AG122" s="274"/>
      <c r="AH122" s="274"/>
      <c r="AI122" s="274"/>
      <c r="AJ122" s="274"/>
      <c r="AK122" s="274"/>
      <c r="AL122" s="274"/>
      <c r="AM122" s="274"/>
      <c r="AN122" s="274"/>
      <c r="AO122" s="274"/>
      <c r="AP122" s="274"/>
      <c r="AQ122" s="274"/>
      <c r="AR122" s="274"/>
      <c r="AS122" s="274"/>
      <c r="AT122" s="274"/>
      <c r="AU122" s="274"/>
      <c r="AV122" s="274"/>
      <c r="AW122" s="274"/>
    </row>
    <row r="123" ht="15.75" customHeight="1">
      <c r="A123" s="375" t="s">
        <v>3439</v>
      </c>
      <c r="B123" s="376" t="s">
        <v>3468</v>
      </c>
      <c r="C123" s="375">
        <v>9.0</v>
      </c>
      <c r="D123" s="375">
        <v>118296.0</v>
      </c>
      <c r="E123" s="375">
        <v>287574.0</v>
      </c>
      <c r="F123" s="377">
        <f t="shared" si="35"/>
        <v>2.430969771</v>
      </c>
      <c r="G123" s="274"/>
      <c r="H123" s="274"/>
      <c r="I123" s="274"/>
      <c r="J123" s="274"/>
      <c r="K123" s="274"/>
      <c r="L123" s="274"/>
      <c r="M123" s="274"/>
      <c r="N123" s="274"/>
      <c r="O123" s="274"/>
      <c r="P123" s="274"/>
      <c r="Q123" s="274"/>
      <c r="R123" s="316"/>
      <c r="S123" s="50"/>
      <c r="T123" s="317"/>
      <c r="U123" s="162"/>
      <c r="V123" s="318"/>
      <c r="W123" s="274"/>
      <c r="X123" s="274"/>
      <c r="Y123" s="274"/>
      <c r="Z123" s="274"/>
      <c r="AA123" s="309"/>
      <c r="AB123" s="309"/>
      <c r="AC123" s="309"/>
      <c r="AD123" s="274"/>
      <c r="AE123" s="274"/>
      <c r="AF123" s="274"/>
      <c r="AG123" s="274"/>
      <c r="AH123" s="274"/>
      <c r="AI123" s="274"/>
      <c r="AJ123" s="274"/>
      <c r="AK123" s="274"/>
      <c r="AL123" s="274"/>
      <c r="AM123" s="274"/>
      <c r="AN123" s="274"/>
      <c r="AO123" s="274"/>
      <c r="AP123" s="274"/>
      <c r="AQ123" s="274"/>
      <c r="AR123" s="274"/>
      <c r="AS123" s="274"/>
      <c r="AT123" s="274"/>
      <c r="AU123" s="274"/>
      <c r="AV123" s="274"/>
      <c r="AW123" s="274"/>
    </row>
    <row r="124" ht="15.75" customHeight="1">
      <c r="A124" s="375" t="s">
        <v>3439</v>
      </c>
      <c r="B124" s="376" t="s">
        <v>3469</v>
      </c>
      <c r="C124" s="375">
        <v>9.0</v>
      </c>
      <c r="D124" s="375">
        <v>118296.0</v>
      </c>
      <c r="E124" s="375">
        <v>557396.0</v>
      </c>
      <c r="F124" s="377">
        <f t="shared" si="35"/>
        <v>4.711875296</v>
      </c>
      <c r="G124" s="274"/>
      <c r="H124" s="274"/>
      <c r="I124" s="274"/>
      <c r="J124" s="274"/>
      <c r="K124" s="274"/>
      <c r="L124" s="274"/>
      <c r="M124" s="274"/>
      <c r="N124" s="274"/>
      <c r="O124" s="274"/>
      <c r="P124" s="274"/>
      <c r="Q124" s="274"/>
      <c r="R124" s="316"/>
      <c r="S124" s="50"/>
      <c r="T124" s="317"/>
      <c r="U124" s="162"/>
      <c r="V124" s="318"/>
      <c r="W124" s="274"/>
      <c r="X124" s="274"/>
      <c r="Y124" s="274"/>
      <c r="Z124" s="274"/>
      <c r="AA124" s="309"/>
      <c r="AB124" s="309"/>
      <c r="AC124" s="309"/>
      <c r="AD124" s="274"/>
      <c r="AE124" s="274"/>
      <c r="AF124" s="274"/>
      <c r="AG124" s="274"/>
      <c r="AH124" s="274"/>
      <c r="AI124" s="274"/>
      <c r="AJ124" s="274"/>
      <c r="AK124" s="274"/>
      <c r="AL124" s="274"/>
      <c r="AM124" s="274"/>
      <c r="AN124" s="274"/>
      <c r="AO124" s="274"/>
      <c r="AP124" s="274"/>
      <c r="AQ124" s="274"/>
      <c r="AR124" s="274"/>
      <c r="AS124" s="274"/>
      <c r="AT124" s="274"/>
      <c r="AU124" s="274"/>
      <c r="AV124" s="274"/>
      <c r="AW124" s="274"/>
    </row>
    <row r="125" ht="15.75" customHeight="1">
      <c r="A125" s="375" t="s">
        <v>3439</v>
      </c>
      <c r="B125" s="376" t="s">
        <v>3470</v>
      </c>
      <c r="C125" s="375" t="s">
        <v>1047</v>
      </c>
      <c r="D125" s="375">
        <v>151312.0</v>
      </c>
      <c r="E125" s="375">
        <v>353254.0</v>
      </c>
      <c r="F125" s="377">
        <f t="shared" si="35"/>
        <v>2.334606641</v>
      </c>
      <c r="G125" s="274"/>
      <c r="H125" s="274"/>
      <c r="I125" s="274"/>
      <c r="J125" s="274"/>
      <c r="K125" s="274"/>
      <c r="L125" s="274"/>
      <c r="M125" s="274"/>
      <c r="N125" s="274"/>
      <c r="O125" s="274"/>
      <c r="P125" s="274"/>
      <c r="Q125" s="274"/>
      <c r="R125" s="316"/>
      <c r="S125" s="50"/>
      <c r="T125" s="317"/>
      <c r="U125" s="162"/>
      <c r="V125" s="318"/>
      <c r="W125" s="274"/>
      <c r="X125" s="274"/>
      <c r="Y125" s="274"/>
      <c r="Z125" s="274"/>
      <c r="AA125" s="309"/>
      <c r="AB125" s="309"/>
      <c r="AC125" s="309"/>
      <c r="AD125" s="274"/>
      <c r="AE125" s="274"/>
      <c r="AF125" s="274"/>
      <c r="AG125" s="274"/>
      <c r="AH125" s="274"/>
      <c r="AI125" s="274"/>
      <c r="AJ125" s="274"/>
      <c r="AK125" s="274"/>
      <c r="AL125" s="274"/>
      <c r="AM125" s="274"/>
      <c r="AN125" s="274"/>
      <c r="AO125" s="274"/>
      <c r="AP125" s="274"/>
      <c r="AQ125" s="274"/>
      <c r="AR125" s="274"/>
      <c r="AS125" s="274"/>
      <c r="AT125" s="274"/>
      <c r="AU125" s="274"/>
      <c r="AV125" s="274"/>
      <c r="AW125" s="274"/>
    </row>
    <row r="126" ht="15.75" customHeight="1">
      <c r="A126" s="378" t="s">
        <v>3471</v>
      </c>
      <c r="B126" s="379" t="s">
        <v>3472</v>
      </c>
      <c r="C126" s="378">
        <v>9.0</v>
      </c>
      <c r="D126" s="378">
        <v>36193.0</v>
      </c>
      <c r="E126" s="378">
        <v>143787.0</v>
      </c>
      <c r="F126" s="380">
        <f t="shared" si="35"/>
        <v>3.972784793</v>
      </c>
      <c r="G126" s="274"/>
      <c r="H126" s="274"/>
      <c r="I126" s="274"/>
      <c r="J126" s="274"/>
      <c r="K126" s="274"/>
      <c r="L126" s="274"/>
      <c r="M126" s="274"/>
      <c r="N126" s="274"/>
      <c r="O126" s="274"/>
      <c r="P126" s="274"/>
      <c r="Q126" s="274"/>
      <c r="R126" s="316"/>
      <c r="S126" s="50"/>
      <c r="T126" s="317"/>
      <c r="U126" s="162"/>
      <c r="V126" s="318"/>
      <c r="W126" s="274"/>
      <c r="X126" s="274"/>
      <c r="Y126" s="274"/>
      <c r="Z126" s="274"/>
      <c r="AA126" s="309"/>
      <c r="AB126" s="309"/>
      <c r="AC126" s="309"/>
      <c r="AD126" s="274"/>
      <c r="AE126" s="274"/>
      <c r="AF126" s="274"/>
      <c r="AG126" s="274"/>
      <c r="AH126" s="274"/>
      <c r="AI126" s="274"/>
      <c r="AJ126" s="274"/>
      <c r="AK126" s="274"/>
      <c r="AL126" s="274"/>
      <c r="AM126" s="274"/>
      <c r="AN126" s="274"/>
      <c r="AO126" s="274"/>
      <c r="AP126" s="274"/>
      <c r="AQ126" s="274"/>
      <c r="AR126" s="274"/>
      <c r="AS126" s="274"/>
      <c r="AT126" s="274"/>
      <c r="AU126" s="274"/>
      <c r="AV126" s="274"/>
      <c r="AW126" s="274"/>
    </row>
    <row r="127" ht="15.75" customHeight="1">
      <c r="A127" s="378" t="s">
        <v>3471</v>
      </c>
      <c r="B127" s="379" t="s">
        <v>3473</v>
      </c>
      <c r="C127" s="378">
        <v>9.0</v>
      </c>
      <c r="D127" s="378">
        <v>36334.0</v>
      </c>
      <c r="E127" s="378">
        <v>181065.0</v>
      </c>
      <c r="F127" s="380">
        <f t="shared" si="35"/>
        <v>4.983348929</v>
      </c>
      <c r="G127" s="274"/>
      <c r="H127" s="274"/>
      <c r="I127" s="274"/>
      <c r="J127" s="274"/>
      <c r="K127" s="274"/>
      <c r="L127" s="274"/>
      <c r="M127" s="274"/>
      <c r="N127" s="274"/>
      <c r="O127" s="274"/>
      <c r="P127" s="274"/>
      <c r="Q127" s="274"/>
      <c r="R127" s="316"/>
      <c r="S127" s="50"/>
      <c r="T127" s="317"/>
      <c r="U127" s="162"/>
      <c r="V127" s="318"/>
      <c r="W127" s="274"/>
      <c r="X127" s="274"/>
      <c r="Y127" s="274"/>
      <c r="Z127" s="274"/>
      <c r="AA127" s="309"/>
      <c r="AB127" s="309"/>
      <c r="AC127" s="309"/>
      <c r="AD127" s="274"/>
      <c r="AE127" s="274"/>
      <c r="AF127" s="274"/>
      <c r="AG127" s="274"/>
      <c r="AH127" s="274"/>
      <c r="AI127" s="274"/>
      <c r="AJ127" s="274"/>
      <c r="AK127" s="274"/>
      <c r="AL127" s="274"/>
      <c r="AM127" s="274"/>
      <c r="AN127" s="274"/>
      <c r="AO127" s="274"/>
      <c r="AP127" s="274"/>
      <c r="AQ127" s="274"/>
      <c r="AR127" s="274"/>
      <c r="AS127" s="274"/>
      <c r="AT127" s="274"/>
      <c r="AU127" s="274"/>
      <c r="AV127" s="274"/>
      <c r="AW127" s="274"/>
    </row>
    <row r="128" ht="15.75" customHeight="1">
      <c r="A128" s="378" t="s">
        <v>3471</v>
      </c>
      <c r="B128" s="379" t="s">
        <v>3474</v>
      </c>
      <c r="C128" s="378">
        <v>9.0</v>
      </c>
      <c r="D128" s="378">
        <v>36018.0</v>
      </c>
      <c r="E128" s="378">
        <v>143787.0</v>
      </c>
      <c r="F128" s="380">
        <f t="shared" si="35"/>
        <v>3.99208729</v>
      </c>
      <c r="G128" s="274"/>
      <c r="H128" s="274"/>
      <c r="I128" s="274"/>
      <c r="J128" s="274"/>
      <c r="K128" s="274"/>
      <c r="L128" s="274"/>
      <c r="M128" s="274"/>
      <c r="N128" s="274"/>
      <c r="O128" s="274"/>
      <c r="P128" s="274"/>
      <c r="Q128" s="274"/>
      <c r="R128" s="316"/>
      <c r="S128" s="50"/>
      <c r="T128" s="317"/>
      <c r="U128" s="162"/>
      <c r="V128" s="318"/>
      <c r="W128" s="274"/>
      <c r="X128" s="274"/>
      <c r="Y128" s="274"/>
      <c r="Z128" s="274"/>
      <c r="AA128" s="309"/>
      <c r="AB128" s="309"/>
      <c r="AC128" s="309"/>
      <c r="AD128" s="274"/>
      <c r="AE128" s="274"/>
      <c r="AF128" s="274"/>
      <c r="AG128" s="274"/>
      <c r="AH128" s="274"/>
      <c r="AI128" s="274"/>
      <c r="AJ128" s="274"/>
      <c r="AK128" s="274"/>
      <c r="AL128" s="274"/>
      <c r="AM128" s="274"/>
      <c r="AN128" s="274"/>
      <c r="AO128" s="274"/>
      <c r="AP128" s="274"/>
      <c r="AQ128" s="274"/>
      <c r="AR128" s="274"/>
      <c r="AS128" s="274"/>
      <c r="AT128" s="274"/>
      <c r="AU128" s="274"/>
      <c r="AV128" s="274"/>
      <c r="AW128" s="274"/>
    </row>
    <row r="129" ht="15.75" customHeight="1">
      <c r="A129" s="378" t="s">
        <v>3471</v>
      </c>
      <c r="B129" s="379" t="s">
        <v>3475</v>
      </c>
      <c r="C129" s="378">
        <v>9.0</v>
      </c>
      <c r="D129" s="378">
        <v>36209.0</v>
      </c>
      <c r="E129" s="378">
        <v>152663.0</v>
      </c>
      <c r="F129" s="380">
        <f t="shared" si="35"/>
        <v>4.216161728</v>
      </c>
      <c r="G129" s="274"/>
      <c r="H129" s="274"/>
      <c r="I129" s="274"/>
      <c r="J129" s="274"/>
      <c r="K129" s="274"/>
      <c r="L129" s="274"/>
      <c r="M129" s="274"/>
      <c r="N129" s="274"/>
      <c r="O129" s="274"/>
      <c r="P129" s="274"/>
      <c r="Q129" s="274"/>
      <c r="R129" s="316"/>
      <c r="S129" s="50"/>
      <c r="T129" s="317"/>
      <c r="U129" s="162"/>
      <c r="V129" s="318"/>
      <c r="W129" s="274"/>
      <c r="X129" s="274"/>
      <c r="Y129" s="274"/>
      <c r="Z129" s="274"/>
      <c r="AA129" s="309"/>
      <c r="AB129" s="309"/>
      <c r="AC129" s="309"/>
      <c r="AD129" s="274"/>
      <c r="AE129" s="274"/>
      <c r="AF129" s="274"/>
      <c r="AG129" s="274"/>
      <c r="AH129" s="274"/>
      <c r="AI129" s="274"/>
      <c r="AJ129" s="274"/>
      <c r="AK129" s="274"/>
      <c r="AL129" s="274"/>
      <c r="AM129" s="274"/>
      <c r="AN129" s="274"/>
      <c r="AO129" s="274"/>
      <c r="AP129" s="274"/>
      <c r="AQ129" s="274"/>
      <c r="AR129" s="274"/>
      <c r="AS129" s="274"/>
      <c r="AT129" s="274"/>
      <c r="AU129" s="274"/>
      <c r="AV129" s="274"/>
      <c r="AW129" s="274"/>
    </row>
    <row r="130" ht="15.75" customHeight="1">
      <c r="A130" s="378" t="s">
        <v>3471</v>
      </c>
      <c r="B130" s="379" t="s">
        <v>3476</v>
      </c>
      <c r="C130" s="378">
        <v>9.0</v>
      </c>
      <c r="D130" s="378">
        <v>36193.0</v>
      </c>
      <c r="E130" s="378">
        <v>142012.0</v>
      </c>
      <c r="F130" s="380">
        <f t="shared" si="35"/>
        <v>3.92374216</v>
      </c>
      <c r="G130" s="274"/>
      <c r="H130" s="274"/>
      <c r="I130" s="274"/>
      <c r="J130" s="274"/>
      <c r="K130" s="274"/>
      <c r="L130" s="274"/>
      <c r="M130" s="274"/>
      <c r="N130" s="274"/>
      <c r="O130" s="274"/>
      <c r="P130" s="274"/>
      <c r="Q130" s="274"/>
      <c r="R130" s="316"/>
      <c r="S130" s="50"/>
      <c r="T130" s="317"/>
      <c r="U130" s="162"/>
      <c r="V130" s="318"/>
      <c r="W130" s="274"/>
      <c r="X130" s="274"/>
      <c r="Y130" s="274"/>
      <c r="Z130" s="274"/>
      <c r="AA130" s="309"/>
      <c r="AB130" s="309"/>
      <c r="AC130" s="309"/>
      <c r="AD130" s="274"/>
      <c r="AE130" s="274"/>
      <c r="AF130" s="274"/>
      <c r="AG130" s="274"/>
      <c r="AH130" s="274"/>
      <c r="AI130" s="274"/>
      <c r="AJ130" s="274"/>
      <c r="AK130" s="274"/>
      <c r="AL130" s="274"/>
      <c r="AM130" s="274"/>
      <c r="AN130" s="274"/>
      <c r="AO130" s="274"/>
      <c r="AP130" s="274"/>
      <c r="AQ130" s="274"/>
      <c r="AR130" s="274"/>
      <c r="AS130" s="274"/>
      <c r="AT130" s="274"/>
      <c r="AU130" s="274"/>
      <c r="AV130" s="274"/>
      <c r="AW130" s="274"/>
    </row>
    <row r="131" ht="15.75" customHeight="1">
      <c r="A131" s="274"/>
      <c r="B131" s="274"/>
      <c r="C131" s="274"/>
      <c r="D131" s="274"/>
      <c r="E131" s="274"/>
      <c r="F131" s="274"/>
      <c r="G131" s="274"/>
      <c r="H131" s="274"/>
      <c r="I131" s="274"/>
      <c r="J131" s="274"/>
      <c r="K131" s="274"/>
      <c r="L131" s="274"/>
      <c r="M131" s="274"/>
      <c r="N131" s="274"/>
      <c r="O131" s="274"/>
      <c r="P131" s="274"/>
      <c r="Q131" s="274"/>
      <c r="R131" s="316"/>
      <c r="S131" s="50" t="s">
        <v>3477</v>
      </c>
      <c r="T131" s="317">
        <v>2757501.6536925</v>
      </c>
      <c r="U131" s="162">
        <v>3096886.4726085</v>
      </c>
      <c r="V131" s="318">
        <f t="shared" ref="V131:V194" si="37">(ROUND(U131/T131,3)-1)*100</f>
        <v>12.3</v>
      </c>
      <c r="W131" s="274"/>
      <c r="X131" s="274"/>
      <c r="Y131" s="274"/>
      <c r="Z131" s="274">
        <v>5.75</v>
      </c>
      <c r="AA131" s="309">
        <v>744592.7385</v>
      </c>
      <c r="AB131" s="309">
        <v>686421.4308</v>
      </c>
      <c r="AC131" s="309">
        <v>732958.4769</v>
      </c>
      <c r="AD131" s="274"/>
      <c r="AE131" s="274"/>
      <c r="AF131" s="274"/>
      <c r="AG131" s="274"/>
      <c r="AH131" s="274"/>
      <c r="AI131" s="274"/>
      <c r="AJ131" s="274"/>
      <c r="AK131" s="274"/>
      <c r="AL131" s="274"/>
      <c r="AM131" s="274"/>
      <c r="AN131" s="274"/>
      <c r="AO131" s="274"/>
      <c r="AP131" s="274"/>
      <c r="AQ131" s="274"/>
      <c r="AR131" s="274"/>
      <c r="AS131" s="274"/>
      <c r="AT131" s="274"/>
      <c r="AU131" s="274"/>
      <c r="AV131" s="274"/>
      <c r="AW131" s="274"/>
    </row>
    <row r="132" ht="15.75" customHeight="1">
      <c r="A132" s="320" t="s">
        <v>3478</v>
      </c>
      <c r="B132" s="381">
        <v>3501.3425141900066</v>
      </c>
      <c r="C132" s="274"/>
      <c r="D132" s="274"/>
      <c r="E132" s="274"/>
      <c r="F132" s="274"/>
      <c r="G132" s="274"/>
      <c r="H132" s="274"/>
      <c r="I132" s="274"/>
      <c r="J132" s="274"/>
      <c r="K132" s="274"/>
      <c r="L132" s="274"/>
      <c r="M132" s="274"/>
      <c r="N132" s="274"/>
      <c r="O132" s="274"/>
      <c r="P132" s="274"/>
      <c r="Q132" s="274"/>
      <c r="R132" s="316"/>
      <c r="S132" s="50" t="s">
        <v>3479</v>
      </c>
      <c r="T132" s="317">
        <v>5218276.935663792</v>
      </c>
      <c r="U132" s="162">
        <v>5870561.552621766</v>
      </c>
      <c r="V132" s="318">
        <f t="shared" si="37"/>
        <v>12.5</v>
      </c>
      <c r="W132" s="274"/>
      <c r="X132" s="274"/>
      <c r="Y132" s="274"/>
      <c r="Z132" s="274">
        <v>5.812</v>
      </c>
      <c r="AA132" s="309">
        <v>744592.7385</v>
      </c>
      <c r="AB132" s="309">
        <v>686421.4308</v>
      </c>
      <c r="AC132" s="309">
        <v>732958.4769</v>
      </c>
      <c r="AD132" s="274"/>
      <c r="AE132" s="274"/>
      <c r="AF132" s="274"/>
      <c r="AG132" s="274"/>
      <c r="AH132" s="274"/>
      <c r="AI132" s="274"/>
      <c r="AJ132" s="274"/>
      <c r="AK132" s="274"/>
      <c r="AL132" s="274"/>
      <c r="AM132" s="274"/>
      <c r="AN132" s="274"/>
      <c r="AO132" s="274"/>
      <c r="AP132" s="274"/>
      <c r="AQ132" s="274"/>
      <c r="AR132" s="274"/>
      <c r="AS132" s="274"/>
      <c r="AT132" s="274"/>
      <c r="AU132" s="274"/>
      <c r="AV132" s="274"/>
      <c r="AW132" s="274"/>
    </row>
    <row r="133" ht="15.75" customHeight="1">
      <c r="A133" s="274"/>
      <c r="B133" s="274"/>
      <c r="C133" s="274"/>
      <c r="D133" s="274"/>
      <c r="E133" s="274"/>
      <c r="F133" s="274"/>
      <c r="G133" s="274"/>
      <c r="H133" s="274"/>
      <c r="I133" s="274"/>
      <c r="J133" s="274"/>
      <c r="K133" s="274"/>
      <c r="L133" s="274"/>
      <c r="M133" s="274"/>
      <c r="N133" s="274"/>
      <c r="O133" s="274"/>
      <c r="P133" s="274"/>
      <c r="Q133" s="274"/>
      <c r="R133" s="316"/>
      <c r="S133" s="50" t="s">
        <v>3480</v>
      </c>
      <c r="T133" s="317">
        <v>5020537.668730437</v>
      </c>
      <c r="U133" s="162">
        <v>5648104.877321742</v>
      </c>
      <c r="V133" s="318">
        <f t="shared" si="37"/>
        <v>12.5</v>
      </c>
      <c r="W133" s="274"/>
      <c r="X133" s="274"/>
      <c r="Y133" s="274"/>
      <c r="Z133" s="274">
        <v>5.89</v>
      </c>
      <c r="AA133" s="309">
        <v>744592.7385</v>
      </c>
      <c r="AB133" s="309">
        <v>686421.4308</v>
      </c>
      <c r="AC133" s="309">
        <v>732958.4769</v>
      </c>
      <c r="AD133" s="274"/>
      <c r="AE133" s="274"/>
      <c r="AF133" s="274"/>
      <c r="AG133" s="274"/>
      <c r="AH133" s="274"/>
      <c r="AI133" s="274"/>
      <c r="AJ133" s="274"/>
      <c r="AK133" s="274"/>
      <c r="AL133" s="274"/>
      <c r="AM133" s="274"/>
      <c r="AN133" s="274"/>
      <c r="AO133" s="274"/>
      <c r="AP133" s="274"/>
      <c r="AQ133" s="274"/>
      <c r="AR133" s="274"/>
      <c r="AS133" s="274"/>
      <c r="AT133" s="274"/>
      <c r="AU133" s="274"/>
      <c r="AV133" s="274"/>
      <c r="AW133" s="274"/>
    </row>
    <row r="134" ht="15.75" customHeight="1">
      <c r="A134" s="274"/>
      <c r="B134" s="274"/>
      <c r="C134" s="274"/>
      <c r="D134" s="274"/>
      <c r="E134" s="274"/>
      <c r="F134" s="274"/>
      <c r="G134" s="274"/>
      <c r="H134" s="274"/>
      <c r="I134" s="274"/>
      <c r="J134" s="274"/>
      <c r="K134" s="274"/>
      <c r="L134" s="274"/>
      <c r="M134" s="274"/>
      <c r="N134" s="274"/>
      <c r="O134" s="274"/>
      <c r="P134" s="274"/>
      <c r="Q134" s="274"/>
      <c r="R134" s="316"/>
      <c r="S134" s="50" t="s">
        <v>3481</v>
      </c>
      <c r="T134" s="317">
        <v>3513822.5865600007</v>
      </c>
      <c r="U134" s="162">
        <v>3953050.4098800006</v>
      </c>
      <c r="V134" s="318">
        <f t="shared" si="37"/>
        <v>12.5</v>
      </c>
      <c r="W134" s="274"/>
      <c r="X134" s="274"/>
      <c r="Y134" s="274"/>
      <c r="Z134" s="274">
        <v>5.937</v>
      </c>
      <c r="AA134" s="309">
        <v>744592.7385</v>
      </c>
      <c r="AB134" s="309">
        <v>686421.4308</v>
      </c>
      <c r="AC134" s="309">
        <v>732958.4769</v>
      </c>
      <c r="AD134" s="274"/>
      <c r="AE134" s="274"/>
      <c r="AF134" s="274"/>
      <c r="AG134" s="274"/>
      <c r="AH134" s="274"/>
      <c r="AI134" s="274"/>
      <c r="AJ134" s="274"/>
      <c r="AK134" s="274"/>
      <c r="AL134" s="274"/>
      <c r="AM134" s="274"/>
      <c r="AN134" s="274"/>
      <c r="AO134" s="274"/>
      <c r="AP134" s="274"/>
      <c r="AQ134" s="274"/>
      <c r="AR134" s="274"/>
      <c r="AS134" s="274"/>
      <c r="AT134" s="274"/>
      <c r="AU134" s="274"/>
      <c r="AV134" s="274"/>
      <c r="AW134" s="274"/>
    </row>
    <row r="135" ht="15.75" customHeight="1">
      <c r="A135" s="274"/>
      <c r="B135" s="274"/>
      <c r="C135" s="274"/>
      <c r="D135" s="274"/>
      <c r="E135" s="274"/>
      <c r="F135" s="274"/>
      <c r="G135" s="274"/>
      <c r="H135" s="274"/>
      <c r="I135" s="274"/>
      <c r="J135" s="274"/>
      <c r="K135" s="274"/>
      <c r="L135" s="274"/>
      <c r="M135" s="274"/>
      <c r="N135" s="274"/>
      <c r="O135" s="274"/>
      <c r="P135" s="274"/>
      <c r="Q135" s="274"/>
      <c r="R135" s="316"/>
      <c r="S135" s="50" t="s">
        <v>3482</v>
      </c>
      <c r="T135" s="317">
        <v>3281458.250970901</v>
      </c>
      <c r="U135" s="162">
        <v>3709474.544575801</v>
      </c>
      <c r="V135" s="318">
        <f t="shared" si="37"/>
        <v>13</v>
      </c>
      <c r="W135" s="274"/>
      <c r="X135" s="274"/>
      <c r="Y135" s="274"/>
      <c r="Z135" s="274">
        <v>6.0</v>
      </c>
      <c r="AA135" s="309">
        <v>942375.1846</v>
      </c>
      <c r="AB135" s="309">
        <v>686421.4308</v>
      </c>
      <c r="AC135" s="309">
        <v>732958.4769</v>
      </c>
      <c r="AD135" s="274"/>
      <c r="AE135" s="274"/>
      <c r="AF135" s="274"/>
      <c r="AG135" s="274"/>
      <c r="AH135" s="274"/>
      <c r="AI135" s="274"/>
      <c r="AJ135" s="274"/>
      <c r="AK135" s="274"/>
      <c r="AL135" s="274"/>
      <c r="AM135" s="274"/>
      <c r="AN135" s="274"/>
      <c r="AO135" s="274"/>
      <c r="AP135" s="274"/>
      <c r="AQ135" s="274"/>
      <c r="AR135" s="274"/>
      <c r="AS135" s="274"/>
      <c r="AT135" s="274"/>
      <c r="AU135" s="274"/>
      <c r="AV135" s="274"/>
      <c r="AW135" s="274"/>
    </row>
    <row r="136" ht="15.75" customHeight="1">
      <c r="A136" s="274"/>
      <c r="B136" s="274"/>
      <c r="C136" s="274"/>
      <c r="D136" s="274"/>
      <c r="E136" s="274"/>
      <c r="F136" s="274"/>
      <c r="G136" s="274"/>
      <c r="H136" s="274"/>
      <c r="I136" s="274"/>
      <c r="J136" s="274"/>
      <c r="K136" s="274"/>
      <c r="L136" s="274"/>
      <c r="M136" s="274"/>
      <c r="N136" s="274"/>
      <c r="O136" s="274"/>
      <c r="P136" s="274"/>
      <c r="Q136" s="274"/>
      <c r="R136" s="316"/>
      <c r="S136" s="50" t="s">
        <v>3483</v>
      </c>
      <c r="T136" s="317">
        <v>3348426.786705001</v>
      </c>
      <c r="U136" s="162">
        <v>3785178.106710001</v>
      </c>
      <c r="V136" s="318">
        <f t="shared" si="37"/>
        <v>13</v>
      </c>
      <c r="W136" s="274"/>
      <c r="X136" s="274"/>
      <c r="Y136" s="274"/>
      <c r="Z136" s="274">
        <v>6.062</v>
      </c>
      <c r="AA136" s="309">
        <v>942375.1846</v>
      </c>
      <c r="AB136" s="309">
        <v>686421.4308</v>
      </c>
      <c r="AC136" s="309">
        <v>732958.4769</v>
      </c>
      <c r="AD136" s="274"/>
      <c r="AE136" s="274"/>
      <c r="AF136" s="274"/>
      <c r="AG136" s="274"/>
      <c r="AH136" s="274"/>
      <c r="AI136" s="274"/>
      <c r="AJ136" s="274"/>
      <c r="AK136" s="274"/>
      <c r="AL136" s="274"/>
      <c r="AM136" s="274"/>
      <c r="AN136" s="274"/>
      <c r="AO136" s="274"/>
      <c r="AP136" s="274"/>
      <c r="AQ136" s="274"/>
      <c r="AR136" s="274"/>
      <c r="AS136" s="274"/>
      <c r="AT136" s="274"/>
      <c r="AU136" s="274"/>
      <c r="AV136" s="274"/>
      <c r="AW136" s="274"/>
    </row>
    <row r="137" ht="15.75" customHeight="1">
      <c r="A137" s="274"/>
      <c r="B137" s="274"/>
      <c r="C137" s="274"/>
      <c r="D137" s="274"/>
      <c r="E137" s="274"/>
      <c r="F137" s="274"/>
      <c r="G137" s="274"/>
      <c r="H137" s="274"/>
      <c r="I137" s="274"/>
      <c r="J137" s="274"/>
      <c r="K137" s="274"/>
      <c r="L137" s="274"/>
      <c r="M137" s="274"/>
      <c r="N137" s="274"/>
      <c r="O137" s="274"/>
      <c r="P137" s="274"/>
      <c r="Q137" s="274"/>
      <c r="R137" s="316"/>
      <c r="S137" s="50" t="s">
        <v>3484</v>
      </c>
      <c r="T137" s="317">
        <v>6406656.585228902</v>
      </c>
      <c r="U137" s="162">
        <v>7242307.444171802</v>
      </c>
      <c r="V137" s="318">
        <f t="shared" si="37"/>
        <v>13</v>
      </c>
      <c r="W137" s="274"/>
      <c r="X137" s="274"/>
      <c r="Y137" s="274"/>
      <c r="Z137" s="274">
        <v>6.125</v>
      </c>
      <c r="AA137" s="309">
        <v>942375.1846</v>
      </c>
      <c r="AB137" s="309">
        <v>686421.4308</v>
      </c>
      <c r="AC137" s="309">
        <v>732958.4769</v>
      </c>
      <c r="AD137" s="274"/>
      <c r="AE137" s="274"/>
      <c r="AF137" s="274"/>
      <c r="AG137" s="274"/>
      <c r="AH137" s="274"/>
      <c r="AI137" s="274"/>
      <c r="AJ137" s="274"/>
      <c r="AK137" s="274"/>
      <c r="AL137" s="274"/>
      <c r="AM137" s="274"/>
      <c r="AN137" s="274"/>
      <c r="AO137" s="274"/>
      <c r="AP137" s="274"/>
      <c r="AQ137" s="274"/>
      <c r="AR137" s="274"/>
      <c r="AS137" s="274"/>
      <c r="AT137" s="274"/>
      <c r="AU137" s="274"/>
      <c r="AV137" s="274"/>
      <c r="AW137" s="274"/>
    </row>
    <row r="138" ht="15.75" customHeight="1">
      <c r="A138" s="274"/>
      <c r="B138" s="274"/>
      <c r="C138" s="274"/>
      <c r="D138" s="274"/>
      <c r="E138" s="274"/>
      <c r="F138" s="274"/>
      <c r="G138" s="274"/>
      <c r="H138" s="274"/>
      <c r="I138" s="274"/>
      <c r="J138" s="274"/>
      <c r="K138" s="274"/>
      <c r="L138" s="274"/>
      <c r="M138" s="274"/>
      <c r="N138" s="274"/>
      <c r="O138" s="274"/>
      <c r="P138" s="274"/>
      <c r="Q138" s="274"/>
      <c r="R138" s="316"/>
      <c r="S138" s="50" t="s">
        <v>3485</v>
      </c>
      <c r="T138" s="317">
        <v>7916053.937220003</v>
      </c>
      <c r="U138" s="162">
        <v>8948582.711640004</v>
      </c>
      <c r="V138" s="318">
        <f t="shared" si="37"/>
        <v>13</v>
      </c>
      <c r="W138" s="274"/>
      <c r="X138" s="274"/>
      <c r="Y138" s="274"/>
      <c r="Z138" s="274">
        <v>6.203</v>
      </c>
      <c r="AA138" s="309">
        <v>942375.1846</v>
      </c>
      <c r="AB138" s="309">
        <v>686421.4308</v>
      </c>
      <c r="AC138" s="309">
        <v>732958.4769</v>
      </c>
      <c r="AD138" s="274"/>
      <c r="AE138" s="274"/>
      <c r="AF138" s="274"/>
      <c r="AG138" s="274"/>
      <c r="AH138" s="274"/>
      <c r="AI138" s="274"/>
      <c r="AJ138" s="274"/>
      <c r="AK138" s="274"/>
      <c r="AL138" s="274"/>
      <c r="AM138" s="274"/>
      <c r="AN138" s="274"/>
      <c r="AO138" s="274"/>
      <c r="AP138" s="274"/>
      <c r="AQ138" s="274"/>
      <c r="AR138" s="274"/>
      <c r="AS138" s="274"/>
      <c r="AT138" s="274"/>
      <c r="AU138" s="274"/>
      <c r="AV138" s="274"/>
      <c r="AW138" s="274"/>
    </row>
    <row r="139" ht="15.75" customHeight="1">
      <c r="A139" s="274"/>
      <c r="B139" s="274"/>
      <c r="C139" s="274"/>
      <c r="D139" s="274"/>
      <c r="E139" s="274"/>
      <c r="F139" s="274"/>
      <c r="G139" s="274"/>
      <c r="H139" s="274"/>
      <c r="I139" s="274"/>
      <c r="J139" s="274"/>
      <c r="K139" s="274"/>
      <c r="L139" s="274"/>
      <c r="M139" s="274"/>
      <c r="N139" s="274"/>
      <c r="O139" s="274"/>
      <c r="P139" s="274"/>
      <c r="Q139" s="274"/>
      <c r="R139" s="316"/>
      <c r="S139" s="50" t="s">
        <v>3486</v>
      </c>
      <c r="T139" s="317">
        <v>2785683.507750001</v>
      </c>
      <c r="U139" s="162">
        <v>3149033.530500001</v>
      </c>
      <c r="V139" s="318">
        <f t="shared" si="37"/>
        <v>13</v>
      </c>
      <c r="W139" s="274"/>
      <c r="X139" s="274"/>
      <c r="Y139" s="274"/>
      <c r="Z139" s="274">
        <v>6.25</v>
      </c>
      <c r="AA139" s="309">
        <v>942375.1846</v>
      </c>
      <c r="AB139" s="309">
        <v>686421.4308</v>
      </c>
      <c r="AC139" s="309">
        <v>732958.4769</v>
      </c>
      <c r="AD139" s="274"/>
      <c r="AE139" s="274"/>
      <c r="AF139" s="274"/>
      <c r="AG139" s="274"/>
      <c r="AH139" s="274"/>
      <c r="AI139" s="274"/>
      <c r="AJ139" s="274"/>
      <c r="AK139" s="274"/>
      <c r="AL139" s="274"/>
      <c r="AM139" s="274"/>
      <c r="AN139" s="274"/>
      <c r="AO139" s="274"/>
      <c r="AP139" s="274"/>
      <c r="AQ139" s="274"/>
      <c r="AR139" s="274"/>
      <c r="AS139" s="274"/>
      <c r="AT139" s="274"/>
      <c r="AU139" s="274"/>
      <c r="AV139" s="274"/>
      <c r="AW139" s="274"/>
    </row>
    <row r="140" ht="15.75" customHeight="1">
      <c r="A140" s="274"/>
      <c r="B140" s="274"/>
      <c r="C140" s="274"/>
      <c r="D140" s="274"/>
      <c r="E140" s="274"/>
      <c r="F140" s="274"/>
      <c r="G140" s="274"/>
      <c r="H140" s="274"/>
      <c r="I140" s="274"/>
      <c r="J140" s="274"/>
      <c r="K140" s="274"/>
      <c r="L140" s="274"/>
      <c r="M140" s="274"/>
      <c r="N140" s="274"/>
      <c r="O140" s="274"/>
      <c r="P140" s="274"/>
      <c r="Q140" s="274"/>
      <c r="R140" s="316"/>
      <c r="S140" s="50" t="s">
        <v>3487</v>
      </c>
      <c r="T140" s="317">
        <v>4392677.6532639</v>
      </c>
      <c r="U140" s="162">
        <v>4970661.555009151</v>
      </c>
      <c r="V140" s="318">
        <f t="shared" si="37"/>
        <v>13.2</v>
      </c>
      <c r="W140" s="274"/>
      <c r="X140" s="274"/>
      <c r="Y140" s="274"/>
      <c r="Z140" s="274">
        <v>6.328</v>
      </c>
      <c r="AA140" s="309">
        <v>942375.1846</v>
      </c>
      <c r="AB140" s="309">
        <v>686421.4308</v>
      </c>
      <c r="AC140" s="309">
        <v>732958.4769</v>
      </c>
      <c r="AD140" s="274"/>
      <c r="AE140" s="274"/>
      <c r="AF140" s="274"/>
      <c r="AG140" s="274"/>
      <c r="AH140" s="274"/>
      <c r="AI140" s="274"/>
      <c r="AJ140" s="274"/>
      <c r="AK140" s="274"/>
      <c r="AL140" s="274"/>
      <c r="AM140" s="274"/>
      <c r="AN140" s="274"/>
      <c r="AO140" s="274"/>
      <c r="AP140" s="274"/>
      <c r="AQ140" s="274"/>
      <c r="AR140" s="274"/>
      <c r="AS140" s="274"/>
      <c r="AT140" s="274"/>
      <c r="AU140" s="274"/>
      <c r="AV140" s="274"/>
      <c r="AW140" s="274"/>
    </row>
    <row r="141" ht="15.75" customHeight="1">
      <c r="A141" s="274"/>
      <c r="B141" s="274"/>
      <c r="C141" s="274"/>
      <c r="D141" s="274"/>
      <c r="E141" s="274"/>
      <c r="F141" s="274"/>
      <c r="G141" s="274"/>
      <c r="H141" s="274"/>
      <c r="I141" s="274"/>
      <c r="J141" s="274"/>
      <c r="K141" s="274"/>
      <c r="L141" s="274"/>
      <c r="M141" s="274"/>
      <c r="N141" s="274"/>
      <c r="O141" s="274"/>
      <c r="P141" s="274"/>
      <c r="Q141" s="274"/>
      <c r="R141" s="316"/>
      <c r="S141" s="50" t="s">
        <v>3488</v>
      </c>
      <c r="T141" s="317">
        <v>4787461.745352002</v>
      </c>
      <c r="U141" s="162">
        <v>5417390.922372002</v>
      </c>
      <c r="V141" s="318">
        <f t="shared" si="37"/>
        <v>13.2</v>
      </c>
      <c r="W141" s="274"/>
      <c r="X141" s="274"/>
      <c r="Y141" s="274"/>
      <c r="Z141" s="274">
        <v>6.375</v>
      </c>
      <c r="AA141" s="309">
        <v>942375.1846</v>
      </c>
      <c r="AB141" s="309">
        <v>686421.4308</v>
      </c>
      <c r="AC141" s="309">
        <v>732958.4769</v>
      </c>
      <c r="AD141" s="274"/>
      <c r="AE141" s="274"/>
      <c r="AF141" s="274"/>
      <c r="AG141" s="274"/>
      <c r="AH141" s="274"/>
      <c r="AI141" s="274"/>
      <c r="AJ141" s="274"/>
      <c r="AK141" s="274"/>
      <c r="AL141" s="274"/>
      <c r="AM141" s="274"/>
      <c r="AN141" s="274"/>
      <c r="AO141" s="274"/>
      <c r="AP141" s="274"/>
      <c r="AQ141" s="274"/>
      <c r="AR141" s="274"/>
      <c r="AS141" s="274"/>
      <c r="AT141" s="274"/>
      <c r="AU141" s="274"/>
      <c r="AV141" s="274"/>
      <c r="AW141" s="274"/>
    </row>
    <row r="142" ht="15.75" customHeight="1">
      <c r="A142" s="274"/>
      <c r="B142" s="274"/>
      <c r="C142" s="274"/>
      <c r="D142" s="274"/>
      <c r="E142" s="274"/>
      <c r="F142" s="274"/>
      <c r="G142" s="274"/>
      <c r="H142" s="274"/>
      <c r="I142" s="274"/>
      <c r="J142" s="274"/>
      <c r="K142" s="274"/>
      <c r="L142" s="274"/>
      <c r="M142" s="274"/>
      <c r="N142" s="274"/>
      <c r="O142" s="274"/>
      <c r="P142" s="274"/>
      <c r="Q142" s="274"/>
      <c r="R142" s="316"/>
      <c r="S142" s="50" t="s">
        <v>3489</v>
      </c>
      <c r="T142" s="317">
        <v>5687435.626844401</v>
      </c>
      <c r="U142" s="162">
        <v>6440184.4598091</v>
      </c>
      <c r="V142" s="318">
        <f t="shared" si="37"/>
        <v>13.2</v>
      </c>
      <c r="W142" s="274"/>
      <c r="X142" s="274"/>
      <c r="Y142" s="274"/>
      <c r="Z142" s="274">
        <v>6.437</v>
      </c>
      <c r="AA142" s="309">
        <v>942375.1846</v>
      </c>
      <c r="AB142" s="309">
        <v>686421.4308</v>
      </c>
      <c r="AC142" s="309">
        <v>732958.4769</v>
      </c>
      <c r="AD142" s="274"/>
      <c r="AE142" s="274"/>
      <c r="AF142" s="274"/>
      <c r="AG142" s="274"/>
      <c r="AH142" s="274"/>
      <c r="AI142" s="274"/>
      <c r="AJ142" s="274"/>
      <c r="AK142" s="274"/>
      <c r="AL142" s="274"/>
      <c r="AM142" s="274"/>
      <c r="AN142" s="274"/>
      <c r="AO142" s="274"/>
      <c r="AP142" s="274"/>
      <c r="AQ142" s="274"/>
      <c r="AR142" s="274"/>
      <c r="AS142" s="274"/>
      <c r="AT142" s="274"/>
      <c r="AU142" s="274"/>
      <c r="AV142" s="274"/>
      <c r="AW142" s="274"/>
    </row>
    <row r="143" ht="15.75" customHeight="1">
      <c r="A143" s="274"/>
      <c r="B143" s="274"/>
      <c r="C143" s="274"/>
      <c r="D143" s="274"/>
      <c r="E143" s="274"/>
      <c r="F143" s="274"/>
      <c r="G143" s="274"/>
      <c r="H143" s="274"/>
      <c r="I143" s="274"/>
      <c r="J143" s="274"/>
      <c r="K143" s="274"/>
      <c r="L143" s="274"/>
      <c r="M143" s="274"/>
      <c r="N143" s="274"/>
      <c r="O143" s="274"/>
      <c r="P143" s="274"/>
      <c r="Q143" s="274"/>
      <c r="R143" s="316"/>
      <c r="S143" s="50" t="s">
        <v>3490</v>
      </c>
      <c r="T143" s="317">
        <v>6203679.783742585</v>
      </c>
      <c r="U143" s="162">
        <v>7024755.049237927</v>
      </c>
      <c r="V143" s="318">
        <f t="shared" si="37"/>
        <v>13.2</v>
      </c>
      <c r="W143" s="162"/>
      <c r="X143" s="274"/>
      <c r="Y143" s="274"/>
      <c r="Z143" s="274">
        <v>6.5</v>
      </c>
      <c r="AA143" s="309">
        <v>942375.1846</v>
      </c>
      <c r="AB143" s="309">
        <v>686421.4308</v>
      </c>
      <c r="AC143" s="309">
        <v>779495.5231</v>
      </c>
      <c r="AD143" s="274"/>
      <c r="AE143" s="274"/>
      <c r="AF143" s="274"/>
      <c r="AG143" s="274"/>
      <c r="AH143" s="274"/>
      <c r="AI143" s="274"/>
      <c r="AJ143" s="274"/>
      <c r="AK143" s="274"/>
      <c r="AL143" s="274"/>
      <c r="AM143" s="274"/>
      <c r="AN143" s="274"/>
      <c r="AO143" s="274"/>
      <c r="AP143" s="274"/>
      <c r="AQ143" s="274"/>
      <c r="AR143" s="274"/>
      <c r="AS143" s="274"/>
      <c r="AT143" s="274"/>
      <c r="AU143" s="274"/>
      <c r="AV143" s="274"/>
      <c r="AW143" s="274"/>
    </row>
    <row r="144" ht="15.75" customHeight="1">
      <c r="A144" s="274"/>
      <c r="B144" s="274"/>
      <c r="C144" s="274"/>
      <c r="D144" s="274"/>
      <c r="E144" s="274"/>
      <c r="F144" s="274"/>
      <c r="G144" s="274"/>
      <c r="H144" s="274"/>
      <c r="I144" s="274"/>
      <c r="J144" s="274"/>
      <c r="K144" s="274"/>
      <c r="L144" s="274"/>
      <c r="M144" s="274"/>
      <c r="N144" s="274"/>
      <c r="O144" s="274"/>
      <c r="P144" s="274"/>
      <c r="Q144" s="274"/>
      <c r="R144" s="316"/>
      <c r="S144" s="50" t="s">
        <v>3491</v>
      </c>
      <c r="T144" s="317">
        <v>3331322.460180001</v>
      </c>
      <c r="U144" s="162">
        <v>3785593.704750001</v>
      </c>
      <c r="V144" s="318">
        <f t="shared" si="37"/>
        <v>13.6</v>
      </c>
      <c r="W144" s="274"/>
      <c r="X144" s="274"/>
      <c r="Y144" s="274"/>
      <c r="Z144" s="274">
        <v>6.562</v>
      </c>
      <c r="AA144" s="309">
        <v>942375.1846</v>
      </c>
      <c r="AB144" s="309">
        <v>686421.4308</v>
      </c>
      <c r="AC144" s="309">
        <v>779495.5231</v>
      </c>
      <c r="AD144" s="274"/>
      <c r="AE144" s="274"/>
      <c r="AF144" s="274"/>
      <c r="AG144" s="274"/>
      <c r="AH144" s="274"/>
      <c r="AI144" s="274"/>
      <c r="AJ144" s="274"/>
      <c r="AK144" s="274"/>
      <c r="AL144" s="274"/>
      <c r="AM144" s="274"/>
      <c r="AN144" s="274"/>
      <c r="AO144" s="274"/>
      <c r="AP144" s="274"/>
      <c r="AQ144" s="274"/>
      <c r="AR144" s="274"/>
      <c r="AS144" s="274"/>
      <c r="AT144" s="274"/>
      <c r="AU144" s="274"/>
      <c r="AV144" s="274"/>
      <c r="AW144" s="274"/>
    </row>
    <row r="145" ht="15.75" customHeight="1">
      <c r="A145" s="274"/>
      <c r="B145" s="274"/>
      <c r="C145" s="274"/>
      <c r="D145" s="274"/>
      <c r="E145" s="274"/>
      <c r="F145" s="274"/>
      <c r="G145" s="274"/>
      <c r="H145" s="274"/>
      <c r="I145" s="274"/>
      <c r="J145" s="274"/>
      <c r="K145" s="274"/>
      <c r="L145" s="274"/>
      <c r="M145" s="274"/>
      <c r="N145" s="274"/>
      <c r="O145" s="274"/>
      <c r="P145" s="274"/>
      <c r="Q145" s="274"/>
      <c r="R145" s="316"/>
      <c r="S145" s="50" t="s">
        <v>3492</v>
      </c>
      <c r="T145" s="317">
        <v>2455512.9769170005</v>
      </c>
      <c r="U145" s="162">
        <v>2790355.6555875004</v>
      </c>
      <c r="V145" s="318">
        <f t="shared" si="37"/>
        <v>13.6</v>
      </c>
      <c r="W145" s="274"/>
      <c r="X145" s="274"/>
      <c r="Y145" s="274"/>
      <c r="Z145" s="274">
        <v>6.625</v>
      </c>
      <c r="AA145" s="309">
        <v>942375.1846</v>
      </c>
      <c r="AB145" s="309">
        <v>686421.4308</v>
      </c>
      <c r="AC145" s="309">
        <v>826032.5692</v>
      </c>
      <c r="AD145" s="274"/>
      <c r="AE145" s="274"/>
      <c r="AF145" s="274"/>
      <c r="AG145" s="274"/>
      <c r="AH145" s="274"/>
      <c r="AI145" s="274"/>
      <c r="AJ145" s="274"/>
      <c r="AK145" s="274"/>
      <c r="AL145" s="274"/>
      <c r="AM145" s="274"/>
      <c r="AN145" s="274"/>
      <c r="AO145" s="274"/>
      <c r="AP145" s="274"/>
      <c r="AQ145" s="274"/>
      <c r="AR145" s="274"/>
      <c r="AS145" s="274"/>
      <c r="AT145" s="274"/>
      <c r="AU145" s="274"/>
      <c r="AV145" s="274"/>
      <c r="AW145" s="274"/>
    </row>
    <row r="146" ht="15.75" customHeight="1">
      <c r="A146" s="274"/>
      <c r="B146" s="274"/>
      <c r="C146" s="274"/>
      <c r="D146" s="274"/>
      <c r="E146" s="274"/>
      <c r="F146" s="274"/>
      <c r="G146" s="274"/>
      <c r="H146" s="274"/>
      <c r="I146" s="274"/>
      <c r="J146" s="274"/>
      <c r="K146" s="274"/>
      <c r="L146" s="274"/>
      <c r="M146" s="274"/>
      <c r="N146" s="274"/>
      <c r="O146" s="274"/>
      <c r="P146" s="274"/>
      <c r="Q146" s="274"/>
      <c r="R146" s="316"/>
      <c r="S146" s="50" t="s">
        <v>3493</v>
      </c>
      <c r="T146" s="317">
        <v>3010139.2601280008</v>
      </c>
      <c r="U146" s="162">
        <v>3420612.7956000012</v>
      </c>
      <c r="V146" s="318">
        <f t="shared" si="37"/>
        <v>13.6</v>
      </c>
      <c r="W146" s="274"/>
      <c r="X146" s="274"/>
      <c r="Y146" s="274"/>
      <c r="Z146" s="274">
        <v>6.687</v>
      </c>
      <c r="AA146" s="309">
        <v>942375.1846</v>
      </c>
      <c r="AB146" s="309">
        <v>686421.4308</v>
      </c>
      <c r="AC146" s="309">
        <v>826032.5692</v>
      </c>
      <c r="AD146" s="274"/>
      <c r="AE146" s="274"/>
      <c r="AF146" s="274"/>
      <c r="AG146" s="274"/>
      <c r="AH146" s="274"/>
      <c r="AI146" s="274"/>
      <c r="AJ146" s="274"/>
      <c r="AK146" s="274"/>
      <c r="AL146" s="274"/>
      <c r="AM146" s="274"/>
      <c r="AN146" s="274"/>
      <c r="AO146" s="274"/>
      <c r="AP146" s="274"/>
      <c r="AQ146" s="274"/>
      <c r="AR146" s="274"/>
      <c r="AS146" s="274"/>
      <c r="AT146" s="274"/>
      <c r="AU146" s="274"/>
      <c r="AV146" s="274"/>
      <c r="AW146" s="274"/>
    </row>
    <row r="147" ht="15.75" customHeight="1">
      <c r="A147" s="274"/>
      <c r="B147" s="274"/>
      <c r="C147" s="274"/>
      <c r="D147" s="274"/>
      <c r="E147" s="274"/>
      <c r="F147" s="274"/>
      <c r="G147" s="274"/>
      <c r="H147" s="274"/>
      <c r="I147" s="274"/>
      <c r="J147" s="274"/>
      <c r="K147" s="274"/>
      <c r="L147" s="274"/>
      <c r="M147" s="274"/>
      <c r="N147" s="274"/>
      <c r="O147" s="274"/>
      <c r="P147" s="274"/>
      <c r="Q147" s="274"/>
      <c r="R147" s="316"/>
      <c r="S147" s="50" t="s">
        <v>3494</v>
      </c>
      <c r="T147" s="317">
        <v>3446480.0670300005</v>
      </c>
      <c r="U147" s="162">
        <v>3919526.3507400006</v>
      </c>
      <c r="V147" s="318">
        <f t="shared" si="37"/>
        <v>13.7</v>
      </c>
      <c r="W147" s="274"/>
      <c r="X147" s="274"/>
      <c r="Y147" s="274"/>
      <c r="Z147" s="274">
        <v>6.75</v>
      </c>
      <c r="AA147" s="309">
        <v>942375.1846</v>
      </c>
      <c r="AB147" s="309">
        <v>686421.4308</v>
      </c>
      <c r="AC147" s="309">
        <v>826032.5692</v>
      </c>
      <c r="AD147" s="274"/>
      <c r="AE147" s="274"/>
      <c r="AF147" s="274"/>
      <c r="AG147" s="274"/>
      <c r="AH147" s="274"/>
      <c r="AI147" s="274"/>
      <c r="AJ147" s="274"/>
      <c r="AK147" s="274"/>
      <c r="AL147" s="274"/>
      <c r="AM147" s="274"/>
      <c r="AN147" s="274"/>
      <c r="AO147" s="274"/>
      <c r="AP147" s="274"/>
      <c r="AQ147" s="274"/>
      <c r="AR147" s="274"/>
      <c r="AS147" s="274"/>
      <c r="AT147" s="274"/>
      <c r="AU147" s="274"/>
      <c r="AV147" s="274"/>
      <c r="AW147" s="274"/>
    </row>
    <row r="148" ht="15.75" customHeight="1">
      <c r="A148" s="274"/>
      <c r="B148" s="274"/>
      <c r="C148" s="274"/>
      <c r="D148" s="274"/>
      <c r="E148" s="274"/>
      <c r="F148" s="274"/>
      <c r="G148" s="274"/>
      <c r="H148" s="274"/>
      <c r="I148" s="274"/>
      <c r="J148" s="274"/>
      <c r="K148" s="274"/>
      <c r="L148" s="274"/>
      <c r="M148" s="274"/>
      <c r="N148" s="274"/>
      <c r="O148" s="274"/>
      <c r="P148" s="274"/>
      <c r="Q148" s="274"/>
      <c r="R148" s="316"/>
      <c r="S148" s="50" t="s">
        <v>3495</v>
      </c>
      <c r="T148" s="317">
        <v>2400309.0872560805</v>
      </c>
      <c r="U148" s="162">
        <v>2732659.7040943205</v>
      </c>
      <c r="V148" s="318">
        <f t="shared" si="37"/>
        <v>13.8</v>
      </c>
      <c r="W148" s="274"/>
      <c r="X148" s="274"/>
      <c r="Y148" s="274"/>
      <c r="Z148" s="274">
        <v>6.828</v>
      </c>
      <c r="AA148" s="309">
        <v>942375.1846</v>
      </c>
      <c r="AB148" s="309">
        <v>686421.4308</v>
      </c>
      <c r="AC148" s="309">
        <v>826032.5692</v>
      </c>
      <c r="AD148" s="274"/>
      <c r="AE148" s="274"/>
      <c r="AF148" s="274"/>
      <c r="AG148" s="274"/>
      <c r="AH148" s="274"/>
      <c r="AI148" s="274"/>
      <c r="AJ148" s="274"/>
      <c r="AK148" s="274"/>
      <c r="AL148" s="274"/>
      <c r="AM148" s="274"/>
      <c r="AN148" s="274"/>
      <c r="AO148" s="274"/>
      <c r="AP148" s="274"/>
      <c r="AQ148" s="274"/>
      <c r="AR148" s="274"/>
      <c r="AS148" s="274"/>
      <c r="AT148" s="274"/>
      <c r="AU148" s="274"/>
      <c r="AV148" s="274"/>
      <c r="AW148" s="274"/>
    </row>
    <row r="149" ht="15.75" customHeight="1">
      <c r="A149" s="274"/>
      <c r="B149" s="274"/>
      <c r="C149" s="274"/>
      <c r="D149" s="274"/>
      <c r="E149" s="274"/>
      <c r="F149" s="274"/>
      <c r="G149" s="274"/>
      <c r="H149" s="274"/>
      <c r="I149" s="274"/>
      <c r="J149" s="274"/>
      <c r="K149" s="274"/>
      <c r="L149" s="274"/>
      <c r="M149" s="274"/>
      <c r="N149" s="274"/>
      <c r="O149" s="274"/>
      <c r="P149" s="274"/>
      <c r="Q149" s="274"/>
      <c r="R149" s="316"/>
      <c r="S149" s="50" t="s">
        <v>3496</v>
      </c>
      <c r="T149" s="317">
        <v>4799411.727610501</v>
      </c>
      <c r="U149" s="162">
        <v>5469097.084951501</v>
      </c>
      <c r="V149" s="318">
        <f t="shared" si="37"/>
        <v>14</v>
      </c>
      <c r="W149" s="274"/>
      <c r="X149" s="274"/>
      <c r="Y149" s="274"/>
      <c r="Z149" s="274">
        <v>6.875</v>
      </c>
      <c r="AA149" s="309">
        <v>942375.1846</v>
      </c>
      <c r="AB149" s="309">
        <v>686421.4308</v>
      </c>
      <c r="AC149" s="309">
        <v>872569.6154</v>
      </c>
      <c r="AD149" s="274"/>
      <c r="AE149" s="274"/>
      <c r="AF149" s="274"/>
      <c r="AG149" s="274"/>
      <c r="AH149" s="274"/>
      <c r="AI149" s="274"/>
      <c r="AJ149" s="274"/>
      <c r="AK149" s="274"/>
      <c r="AL149" s="274"/>
      <c r="AM149" s="274"/>
      <c r="AN149" s="274"/>
      <c r="AO149" s="274"/>
      <c r="AP149" s="274"/>
      <c r="AQ149" s="274"/>
      <c r="AR149" s="274"/>
      <c r="AS149" s="274"/>
      <c r="AT149" s="274"/>
      <c r="AU149" s="274"/>
      <c r="AV149" s="274"/>
      <c r="AW149" s="274"/>
    </row>
    <row r="150" ht="15.75" customHeight="1">
      <c r="A150" s="274"/>
      <c r="B150" s="274"/>
      <c r="C150" s="274"/>
      <c r="D150" s="274"/>
      <c r="E150" s="274"/>
      <c r="F150" s="274"/>
      <c r="G150" s="274"/>
      <c r="H150" s="274"/>
      <c r="I150" s="274"/>
      <c r="J150" s="274"/>
      <c r="K150" s="274"/>
      <c r="L150" s="274"/>
      <c r="M150" s="274"/>
      <c r="N150" s="274"/>
      <c r="O150" s="274"/>
      <c r="P150" s="274"/>
      <c r="Q150" s="274"/>
      <c r="R150" s="316"/>
      <c r="S150" s="50" t="s">
        <v>3497</v>
      </c>
      <c r="T150" s="317">
        <v>3070835.848080001</v>
      </c>
      <c r="U150" s="162">
        <v>3509526.683520001</v>
      </c>
      <c r="V150" s="318">
        <f t="shared" si="37"/>
        <v>14.3</v>
      </c>
      <c r="W150" s="274"/>
      <c r="X150" s="274"/>
      <c r="Y150" s="274"/>
      <c r="Z150" s="274">
        <v>6.953</v>
      </c>
      <c r="AA150" s="309">
        <v>942375.1846</v>
      </c>
      <c r="AB150" s="309">
        <v>686421.4308</v>
      </c>
      <c r="AC150" s="309">
        <v>872569.6154</v>
      </c>
      <c r="AD150" s="274"/>
      <c r="AE150" s="274"/>
      <c r="AF150" s="274"/>
      <c r="AG150" s="274"/>
      <c r="AH150" s="274"/>
      <c r="AI150" s="274"/>
      <c r="AJ150" s="274"/>
      <c r="AK150" s="274"/>
      <c r="AL150" s="274"/>
      <c r="AM150" s="274"/>
      <c r="AN150" s="274"/>
      <c r="AO150" s="274"/>
      <c r="AP150" s="274"/>
      <c r="AQ150" s="274"/>
      <c r="AR150" s="274"/>
      <c r="AS150" s="274"/>
      <c r="AT150" s="274"/>
      <c r="AU150" s="274"/>
      <c r="AV150" s="274"/>
      <c r="AW150" s="274"/>
    </row>
    <row r="151" ht="15.75" customHeight="1">
      <c r="A151" s="274"/>
      <c r="B151" s="274"/>
      <c r="C151" s="274"/>
      <c r="D151" s="274"/>
      <c r="E151" s="274"/>
      <c r="F151" s="274"/>
      <c r="G151" s="274"/>
      <c r="H151" s="274"/>
      <c r="I151" s="274"/>
      <c r="J151" s="274"/>
      <c r="K151" s="274"/>
      <c r="L151" s="274"/>
      <c r="M151" s="274"/>
      <c r="N151" s="274"/>
      <c r="O151" s="274"/>
      <c r="P151" s="274"/>
      <c r="Q151" s="274"/>
      <c r="R151" s="316"/>
      <c r="S151" s="50" t="s">
        <v>3498</v>
      </c>
      <c r="T151" s="317">
        <v>4452711.979716001</v>
      </c>
      <c r="U151" s="162">
        <v>5088813.691104001</v>
      </c>
      <c r="V151" s="318">
        <f t="shared" si="37"/>
        <v>14.3</v>
      </c>
      <c r="W151" s="274"/>
      <c r="X151" s="274"/>
      <c r="Y151" s="274"/>
      <c r="Z151" s="274">
        <v>7.0</v>
      </c>
      <c r="AA151" s="309">
        <v>942375.1846</v>
      </c>
      <c r="AB151" s="309">
        <v>686421.4308</v>
      </c>
      <c r="AC151" s="309">
        <v>872569.6154</v>
      </c>
      <c r="AD151" s="274"/>
      <c r="AE151" s="274"/>
      <c r="AF151" s="274"/>
      <c r="AG151" s="274"/>
      <c r="AH151" s="274"/>
      <c r="AI151" s="274"/>
      <c r="AJ151" s="274"/>
      <c r="AK151" s="274"/>
      <c r="AL151" s="274"/>
      <c r="AM151" s="274"/>
      <c r="AN151" s="274"/>
      <c r="AO151" s="274"/>
      <c r="AP151" s="274"/>
      <c r="AQ151" s="274"/>
      <c r="AR151" s="274"/>
      <c r="AS151" s="274"/>
      <c r="AT151" s="274"/>
      <c r="AU151" s="274"/>
      <c r="AV151" s="274"/>
      <c r="AW151" s="274"/>
    </row>
    <row r="152" ht="15.75" customHeight="1">
      <c r="A152" s="274"/>
      <c r="B152" s="274"/>
      <c r="C152" s="274"/>
      <c r="D152" s="274"/>
      <c r="E152" s="274"/>
      <c r="F152" s="274"/>
      <c r="G152" s="274"/>
      <c r="H152" s="274"/>
      <c r="I152" s="274"/>
      <c r="J152" s="274"/>
      <c r="K152" s="274"/>
      <c r="L152" s="274"/>
      <c r="M152" s="274"/>
      <c r="N152" s="274"/>
      <c r="O152" s="274"/>
      <c r="P152" s="274"/>
      <c r="Q152" s="274"/>
      <c r="R152" s="316"/>
      <c r="S152" s="50" t="s">
        <v>3499</v>
      </c>
      <c r="T152" s="317">
        <v>2482160.0583780003</v>
      </c>
      <c r="U152" s="162">
        <v>2836754.3524320005</v>
      </c>
      <c r="V152" s="318">
        <f t="shared" si="37"/>
        <v>14.3</v>
      </c>
      <c r="W152" s="274"/>
      <c r="X152" s="274"/>
      <c r="Y152" s="274"/>
      <c r="Z152" s="274">
        <v>7.062</v>
      </c>
      <c r="AA152" s="309">
        <v>942375.1846</v>
      </c>
      <c r="AB152" s="309">
        <v>686421.4308</v>
      </c>
      <c r="AC152" s="309">
        <v>872569.6154</v>
      </c>
      <c r="AD152" s="274"/>
      <c r="AE152" s="274"/>
      <c r="AF152" s="274"/>
      <c r="AG152" s="274"/>
      <c r="AH152" s="274"/>
      <c r="AI152" s="274"/>
      <c r="AJ152" s="274"/>
      <c r="AK152" s="274"/>
      <c r="AL152" s="274"/>
      <c r="AM152" s="274"/>
      <c r="AN152" s="274"/>
      <c r="AO152" s="274"/>
      <c r="AP152" s="274"/>
      <c r="AQ152" s="274"/>
      <c r="AR152" s="274"/>
      <c r="AS152" s="274"/>
      <c r="AT152" s="274"/>
      <c r="AU152" s="274"/>
      <c r="AV152" s="274"/>
      <c r="AW152" s="274"/>
    </row>
    <row r="153" ht="15.75" customHeight="1">
      <c r="A153" s="274"/>
      <c r="B153" s="274"/>
      <c r="C153" s="274"/>
      <c r="D153" s="274"/>
      <c r="E153" s="274"/>
      <c r="F153" s="274"/>
      <c r="G153" s="274"/>
      <c r="H153" s="274"/>
      <c r="I153" s="274"/>
      <c r="J153" s="274"/>
      <c r="K153" s="274"/>
      <c r="L153" s="274"/>
      <c r="M153" s="274"/>
      <c r="N153" s="274"/>
      <c r="O153" s="274"/>
      <c r="P153" s="274"/>
      <c r="Q153" s="274"/>
      <c r="R153" s="316"/>
      <c r="S153" s="50" t="s">
        <v>3500</v>
      </c>
      <c r="T153" s="317">
        <v>2038917.1908105004</v>
      </c>
      <c r="U153" s="162">
        <v>2330191.0752120004</v>
      </c>
      <c r="V153" s="318">
        <f t="shared" si="37"/>
        <v>14.3</v>
      </c>
      <c r="W153" s="274"/>
      <c r="X153" s="274"/>
      <c r="Y153" s="274"/>
      <c r="Z153" s="274">
        <v>7.125</v>
      </c>
      <c r="AA153" s="309">
        <v>942375.1846</v>
      </c>
      <c r="AB153" s="309">
        <v>686421.4308</v>
      </c>
      <c r="AC153" s="309">
        <v>872569.6154</v>
      </c>
      <c r="AD153" s="274"/>
      <c r="AE153" s="274"/>
      <c r="AF153" s="274"/>
      <c r="AG153" s="274"/>
      <c r="AH153" s="274"/>
      <c r="AI153" s="274"/>
      <c r="AJ153" s="274"/>
      <c r="AK153" s="274"/>
      <c r="AL153" s="274"/>
      <c r="AM153" s="274"/>
      <c r="AN153" s="274"/>
      <c r="AO153" s="274"/>
      <c r="AP153" s="274"/>
      <c r="AQ153" s="274"/>
      <c r="AR153" s="274"/>
      <c r="AS153" s="274"/>
      <c r="AT153" s="274"/>
      <c r="AU153" s="274"/>
      <c r="AV153" s="274"/>
      <c r="AW153" s="274"/>
    </row>
    <row r="154" ht="15.75" customHeight="1">
      <c r="A154" s="274"/>
      <c r="B154" s="274"/>
      <c r="C154" s="274"/>
      <c r="D154" s="274"/>
      <c r="E154" s="274"/>
      <c r="F154" s="274"/>
      <c r="G154" s="274"/>
      <c r="H154" s="274"/>
      <c r="I154" s="274"/>
      <c r="J154" s="274"/>
      <c r="K154" s="274"/>
      <c r="L154" s="274"/>
      <c r="M154" s="274"/>
      <c r="N154" s="274"/>
      <c r="O154" s="274"/>
      <c r="P154" s="274"/>
      <c r="Q154" s="274"/>
      <c r="R154" s="316"/>
      <c r="S154" s="50" t="s">
        <v>3501</v>
      </c>
      <c r="T154" s="317">
        <v>5282152.408962001</v>
      </c>
      <c r="U154" s="162">
        <v>6058939.527927001</v>
      </c>
      <c r="V154" s="318">
        <f t="shared" si="37"/>
        <v>14.7</v>
      </c>
      <c r="W154" s="274"/>
      <c r="X154" s="274"/>
      <c r="Y154" s="274"/>
      <c r="Z154" s="274">
        <v>7.187</v>
      </c>
      <c r="AA154" s="309">
        <v>942375.1846</v>
      </c>
      <c r="AB154" s="309">
        <v>686421.4308</v>
      </c>
      <c r="AC154" s="309">
        <v>872569.6154</v>
      </c>
      <c r="AD154" s="274"/>
      <c r="AE154" s="274"/>
      <c r="AF154" s="274"/>
      <c r="AG154" s="274"/>
      <c r="AH154" s="274"/>
      <c r="AI154" s="274"/>
      <c r="AJ154" s="274"/>
      <c r="AK154" s="274"/>
      <c r="AL154" s="274"/>
      <c r="AM154" s="274"/>
      <c r="AN154" s="274"/>
      <c r="AO154" s="274"/>
      <c r="AP154" s="274"/>
      <c r="AQ154" s="274"/>
      <c r="AR154" s="274"/>
      <c r="AS154" s="274"/>
      <c r="AT154" s="274"/>
      <c r="AU154" s="274"/>
      <c r="AV154" s="274"/>
      <c r="AW154" s="274"/>
    </row>
    <row r="155" ht="15.75" customHeight="1">
      <c r="A155" s="274"/>
      <c r="B155" s="274"/>
      <c r="C155" s="274"/>
      <c r="D155" s="274"/>
      <c r="E155" s="274"/>
      <c r="F155" s="274"/>
      <c r="G155" s="274"/>
      <c r="H155" s="274"/>
      <c r="I155" s="274"/>
      <c r="J155" s="274"/>
      <c r="K155" s="274"/>
      <c r="L155" s="274"/>
      <c r="M155" s="274"/>
      <c r="N155" s="274"/>
      <c r="O155" s="274"/>
      <c r="P155" s="274"/>
      <c r="Q155" s="274"/>
      <c r="R155" s="316"/>
      <c r="S155" s="50" t="s">
        <v>3502</v>
      </c>
      <c r="T155" s="317">
        <v>3967762.3027453134</v>
      </c>
      <c r="U155" s="162">
        <v>4573062.009558901</v>
      </c>
      <c r="V155" s="318">
        <f t="shared" si="37"/>
        <v>15.3</v>
      </c>
      <c r="W155" s="274"/>
      <c r="X155" s="274"/>
      <c r="Y155" s="274"/>
      <c r="Z155" s="274">
        <v>7.25</v>
      </c>
      <c r="AA155" s="309">
        <v>942375.1846</v>
      </c>
      <c r="AB155" s="309">
        <v>686421.4308</v>
      </c>
      <c r="AC155" s="309">
        <v>872569.6154</v>
      </c>
      <c r="AD155" s="274"/>
      <c r="AE155" s="274"/>
      <c r="AF155" s="274"/>
      <c r="AG155" s="274"/>
      <c r="AH155" s="274"/>
      <c r="AI155" s="274"/>
      <c r="AJ155" s="274"/>
      <c r="AK155" s="274"/>
      <c r="AL155" s="274"/>
      <c r="AM155" s="274"/>
      <c r="AN155" s="274"/>
      <c r="AO155" s="274"/>
      <c r="AP155" s="274"/>
      <c r="AQ155" s="274"/>
      <c r="AR155" s="274"/>
      <c r="AS155" s="274"/>
      <c r="AT155" s="274"/>
      <c r="AU155" s="274"/>
      <c r="AV155" s="274"/>
      <c r="AW155" s="274"/>
    </row>
    <row r="156" ht="15.75" customHeight="1">
      <c r="A156" s="274"/>
      <c r="B156" s="274"/>
      <c r="C156" s="274"/>
      <c r="D156" s="274"/>
      <c r="E156" s="274"/>
      <c r="F156" s="274"/>
      <c r="G156" s="274"/>
      <c r="H156" s="274"/>
      <c r="I156" s="274"/>
      <c r="J156" s="274"/>
      <c r="K156" s="274"/>
      <c r="L156" s="274"/>
      <c r="M156" s="274"/>
      <c r="N156" s="274"/>
      <c r="O156" s="274"/>
      <c r="P156" s="274"/>
      <c r="Q156" s="274"/>
      <c r="R156" s="316"/>
      <c r="S156" s="50" t="s">
        <v>3503</v>
      </c>
      <c r="T156" s="317">
        <v>2232512.9798400006</v>
      </c>
      <c r="U156" s="162">
        <v>2585165.638770001</v>
      </c>
      <c r="V156" s="318">
        <f t="shared" si="37"/>
        <v>15.8</v>
      </c>
      <c r="W156" s="274"/>
      <c r="X156" s="274"/>
      <c r="Y156" s="274"/>
      <c r="Z156" s="274">
        <v>7.312</v>
      </c>
      <c r="AA156" s="309">
        <v>942375.1846</v>
      </c>
      <c r="AB156" s="309">
        <v>686421.4308</v>
      </c>
      <c r="AC156" s="309">
        <v>872569.6154</v>
      </c>
      <c r="AD156" s="274"/>
      <c r="AE156" s="274"/>
      <c r="AF156" s="274"/>
      <c r="AG156" s="274"/>
      <c r="AH156" s="274"/>
      <c r="AI156" s="274"/>
      <c r="AJ156" s="274"/>
      <c r="AK156" s="274"/>
      <c r="AL156" s="274"/>
      <c r="AM156" s="274"/>
      <c r="AN156" s="274"/>
      <c r="AO156" s="274"/>
      <c r="AP156" s="274"/>
      <c r="AQ156" s="274"/>
      <c r="AR156" s="274"/>
      <c r="AS156" s="274"/>
      <c r="AT156" s="274"/>
      <c r="AU156" s="274"/>
      <c r="AV156" s="274"/>
      <c r="AW156" s="274"/>
    </row>
    <row r="157" ht="15.75" customHeight="1">
      <c r="A157" s="274"/>
      <c r="B157" s="274"/>
      <c r="C157" s="274"/>
      <c r="D157" s="274"/>
      <c r="E157" s="274"/>
      <c r="F157" s="274"/>
      <c r="G157" s="274"/>
      <c r="H157" s="274"/>
      <c r="I157" s="274"/>
      <c r="J157" s="274"/>
      <c r="K157" s="274"/>
      <c r="L157" s="274"/>
      <c r="M157" s="274"/>
      <c r="N157" s="274"/>
      <c r="O157" s="274"/>
      <c r="P157" s="274"/>
      <c r="Q157" s="274"/>
      <c r="R157" s="316"/>
      <c r="S157" s="50" t="s">
        <v>3504</v>
      </c>
      <c r="T157" s="317">
        <v>5603871.268710002</v>
      </c>
      <c r="U157" s="162">
        <v>6488693.047980002</v>
      </c>
      <c r="V157" s="318">
        <f t="shared" si="37"/>
        <v>15.8</v>
      </c>
      <c r="W157" s="274"/>
      <c r="X157" s="274"/>
      <c r="Y157" s="274"/>
      <c r="Z157" s="274">
        <v>7.375</v>
      </c>
      <c r="AA157" s="309">
        <v>942375.1846</v>
      </c>
      <c r="AB157" s="309">
        <v>686421.4308</v>
      </c>
      <c r="AC157" s="309">
        <v>872569.6154</v>
      </c>
      <c r="AD157" s="274"/>
      <c r="AE157" s="274"/>
      <c r="AF157" s="274"/>
      <c r="AG157" s="274"/>
      <c r="AH157" s="274"/>
      <c r="AI157" s="274"/>
      <c r="AJ157" s="274"/>
      <c r="AK157" s="274"/>
      <c r="AL157" s="274"/>
      <c r="AM157" s="274"/>
      <c r="AN157" s="274"/>
      <c r="AO157" s="274"/>
      <c r="AP157" s="274"/>
      <c r="AQ157" s="274"/>
      <c r="AR157" s="274"/>
      <c r="AS157" s="274"/>
      <c r="AT157" s="274"/>
      <c r="AU157" s="274"/>
      <c r="AV157" s="274"/>
      <c r="AW157" s="274"/>
    </row>
    <row r="158" ht="15.75" customHeight="1">
      <c r="A158" s="274"/>
      <c r="B158" s="274"/>
      <c r="C158" s="274"/>
      <c r="D158" s="274"/>
      <c r="E158" s="274"/>
      <c r="F158" s="274"/>
      <c r="G158" s="274"/>
      <c r="H158" s="274"/>
      <c r="I158" s="274"/>
      <c r="J158" s="274"/>
      <c r="K158" s="274"/>
      <c r="L158" s="274"/>
      <c r="M158" s="274"/>
      <c r="N158" s="274"/>
      <c r="O158" s="274"/>
      <c r="P158" s="274"/>
      <c r="Q158" s="274"/>
      <c r="R158" s="316"/>
      <c r="S158" s="50" t="s">
        <v>3505</v>
      </c>
      <c r="T158" s="317">
        <v>2249908.0663059</v>
      </c>
      <c r="U158" s="162">
        <v>2605156.7083542</v>
      </c>
      <c r="V158" s="318">
        <f t="shared" si="37"/>
        <v>15.8</v>
      </c>
      <c r="W158" s="274"/>
      <c r="X158" s="274"/>
      <c r="Y158" s="274"/>
      <c r="Z158" s="274">
        <v>7.437</v>
      </c>
      <c r="AA158" s="309">
        <v>942375.1846</v>
      </c>
      <c r="AB158" s="309">
        <v>686421.4308</v>
      </c>
      <c r="AC158" s="309">
        <v>872569.6154</v>
      </c>
      <c r="AD158" s="274"/>
      <c r="AE158" s="274"/>
      <c r="AF158" s="274"/>
      <c r="AG158" s="274"/>
      <c r="AH158" s="274"/>
      <c r="AI158" s="274"/>
      <c r="AJ158" s="274"/>
      <c r="AK158" s="274"/>
      <c r="AL158" s="274"/>
      <c r="AM158" s="274"/>
      <c r="AN158" s="274"/>
      <c r="AO158" s="274"/>
      <c r="AP158" s="274"/>
      <c r="AQ158" s="274"/>
      <c r="AR158" s="274"/>
      <c r="AS158" s="274"/>
      <c r="AT158" s="274"/>
      <c r="AU158" s="274"/>
      <c r="AV158" s="274"/>
      <c r="AW158" s="274"/>
    </row>
    <row r="159" ht="15.75" customHeight="1">
      <c r="A159" s="274"/>
      <c r="B159" s="274"/>
      <c r="C159" s="274"/>
      <c r="D159" s="274"/>
      <c r="E159" s="274"/>
      <c r="F159" s="274"/>
      <c r="G159" s="274"/>
      <c r="H159" s="274"/>
      <c r="I159" s="274"/>
      <c r="J159" s="274"/>
      <c r="K159" s="274"/>
      <c r="L159" s="274"/>
      <c r="M159" s="274"/>
      <c r="N159" s="274"/>
      <c r="O159" s="274"/>
      <c r="P159" s="274"/>
      <c r="Q159" s="274"/>
      <c r="R159" s="316"/>
      <c r="S159" s="50" t="s">
        <v>3506</v>
      </c>
      <c r="T159" s="317">
        <v>5435705.14131645</v>
      </c>
      <c r="U159" s="162">
        <v>6305417.963927083</v>
      </c>
      <c r="V159" s="318">
        <f t="shared" si="37"/>
        <v>16</v>
      </c>
      <c r="W159" s="162"/>
      <c r="X159" s="274"/>
      <c r="Y159" s="274"/>
      <c r="Z159" s="274">
        <v>7.515</v>
      </c>
      <c r="AA159" s="309">
        <v>942375.1846</v>
      </c>
      <c r="AB159" s="309">
        <v>686421.4308</v>
      </c>
      <c r="AC159" s="309">
        <v>872569.6154</v>
      </c>
      <c r="AD159" s="274"/>
      <c r="AE159" s="274"/>
      <c r="AF159" s="274"/>
      <c r="AG159" s="274"/>
      <c r="AH159" s="274"/>
      <c r="AI159" s="274"/>
      <c r="AJ159" s="274"/>
      <c r="AK159" s="274"/>
      <c r="AL159" s="274"/>
      <c r="AM159" s="274"/>
      <c r="AN159" s="274"/>
      <c r="AO159" s="274"/>
      <c r="AP159" s="274"/>
      <c r="AQ159" s="274"/>
      <c r="AR159" s="274"/>
      <c r="AS159" s="274"/>
      <c r="AT159" s="274"/>
      <c r="AU159" s="274"/>
      <c r="AV159" s="274"/>
      <c r="AW159" s="274"/>
    </row>
    <row r="160" ht="15.75" customHeight="1">
      <c r="A160" s="274"/>
      <c r="B160" s="274"/>
      <c r="C160" s="274"/>
      <c r="D160" s="274"/>
      <c r="E160" s="274"/>
      <c r="F160" s="274"/>
      <c r="G160" s="274"/>
      <c r="H160" s="274"/>
      <c r="I160" s="274"/>
      <c r="J160" s="274"/>
      <c r="K160" s="274"/>
      <c r="L160" s="274"/>
      <c r="M160" s="274"/>
      <c r="N160" s="274"/>
      <c r="O160" s="274"/>
      <c r="P160" s="274"/>
      <c r="Q160" s="274"/>
      <c r="R160" s="316"/>
      <c r="S160" s="50" t="s">
        <v>3507</v>
      </c>
      <c r="T160" s="317">
        <v>2697148.8086400004</v>
      </c>
      <c r="U160" s="162">
        <v>3146673.6100800005</v>
      </c>
      <c r="V160" s="318">
        <f t="shared" si="37"/>
        <v>16.7</v>
      </c>
      <c r="W160" s="274"/>
      <c r="X160" s="274"/>
      <c r="Y160" s="274"/>
      <c r="Z160" s="274">
        <v>7.562</v>
      </c>
      <c r="AA160" s="309">
        <v>942375.1846</v>
      </c>
      <c r="AB160" s="309">
        <v>686421.4308</v>
      </c>
      <c r="AC160" s="309">
        <v>872569.6154</v>
      </c>
      <c r="AD160" s="274"/>
      <c r="AE160" s="274"/>
      <c r="AF160" s="274"/>
      <c r="AG160" s="274"/>
      <c r="AH160" s="274"/>
      <c r="AI160" s="274"/>
      <c r="AJ160" s="274"/>
      <c r="AK160" s="274"/>
      <c r="AL160" s="274"/>
      <c r="AM160" s="274"/>
      <c r="AN160" s="274"/>
      <c r="AO160" s="274"/>
      <c r="AP160" s="274"/>
      <c r="AQ160" s="274"/>
      <c r="AR160" s="274"/>
      <c r="AS160" s="274"/>
      <c r="AT160" s="274"/>
      <c r="AU160" s="274"/>
      <c r="AV160" s="274"/>
      <c r="AW160" s="274"/>
    </row>
    <row r="161" ht="15.75" customHeight="1">
      <c r="A161" s="274"/>
      <c r="B161" s="274"/>
      <c r="C161" s="274"/>
      <c r="D161" s="274"/>
      <c r="E161" s="274"/>
      <c r="F161" s="274"/>
      <c r="G161" s="274"/>
      <c r="H161" s="274"/>
      <c r="I161" s="274"/>
      <c r="J161" s="274"/>
      <c r="K161" s="274"/>
      <c r="L161" s="274"/>
      <c r="M161" s="274"/>
      <c r="N161" s="274"/>
      <c r="O161" s="274"/>
      <c r="P161" s="274"/>
      <c r="Q161" s="274"/>
      <c r="R161" s="316"/>
      <c r="S161" s="50" t="s">
        <v>3508</v>
      </c>
      <c r="T161" s="317">
        <v>3734609.3928000005</v>
      </c>
      <c r="U161" s="162">
        <v>4357044.2916</v>
      </c>
      <c r="V161" s="318">
        <f t="shared" si="37"/>
        <v>16.7</v>
      </c>
      <c r="W161" s="274"/>
      <c r="X161" s="274"/>
      <c r="Y161" s="274"/>
      <c r="Z161" s="274">
        <v>7.64</v>
      </c>
      <c r="AA161" s="309">
        <v>942375.1846</v>
      </c>
      <c r="AB161" s="309">
        <v>686421.4308</v>
      </c>
      <c r="AC161" s="309">
        <v>872569.6154</v>
      </c>
      <c r="AD161" s="274"/>
      <c r="AE161" s="274"/>
      <c r="AF161" s="274"/>
      <c r="AG161" s="274"/>
      <c r="AH161" s="274"/>
      <c r="AI161" s="274"/>
      <c r="AJ161" s="274"/>
      <c r="AK161" s="274"/>
      <c r="AL161" s="274"/>
      <c r="AM161" s="274"/>
      <c r="AN161" s="274"/>
      <c r="AO161" s="274"/>
      <c r="AP161" s="274"/>
      <c r="AQ161" s="274"/>
      <c r="AR161" s="274"/>
      <c r="AS161" s="274"/>
      <c r="AT161" s="274"/>
      <c r="AU161" s="274"/>
      <c r="AV161" s="274"/>
      <c r="AW161" s="274"/>
    </row>
    <row r="162" ht="15.75" customHeight="1">
      <c r="A162" s="274"/>
      <c r="B162" s="274"/>
      <c r="C162" s="274"/>
      <c r="D162" s="274"/>
      <c r="E162" s="274"/>
      <c r="F162" s="274"/>
      <c r="G162" s="274"/>
      <c r="H162" s="274"/>
      <c r="I162" s="274"/>
      <c r="J162" s="274"/>
      <c r="K162" s="274"/>
      <c r="L162" s="274"/>
      <c r="M162" s="274"/>
      <c r="N162" s="274"/>
      <c r="O162" s="274"/>
      <c r="P162" s="274"/>
      <c r="Q162" s="274"/>
      <c r="R162" s="316"/>
      <c r="S162" s="50" t="s">
        <v>3509</v>
      </c>
      <c r="T162" s="317">
        <v>6152728.248346681</v>
      </c>
      <c r="U162" s="162">
        <v>7202190.257262</v>
      </c>
      <c r="V162" s="318">
        <f t="shared" si="37"/>
        <v>17.1</v>
      </c>
      <c r="W162" s="274"/>
      <c r="X162" s="274"/>
      <c r="Y162" s="274"/>
      <c r="Z162" s="274">
        <v>7.687</v>
      </c>
      <c r="AA162" s="309">
        <v>942375.1846</v>
      </c>
      <c r="AB162" s="309">
        <v>686421.4308</v>
      </c>
      <c r="AC162" s="309">
        <v>930740.9231</v>
      </c>
      <c r="AD162" s="274"/>
      <c r="AE162" s="274"/>
      <c r="AF162" s="274"/>
      <c r="AG162" s="274"/>
      <c r="AH162" s="274"/>
      <c r="AI162" s="274"/>
      <c r="AJ162" s="274"/>
      <c r="AK162" s="274"/>
      <c r="AL162" s="274"/>
      <c r="AM162" s="274"/>
      <c r="AN162" s="274"/>
      <c r="AO162" s="274"/>
      <c r="AP162" s="274"/>
      <c r="AQ162" s="274"/>
      <c r="AR162" s="274"/>
      <c r="AS162" s="274"/>
      <c r="AT162" s="274"/>
      <c r="AU162" s="274"/>
      <c r="AV162" s="274"/>
      <c r="AW162" s="274"/>
    </row>
    <row r="163" ht="15.75" customHeight="1">
      <c r="A163" s="274"/>
      <c r="B163" s="274"/>
      <c r="C163" s="274"/>
      <c r="D163" s="274"/>
      <c r="E163" s="274"/>
      <c r="F163" s="274"/>
      <c r="G163" s="274"/>
      <c r="H163" s="274"/>
      <c r="I163" s="274"/>
      <c r="J163" s="274"/>
      <c r="K163" s="274"/>
      <c r="L163" s="274"/>
      <c r="M163" s="274"/>
      <c r="N163" s="274"/>
      <c r="O163" s="274"/>
      <c r="P163" s="274"/>
      <c r="Q163" s="274"/>
      <c r="R163" s="316"/>
      <c r="S163" s="50" t="s">
        <v>3510</v>
      </c>
      <c r="T163" s="317">
        <v>5822748.984117782</v>
      </c>
      <c r="U163" s="162">
        <v>6837165.788541662</v>
      </c>
      <c r="V163" s="318">
        <f t="shared" si="37"/>
        <v>17.4</v>
      </c>
      <c r="W163" s="274"/>
      <c r="X163" s="274"/>
      <c r="Y163" s="274"/>
      <c r="Z163" s="274">
        <v>7.75</v>
      </c>
      <c r="AA163" s="309">
        <v>942375.1846</v>
      </c>
      <c r="AB163" s="309">
        <v>686421.4308</v>
      </c>
      <c r="AC163" s="309">
        <v>930740.9231</v>
      </c>
      <c r="AD163" s="274"/>
      <c r="AE163" s="274"/>
      <c r="AF163" s="274"/>
      <c r="AG163" s="274"/>
      <c r="AH163" s="274"/>
      <c r="AI163" s="274"/>
      <c r="AJ163" s="274"/>
      <c r="AK163" s="274"/>
      <c r="AL163" s="274"/>
      <c r="AM163" s="274"/>
      <c r="AN163" s="274"/>
      <c r="AO163" s="274"/>
      <c r="AP163" s="274"/>
      <c r="AQ163" s="274"/>
      <c r="AR163" s="274"/>
      <c r="AS163" s="274"/>
      <c r="AT163" s="274"/>
      <c r="AU163" s="274"/>
      <c r="AV163" s="274"/>
      <c r="AW163" s="274"/>
    </row>
    <row r="164" ht="15.75" customHeight="1">
      <c r="A164" s="274"/>
      <c r="B164" s="274"/>
      <c r="C164" s="274"/>
      <c r="D164" s="274"/>
      <c r="E164" s="274"/>
      <c r="F164" s="274"/>
      <c r="G164" s="274"/>
      <c r="H164" s="274"/>
      <c r="I164" s="274"/>
      <c r="J164" s="274"/>
      <c r="K164" s="274"/>
      <c r="L164" s="274"/>
      <c r="M164" s="274"/>
      <c r="N164" s="274"/>
      <c r="O164" s="274"/>
      <c r="P164" s="274"/>
      <c r="Q164" s="274"/>
      <c r="R164" s="316"/>
      <c r="S164" s="50" t="s">
        <v>911</v>
      </c>
      <c r="T164" s="317">
        <v>2116740.2770800004</v>
      </c>
      <c r="U164" s="162">
        <v>2484869.0209200005</v>
      </c>
      <c r="V164" s="318">
        <f t="shared" si="37"/>
        <v>17.4</v>
      </c>
      <c r="W164" s="274"/>
      <c r="X164" s="274"/>
      <c r="Y164" s="274"/>
      <c r="Z164" s="274">
        <v>7.812</v>
      </c>
      <c r="AA164" s="309">
        <v>942375.1846</v>
      </c>
      <c r="AB164" s="309">
        <v>686421.4308</v>
      </c>
      <c r="AC164" s="309">
        <v>930740.9231</v>
      </c>
      <c r="AD164" s="274"/>
      <c r="AE164" s="274"/>
      <c r="AF164" s="274"/>
      <c r="AG164" s="274"/>
      <c r="AH164" s="274"/>
      <c r="AI164" s="274"/>
      <c r="AJ164" s="274"/>
      <c r="AK164" s="274"/>
      <c r="AL164" s="274"/>
      <c r="AM164" s="274"/>
      <c r="AN164" s="274"/>
      <c r="AO164" s="274"/>
      <c r="AP164" s="274"/>
      <c r="AQ164" s="274"/>
      <c r="AR164" s="274"/>
      <c r="AS164" s="274"/>
      <c r="AT164" s="274"/>
      <c r="AU164" s="274"/>
      <c r="AV164" s="274"/>
      <c r="AW164" s="274"/>
    </row>
    <row r="165" ht="15.75" customHeight="1">
      <c r="A165" s="274"/>
      <c r="B165" s="274"/>
      <c r="C165" s="274"/>
      <c r="D165" s="274"/>
      <c r="E165" s="274"/>
      <c r="F165" s="274"/>
      <c r="G165" s="274"/>
      <c r="H165" s="274"/>
      <c r="I165" s="274"/>
      <c r="J165" s="274"/>
      <c r="K165" s="274"/>
      <c r="L165" s="274"/>
      <c r="M165" s="274"/>
      <c r="N165" s="274"/>
      <c r="O165" s="274"/>
      <c r="P165" s="274"/>
      <c r="Q165" s="274"/>
      <c r="R165" s="316"/>
      <c r="S165" s="50" t="s">
        <v>3511</v>
      </c>
      <c r="T165" s="317">
        <v>4876263.572380201</v>
      </c>
      <c r="U165" s="162">
        <v>5751490.367422801</v>
      </c>
      <c r="V165" s="318">
        <f t="shared" si="37"/>
        <v>17.9</v>
      </c>
      <c r="W165" s="274"/>
      <c r="X165" s="274"/>
      <c r="Y165" s="274"/>
      <c r="Z165" s="274">
        <v>7.875</v>
      </c>
      <c r="AA165" s="309">
        <v>942375.1846</v>
      </c>
      <c r="AB165" s="309">
        <v>686421.4308</v>
      </c>
      <c r="AC165" s="309">
        <v>977277.9692</v>
      </c>
      <c r="AD165" s="274"/>
      <c r="AE165" s="274"/>
      <c r="AF165" s="274"/>
      <c r="AG165" s="274"/>
      <c r="AH165" s="274"/>
      <c r="AI165" s="274"/>
      <c r="AJ165" s="274"/>
      <c r="AK165" s="274"/>
      <c r="AL165" s="274"/>
      <c r="AM165" s="274"/>
      <c r="AN165" s="274"/>
      <c r="AO165" s="274"/>
      <c r="AP165" s="274"/>
      <c r="AQ165" s="274"/>
      <c r="AR165" s="274"/>
      <c r="AS165" s="274"/>
      <c r="AT165" s="274"/>
      <c r="AU165" s="274"/>
      <c r="AV165" s="274"/>
      <c r="AW165" s="274"/>
    </row>
    <row r="166" ht="15.75" customHeight="1">
      <c r="A166" s="320"/>
      <c r="B166" s="274"/>
      <c r="C166" s="274"/>
      <c r="D166" s="274"/>
      <c r="E166" s="274"/>
      <c r="F166" s="274"/>
      <c r="G166" s="274"/>
      <c r="H166" s="274"/>
      <c r="I166" s="274"/>
      <c r="J166" s="274"/>
      <c r="K166" s="274"/>
      <c r="L166" s="274"/>
      <c r="M166" s="274"/>
      <c r="N166" s="274"/>
      <c r="O166" s="274"/>
      <c r="P166" s="274"/>
      <c r="Q166" s="274"/>
      <c r="R166" s="316"/>
      <c r="S166" s="50" t="s">
        <v>3512</v>
      </c>
      <c r="T166" s="317">
        <v>3929589.6920280005</v>
      </c>
      <c r="U166" s="162">
        <v>4644060.545124002</v>
      </c>
      <c r="V166" s="318">
        <f t="shared" si="37"/>
        <v>18.2</v>
      </c>
      <c r="W166" s="274"/>
      <c r="X166" s="274"/>
      <c r="Y166" s="274"/>
      <c r="Z166" s="274">
        <v>7.937</v>
      </c>
      <c r="AA166" s="309">
        <v>942375.1846</v>
      </c>
      <c r="AB166" s="309">
        <v>686421.4308</v>
      </c>
      <c r="AC166" s="309">
        <v>977277.9692</v>
      </c>
      <c r="AD166" s="274"/>
      <c r="AE166" s="274"/>
      <c r="AF166" s="274"/>
      <c r="AG166" s="274"/>
      <c r="AH166" s="274"/>
      <c r="AI166" s="274"/>
      <c r="AJ166" s="274"/>
      <c r="AK166" s="274"/>
      <c r="AL166" s="274"/>
      <c r="AM166" s="274"/>
      <c r="AN166" s="274"/>
      <c r="AO166" s="274"/>
      <c r="AP166" s="274"/>
      <c r="AQ166" s="274"/>
      <c r="AR166" s="274"/>
      <c r="AS166" s="274"/>
      <c r="AT166" s="274"/>
      <c r="AU166" s="274"/>
      <c r="AV166" s="274"/>
      <c r="AW166" s="274"/>
    </row>
    <row r="167" ht="15.75" customHeight="1">
      <c r="A167" s="320"/>
      <c r="B167" s="274"/>
      <c r="C167" s="274"/>
      <c r="D167" s="274"/>
      <c r="E167" s="274"/>
      <c r="F167" s="274"/>
      <c r="G167" s="274"/>
      <c r="H167" s="274"/>
      <c r="I167" s="274"/>
      <c r="J167" s="274"/>
      <c r="K167" s="274"/>
      <c r="L167" s="274"/>
      <c r="M167" s="274"/>
      <c r="N167" s="274"/>
      <c r="O167" s="274"/>
      <c r="P167" s="274"/>
      <c r="Q167" s="274"/>
      <c r="R167" s="316"/>
      <c r="S167" s="50" t="s">
        <v>3513</v>
      </c>
      <c r="T167" s="317">
        <v>7873110.649539475</v>
      </c>
      <c r="U167" s="162">
        <v>9355107.948276319</v>
      </c>
      <c r="V167" s="318">
        <f t="shared" si="37"/>
        <v>18.8</v>
      </c>
      <c r="W167" s="274"/>
      <c r="X167" s="274"/>
      <c r="Y167" s="274"/>
      <c r="Z167" s="274">
        <v>8.0</v>
      </c>
      <c r="AA167" s="309">
        <v>942375.1846</v>
      </c>
      <c r="AB167" s="309">
        <v>686421.4308</v>
      </c>
      <c r="AC167" s="309">
        <v>977277.9692</v>
      </c>
      <c r="AD167" s="274"/>
      <c r="AE167" s="274"/>
      <c r="AF167" s="274"/>
      <c r="AG167" s="274"/>
      <c r="AH167" s="274"/>
      <c r="AI167" s="274"/>
      <c r="AJ167" s="274"/>
      <c r="AK167" s="274"/>
      <c r="AL167" s="274"/>
      <c r="AM167" s="274"/>
      <c r="AN167" s="274"/>
      <c r="AO167" s="274"/>
      <c r="AP167" s="274"/>
      <c r="AQ167" s="274"/>
      <c r="AR167" s="274"/>
      <c r="AS167" s="274"/>
      <c r="AT167" s="274"/>
      <c r="AU167" s="274"/>
      <c r="AV167" s="274"/>
      <c r="AW167" s="274"/>
    </row>
    <row r="168" ht="15.75" customHeight="1">
      <c r="A168" s="274"/>
      <c r="B168" s="274"/>
      <c r="C168" s="274"/>
      <c r="D168" s="274"/>
      <c r="E168" s="274"/>
      <c r="F168" s="274"/>
      <c r="G168" s="274"/>
      <c r="H168" s="274"/>
      <c r="I168" s="274"/>
      <c r="J168" s="274"/>
      <c r="K168" s="274"/>
      <c r="L168" s="274"/>
      <c r="M168" s="274"/>
      <c r="N168" s="274"/>
      <c r="O168" s="274"/>
      <c r="P168" s="274"/>
      <c r="Q168" s="274"/>
      <c r="R168" s="316"/>
      <c r="S168" s="50" t="s">
        <v>3514</v>
      </c>
      <c r="T168" s="317">
        <v>5782251.930097501</v>
      </c>
      <c r="U168" s="162">
        <v>6898125.109590001</v>
      </c>
      <c r="V168" s="318">
        <f t="shared" si="37"/>
        <v>19.3</v>
      </c>
      <c r="W168" s="274"/>
      <c r="X168" s="274"/>
      <c r="Y168" s="274"/>
      <c r="Z168" s="274">
        <v>8.062</v>
      </c>
      <c r="AA168" s="309">
        <v>942375.1846</v>
      </c>
      <c r="AB168" s="309">
        <v>826032.5692</v>
      </c>
      <c r="AC168" s="309">
        <v>1023815.015</v>
      </c>
      <c r="AD168" s="274"/>
      <c r="AE168" s="274"/>
      <c r="AF168" s="274"/>
      <c r="AG168" s="274"/>
      <c r="AH168" s="274"/>
      <c r="AI168" s="274"/>
      <c r="AJ168" s="274"/>
      <c r="AK168" s="274"/>
      <c r="AL168" s="274"/>
      <c r="AM168" s="274"/>
      <c r="AN168" s="274"/>
      <c r="AO168" s="274"/>
      <c r="AP168" s="274"/>
      <c r="AQ168" s="274"/>
      <c r="AR168" s="274"/>
      <c r="AS168" s="274"/>
      <c r="AT168" s="274"/>
      <c r="AU168" s="274"/>
      <c r="AV168" s="274"/>
      <c r="AW168" s="274"/>
    </row>
    <row r="169" ht="15.75" customHeight="1">
      <c r="A169" s="274"/>
      <c r="B169" s="274"/>
      <c r="C169" s="274"/>
      <c r="D169" s="274"/>
      <c r="E169" s="274"/>
      <c r="F169" s="274"/>
      <c r="G169" s="274"/>
      <c r="H169" s="274"/>
      <c r="I169" s="274"/>
      <c r="J169" s="274"/>
      <c r="K169" s="274"/>
      <c r="L169" s="274"/>
      <c r="M169" s="274"/>
      <c r="N169" s="274"/>
      <c r="O169" s="274"/>
      <c r="P169" s="274"/>
      <c r="Q169" s="274"/>
      <c r="R169" s="316"/>
      <c r="S169" s="50" t="s">
        <v>3515</v>
      </c>
      <c r="T169" s="317">
        <v>3523917.016620001</v>
      </c>
      <c r="U169" s="162">
        <v>4283257.917510001</v>
      </c>
      <c r="V169" s="318">
        <f t="shared" si="37"/>
        <v>21.5</v>
      </c>
      <c r="W169" s="274"/>
      <c r="X169" s="274"/>
      <c r="Y169" s="274"/>
      <c r="Z169" s="274">
        <v>8.125</v>
      </c>
      <c r="AA169" s="309">
        <v>942375.1846</v>
      </c>
      <c r="AB169" s="309">
        <v>884203.8769</v>
      </c>
      <c r="AC169" s="309">
        <v>1023815.015</v>
      </c>
      <c r="AD169" s="274"/>
      <c r="AE169" s="274"/>
      <c r="AF169" s="274"/>
      <c r="AG169" s="274"/>
      <c r="AH169" s="274"/>
      <c r="AI169" s="274"/>
      <c r="AJ169" s="274"/>
      <c r="AK169" s="274"/>
      <c r="AL169" s="274"/>
      <c r="AM169" s="274"/>
      <c r="AN169" s="274"/>
      <c r="AO169" s="274"/>
      <c r="AP169" s="274"/>
      <c r="AQ169" s="274"/>
      <c r="AR169" s="274"/>
      <c r="AS169" s="274"/>
      <c r="AT169" s="274"/>
      <c r="AU169" s="274"/>
      <c r="AV169" s="274"/>
      <c r="AW169" s="274"/>
    </row>
    <row r="170" ht="15.75" customHeight="1">
      <c r="A170" s="274"/>
      <c r="B170" s="274"/>
      <c r="C170" s="274"/>
      <c r="D170" s="274"/>
      <c r="E170" s="274"/>
      <c r="F170" s="274"/>
      <c r="G170" s="274"/>
      <c r="H170" s="274"/>
      <c r="I170" s="274"/>
      <c r="J170" s="274"/>
      <c r="K170" s="274"/>
      <c r="L170" s="274"/>
      <c r="M170" s="274"/>
      <c r="N170" s="274"/>
      <c r="O170" s="274"/>
      <c r="P170" s="274"/>
      <c r="Q170" s="274"/>
      <c r="R170" s="316"/>
      <c r="S170" s="50" t="s">
        <v>3516</v>
      </c>
      <c r="T170" s="317">
        <v>2659457.205405</v>
      </c>
      <c r="U170" s="162">
        <v>3292661.30193</v>
      </c>
      <c r="V170" s="318">
        <f t="shared" si="37"/>
        <v>23.8</v>
      </c>
      <c r="W170" s="274"/>
      <c r="X170" s="274"/>
      <c r="Y170" s="274"/>
      <c r="Z170" s="274">
        <v>8.203</v>
      </c>
      <c r="AA170" s="309">
        <v>942375.1846</v>
      </c>
      <c r="AB170" s="309">
        <v>884203.8769</v>
      </c>
      <c r="AC170" s="309">
        <v>1023815.015</v>
      </c>
      <c r="AD170" s="274"/>
      <c r="AE170" s="274"/>
      <c r="AF170" s="274"/>
      <c r="AG170" s="274"/>
      <c r="AH170" s="274"/>
      <c r="AI170" s="274"/>
      <c r="AJ170" s="274"/>
      <c r="AK170" s="274"/>
      <c r="AL170" s="274"/>
      <c r="AM170" s="274"/>
      <c r="AN170" s="274"/>
      <c r="AO170" s="274"/>
      <c r="AP170" s="274"/>
      <c r="AQ170" s="274"/>
      <c r="AR170" s="274"/>
      <c r="AS170" s="274"/>
      <c r="AT170" s="274"/>
      <c r="AU170" s="274"/>
      <c r="AV170" s="274"/>
      <c r="AW170" s="274"/>
    </row>
    <row r="171" ht="15.75" customHeight="1">
      <c r="A171" s="274"/>
      <c r="B171" s="274"/>
      <c r="C171" s="274"/>
      <c r="D171" s="274"/>
      <c r="E171" s="274"/>
      <c r="F171" s="274"/>
      <c r="G171" s="274"/>
      <c r="H171" s="274"/>
      <c r="I171" s="274"/>
      <c r="J171" s="274"/>
      <c r="K171" s="274"/>
      <c r="L171" s="274"/>
      <c r="M171" s="274"/>
      <c r="N171" s="274"/>
      <c r="O171" s="274"/>
      <c r="P171" s="274"/>
      <c r="Q171" s="274"/>
      <c r="R171" s="316"/>
      <c r="S171" s="50" t="s">
        <v>3517</v>
      </c>
      <c r="T171" s="317">
        <v>6456516.168960001</v>
      </c>
      <c r="U171" s="162">
        <v>8070645.211200002</v>
      </c>
      <c r="V171" s="318">
        <f t="shared" si="37"/>
        <v>25</v>
      </c>
      <c r="W171" s="274"/>
      <c r="X171" s="274"/>
      <c r="Y171" s="274"/>
      <c r="Z171" s="274">
        <v>8.25</v>
      </c>
      <c r="AA171" s="309">
        <v>942375.1846</v>
      </c>
      <c r="AB171" s="309">
        <v>884203.8769</v>
      </c>
      <c r="AC171" s="309">
        <v>1023815.015</v>
      </c>
      <c r="AD171" s="274"/>
      <c r="AE171" s="274"/>
      <c r="AF171" s="274"/>
      <c r="AG171" s="274"/>
      <c r="AH171" s="274"/>
      <c r="AI171" s="274"/>
      <c r="AJ171" s="274"/>
      <c r="AK171" s="274"/>
      <c r="AL171" s="274"/>
      <c r="AM171" s="274"/>
      <c r="AN171" s="274"/>
      <c r="AO171" s="274"/>
      <c r="AP171" s="274"/>
      <c r="AQ171" s="274"/>
      <c r="AR171" s="274"/>
      <c r="AS171" s="274"/>
      <c r="AT171" s="274"/>
      <c r="AU171" s="274"/>
      <c r="AV171" s="274"/>
      <c r="AW171" s="274"/>
    </row>
    <row r="172" ht="15.75" customHeight="1">
      <c r="A172" s="274"/>
      <c r="B172" s="274"/>
      <c r="C172" s="274"/>
      <c r="D172" s="274"/>
      <c r="E172" s="274"/>
      <c r="F172" s="274"/>
      <c r="G172" s="274"/>
      <c r="H172" s="274"/>
      <c r="I172" s="274"/>
      <c r="J172" s="274"/>
      <c r="K172" s="274"/>
      <c r="L172" s="274"/>
      <c r="M172" s="274"/>
      <c r="N172" s="274"/>
      <c r="O172" s="274"/>
      <c r="P172" s="274"/>
      <c r="Q172" s="274"/>
      <c r="R172" s="316"/>
      <c r="S172" s="50" t="s">
        <v>3518</v>
      </c>
      <c r="T172" s="317">
        <v>4422519.285043861</v>
      </c>
      <c r="U172" s="162">
        <v>5576219.968098781</v>
      </c>
      <c r="V172" s="318">
        <f t="shared" si="37"/>
        <v>26.1</v>
      </c>
      <c r="W172" s="274"/>
      <c r="X172" s="274"/>
      <c r="Y172" s="274"/>
      <c r="Z172" s="274">
        <v>8.312</v>
      </c>
      <c r="AA172" s="309">
        <v>1151791.892</v>
      </c>
      <c r="AB172" s="309">
        <v>884203.8769</v>
      </c>
      <c r="AC172" s="309">
        <v>1023815.015</v>
      </c>
      <c r="AD172" s="274"/>
      <c r="AE172" s="274"/>
      <c r="AF172" s="274"/>
      <c r="AG172" s="274"/>
      <c r="AH172" s="274"/>
      <c r="AI172" s="274"/>
      <c r="AJ172" s="274"/>
      <c r="AK172" s="274"/>
      <c r="AL172" s="274"/>
      <c r="AM172" s="274"/>
      <c r="AN172" s="274"/>
      <c r="AO172" s="274"/>
      <c r="AP172" s="274"/>
      <c r="AQ172" s="274"/>
      <c r="AR172" s="274"/>
      <c r="AS172" s="274"/>
      <c r="AT172" s="274"/>
      <c r="AU172" s="274"/>
      <c r="AV172" s="274"/>
      <c r="AW172" s="274"/>
    </row>
    <row r="173" ht="15.75" customHeight="1">
      <c r="A173" s="274"/>
      <c r="B173" s="274"/>
      <c r="C173" s="274"/>
      <c r="D173" s="274"/>
      <c r="E173" s="274"/>
      <c r="F173" s="274"/>
      <c r="G173" s="274"/>
      <c r="H173" s="274"/>
      <c r="I173" s="274"/>
      <c r="J173" s="274"/>
      <c r="K173" s="274"/>
      <c r="L173" s="274"/>
      <c r="M173" s="274"/>
      <c r="N173" s="274"/>
      <c r="O173" s="274"/>
      <c r="P173" s="274"/>
      <c r="Q173" s="274"/>
      <c r="R173" s="316"/>
      <c r="S173" s="50" t="s">
        <v>3519</v>
      </c>
      <c r="T173" s="317">
        <v>5740235.836283523</v>
      </c>
      <c r="U173" s="162">
        <v>7707423.340136521</v>
      </c>
      <c r="V173" s="318">
        <f t="shared" si="37"/>
        <v>34.3</v>
      </c>
      <c r="W173" s="274"/>
      <c r="X173" s="274"/>
      <c r="Y173" s="274"/>
      <c r="Z173" s="274">
        <v>8.375</v>
      </c>
      <c r="AA173" s="309">
        <v>1151791.892</v>
      </c>
      <c r="AB173" s="309">
        <v>884203.8769</v>
      </c>
      <c r="AC173" s="309">
        <v>1023815.015</v>
      </c>
      <c r="AD173" s="274"/>
      <c r="AE173" s="274"/>
      <c r="AF173" s="274"/>
      <c r="AG173" s="274"/>
      <c r="AH173" s="274"/>
      <c r="AI173" s="274"/>
      <c r="AJ173" s="274"/>
      <c r="AK173" s="274"/>
      <c r="AL173" s="274"/>
      <c r="AM173" s="274"/>
      <c r="AN173" s="274"/>
      <c r="AO173" s="274"/>
      <c r="AP173" s="274"/>
      <c r="AQ173" s="274"/>
      <c r="AR173" s="274"/>
      <c r="AS173" s="274"/>
      <c r="AT173" s="274"/>
      <c r="AU173" s="274"/>
      <c r="AV173" s="274"/>
      <c r="AW173" s="274"/>
    </row>
    <row r="174" ht="15.75" customHeight="1">
      <c r="A174" s="274"/>
      <c r="B174" s="274"/>
      <c r="C174" s="274"/>
      <c r="D174" s="274"/>
      <c r="E174" s="274"/>
      <c r="F174" s="274"/>
      <c r="G174" s="274"/>
      <c r="H174" s="274"/>
      <c r="I174" s="274"/>
      <c r="J174" s="274"/>
      <c r="K174" s="274"/>
      <c r="L174" s="274"/>
      <c r="M174" s="274"/>
      <c r="N174" s="274"/>
      <c r="O174" s="274"/>
      <c r="P174" s="274"/>
      <c r="Q174" s="274"/>
      <c r="R174" s="316"/>
      <c r="S174" s="50" t="s">
        <v>3520</v>
      </c>
      <c r="T174" s="317">
        <v>2716461.5306400005</v>
      </c>
      <c r="U174" s="162">
        <v>3655118.700090001</v>
      </c>
      <c r="V174" s="318">
        <f t="shared" si="37"/>
        <v>34.6</v>
      </c>
      <c r="W174" s="274"/>
      <c r="X174" s="274"/>
      <c r="Y174" s="274"/>
      <c r="Z174" s="274">
        <v>8.437</v>
      </c>
      <c r="AA174" s="309">
        <v>1151791.892</v>
      </c>
      <c r="AB174" s="309">
        <v>884203.8769</v>
      </c>
      <c r="AC174" s="309">
        <v>1023815.015</v>
      </c>
      <c r="AD174" s="274"/>
      <c r="AE174" s="274"/>
      <c r="AF174" s="274"/>
      <c r="AG174" s="274"/>
      <c r="AH174" s="274"/>
      <c r="AI174" s="274"/>
      <c r="AJ174" s="274"/>
      <c r="AK174" s="274"/>
      <c r="AL174" s="274"/>
      <c r="AM174" s="274"/>
      <c r="AN174" s="274"/>
      <c r="AO174" s="274"/>
      <c r="AP174" s="274"/>
      <c r="AQ174" s="274"/>
      <c r="AR174" s="274"/>
      <c r="AS174" s="274"/>
      <c r="AT174" s="274"/>
      <c r="AU174" s="274"/>
      <c r="AV174" s="274"/>
      <c r="AW174" s="274"/>
    </row>
    <row r="175" ht="15.75" customHeight="1">
      <c r="A175" s="274"/>
      <c r="B175" s="274"/>
      <c r="C175" s="274"/>
      <c r="D175" s="274"/>
      <c r="E175" s="274"/>
      <c r="F175" s="274"/>
      <c r="G175" s="274"/>
      <c r="H175" s="274"/>
      <c r="I175" s="274"/>
      <c r="J175" s="274"/>
      <c r="K175" s="274"/>
      <c r="L175" s="274"/>
      <c r="M175" s="274"/>
      <c r="N175" s="274"/>
      <c r="O175" s="274"/>
      <c r="P175" s="274"/>
      <c r="Q175" s="274"/>
      <c r="R175" s="316"/>
      <c r="S175" s="50" t="s">
        <v>3521</v>
      </c>
      <c r="T175" s="317">
        <v>3600181.0716300015</v>
      </c>
      <c r="U175" s="162">
        <v>4854751.979220002</v>
      </c>
      <c r="V175" s="318">
        <f t="shared" si="37"/>
        <v>34.8</v>
      </c>
      <c r="W175" s="274"/>
      <c r="X175" s="274"/>
      <c r="Y175" s="274"/>
      <c r="Z175" s="274">
        <v>8.5</v>
      </c>
      <c r="AA175" s="309">
        <v>1151791.892</v>
      </c>
      <c r="AB175" s="309">
        <v>884203.8769</v>
      </c>
      <c r="AC175" s="309">
        <v>1023815.015</v>
      </c>
      <c r="AD175" s="274"/>
      <c r="AE175" s="274"/>
      <c r="AF175" s="274"/>
      <c r="AG175" s="274"/>
      <c r="AH175" s="274"/>
      <c r="AI175" s="274"/>
      <c r="AJ175" s="274"/>
      <c r="AK175" s="274"/>
      <c r="AL175" s="274"/>
      <c r="AM175" s="274"/>
      <c r="AN175" s="274"/>
      <c r="AO175" s="274"/>
      <c r="AP175" s="274"/>
      <c r="AQ175" s="274"/>
      <c r="AR175" s="274"/>
      <c r="AS175" s="274"/>
      <c r="AT175" s="274"/>
      <c r="AU175" s="274"/>
      <c r="AV175" s="274"/>
      <c r="AW175" s="274"/>
    </row>
    <row r="176" ht="15.75" customHeight="1">
      <c r="A176" s="274"/>
      <c r="B176" s="274"/>
      <c r="C176" s="274"/>
      <c r="D176" s="274"/>
      <c r="E176" s="274"/>
      <c r="F176" s="274"/>
      <c r="G176" s="274"/>
      <c r="H176" s="274"/>
      <c r="I176" s="274"/>
      <c r="J176" s="274"/>
      <c r="K176" s="274"/>
      <c r="L176" s="274"/>
      <c r="M176" s="274"/>
      <c r="N176" s="274"/>
      <c r="O176" s="274"/>
      <c r="P176" s="274"/>
      <c r="Q176" s="274"/>
      <c r="R176" s="316"/>
      <c r="S176" s="50" t="s">
        <v>3522</v>
      </c>
      <c r="T176" s="317">
        <v>2762755.5384000004</v>
      </c>
      <c r="U176" s="162">
        <v>3724896.5067600003</v>
      </c>
      <c r="V176" s="318">
        <f t="shared" si="37"/>
        <v>34.8</v>
      </c>
      <c r="W176" s="274"/>
      <c r="X176" s="274"/>
      <c r="Y176" s="274"/>
      <c r="Z176" s="274">
        <v>8.562</v>
      </c>
      <c r="AA176" s="309">
        <v>1151791.892</v>
      </c>
      <c r="AB176" s="309">
        <v>884203.8769</v>
      </c>
      <c r="AC176" s="309">
        <v>1023815.015</v>
      </c>
      <c r="AD176" s="274"/>
      <c r="AE176" s="274"/>
      <c r="AF176" s="274"/>
      <c r="AG176" s="274"/>
      <c r="AH176" s="274"/>
      <c r="AI176" s="274"/>
      <c r="AJ176" s="274"/>
      <c r="AK176" s="274"/>
      <c r="AL176" s="274"/>
      <c r="AM176" s="274"/>
      <c r="AN176" s="274"/>
      <c r="AO176" s="274"/>
      <c r="AP176" s="274"/>
      <c r="AQ176" s="274"/>
      <c r="AR176" s="274"/>
      <c r="AS176" s="274"/>
      <c r="AT176" s="274"/>
      <c r="AU176" s="274"/>
      <c r="AV176" s="274"/>
      <c r="AW176" s="274"/>
    </row>
    <row r="177" ht="15.75" customHeight="1">
      <c r="A177" s="274"/>
      <c r="B177" s="274"/>
      <c r="C177" s="274"/>
      <c r="D177" s="274"/>
      <c r="E177" s="274"/>
      <c r="F177" s="274"/>
      <c r="G177" s="274"/>
      <c r="H177" s="274"/>
      <c r="I177" s="274"/>
      <c r="J177" s="274"/>
      <c r="K177" s="274"/>
      <c r="L177" s="274"/>
      <c r="M177" s="274"/>
      <c r="N177" s="274"/>
      <c r="O177" s="274"/>
      <c r="P177" s="274"/>
      <c r="Q177" s="274"/>
      <c r="R177" s="316"/>
      <c r="S177" s="50" t="s">
        <v>3523</v>
      </c>
      <c r="T177" s="317">
        <v>2670735.128490001</v>
      </c>
      <c r="U177" s="162">
        <v>3602387.903400001</v>
      </c>
      <c r="V177" s="318">
        <f t="shared" si="37"/>
        <v>34.9</v>
      </c>
      <c r="W177" s="274"/>
      <c r="X177" s="274"/>
      <c r="Y177" s="274"/>
      <c r="Z177" s="274">
        <v>8.625</v>
      </c>
      <c r="AA177" s="309">
        <v>1151791.892</v>
      </c>
      <c r="AB177" s="309">
        <v>884203.8769</v>
      </c>
      <c r="AC177" s="309">
        <v>1023815.015</v>
      </c>
      <c r="AD177" s="274"/>
      <c r="AE177" s="274"/>
      <c r="AF177" s="274"/>
      <c r="AG177" s="274"/>
      <c r="AH177" s="274"/>
      <c r="AI177" s="274"/>
      <c r="AJ177" s="274"/>
      <c r="AK177" s="274"/>
      <c r="AL177" s="274"/>
      <c r="AM177" s="274"/>
      <c r="AN177" s="274"/>
      <c r="AO177" s="274"/>
      <c r="AP177" s="274"/>
      <c r="AQ177" s="274"/>
      <c r="AR177" s="274"/>
      <c r="AS177" s="274"/>
      <c r="AT177" s="274"/>
      <c r="AU177" s="274"/>
      <c r="AV177" s="274"/>
      <c r="AW177" s="274"/>
    </row>
    <row r="178" ht="15.75" customHeight="1">
      <c r="A178" s="274"/>
      <c r="B178" s="274"/>
      <c r="C178" s="274"/>
      <c r="D178" s="274"/>
      <c r="E178" s="274"/>
      <c r="F178" s="274"/>
      <c r="G178" s="274"/>
      <c r="H178" s="274"/>
      <c r="I178" s="274"/>
      <c r="J178" s="274"/>
      <c r="K178" s="274"/>
      <c r="L178" s="274"/>
      <c r="M178" s="274"/>
      <c r="N178" s="274"/>
      <c r="O178" s="274"/>
      <c r="P178" s="274"/>
      <c r="Q178" s="274"/>
      <c r="R178" s="316"/>
      <c r="S178" s="50" t="s">
        <v>3524</v>
      </c>
      <c r="T178" s="317">
        <v>1950759.2075400003</v>
      </c>
      <c r="U178" s="162">
        <v>2642234.7322800006</v>
      </c>
      <c r="V178" s="318">
        <f t="shared" si="37"/>
        <v>35.4</v>
      </c>
      <c r="W178" s="274"/>
      <c r="X178" s="274"/>
      <c r="Y178" s="274"/>
      <c r="Z178" s="274">
        <v>8.687</v>
      </c>
      <c r="AA178" s="309">
        <v>1151791.892</v>
      </c>
      <c r="AB178" s="309">
        <v>884203.8769</v>
      </c>
      <c r="AC178" s="309">
        <v>1023815.015</v>
      </c>
      <c r="AD178" s="274"/>
      <c r="AE178" s="274"/>
      <c r="AF178" s="274"/>
      <c r="AG178" s="274"/>
      <c r="AH178" s="274"/>
      <c r="AI178" s="274"/>
      <c r="AJ178" s="274"/>
      <c r="AK178" s="274"/>
      <c r="AL178" s="274"/>
      <c r="AM178" s="274"/>
      <c r="AN178" s="274"/>
      <c r="AO178" s="274"/>
      <c r="AP178" s="274"/>
      <c r="AQ178" s="274"/>
      <c r="AR178" s="274"/>
      <c r="AS178" s="274"/>
      <c r="AT178" s="274"/>
      <c r="AU178" s="274"/>
      <c r="AV178" s="274"/>
      <c r="AW178" s="274"/>
    </row>
    <row r="179" ht="15.75" customHeight="1">
      <c r="A179" s="274"/>
      <c r="B179" s="274"/>
      <c r="C179" s="274"/>
      <c r="D179" s="274"/>
      <c r="E179" s="274"/>
      <c r="F179" s="274"/>
      <c r="G179" s="274"/>
      <c r="H179" s="274"/>
      <c r="I179" s="274"/>
      <c r="J179" s="274"/>
      <c r="K179" s="274"/>
      <c r="L179" s="274"/>
      <c r="M179" s="274"/>
      <c r="N179" s="274"/>
      <c r="O179" s="274"/>
      <c r="P179" s="274"/>
      <c r="Q179" s="274"/>
      <c r="R179" s="316"/>
      <c r="S179" s="50" t="s">
        <v>3525</v>
      </c>
      <c r="T179" s="317">
        <v>8146550.497070703</v>
      </c>
      <c r="U179" s="162">
        <v>1.1140032883044783E7</v>
      </c>
      <c r="V179" s="318">
        <f t="shared" si="37"/>
        <v>36.7</v>
      </c>
      <c r="W179" s="274"/>
      <c r="X179" s="274"/>
      <c r="Y179" s="274"/>
      <c r="Z179" s="274">
        <v>8.765</v>
      </c>
      <c r="AA179" s="309">
        <v>1151791.892</v>
      </c>
      <c r="AB179" s="309">
        <v>884203.8769</v>
      </c>
      <c r="AC179" s="309">
        <v>1023815.015</v>
      </c>
      <c r="AD179" s="274"/>
      <c r="AE179" s="274"/>
      <c r="AF179" s="274"/>
      <c r="AG179" s="274"/>
      <c r="AH179" s="274"/>
      <c r="AI179" s="274"/>
      <c r="AJ179" s="274"/>
      <c r="AK179" s="274"/>
      <c r="AL179" s="274"/>
      <c r="AM179" s="274"/>
      <c r="AN179" s="274"/>
      <c r="AO179" s="274"/>
      <c r="AP179" s="274"/>
      <c r="AQ179" s="274"/>
      <c r="AR179" s="274"/>
      <c r="AS179" s="274"/>
      <c r="AT179" s="274"/>
      <c r="AU179" s="274"/>
      <c r="AV179" s="274"/>
      <c r="AW179" s="274"/>
    </row>
    <row r="180" ht="15.75" customHeight="1">
      <c r="A180" s="274"/>
      <c r="B180" s="274"/>
      <c r="C180" s="274"/>
      <c r="D180" s="274"/>
      <c r="E180" s="274"/>
      <c r="F180" s="274"/>
      <c r="G180" s="274"/>
      <c r="H180" s="274"/>
      <c r="I180" s="274"/>
      <c r="J180" s="274"/>
      <c r="K180" s="274"/>
      <c r="L180" s="274"/>
      <c r="M180" s="274"/>
      <c r="N180" s="274"/>
      <c r="O180" s="274"/>
      <c r="P180" s="274"/>
      <c r="Q180" s="274"/>
      <c r="R180" s="316"/>
      <c r="S180" s="50" t="s">
        <v>3526</v>
      </c>
      <c r="T180" s="317">
        <v>7468628.805495002</v>
      </c>
      <c r="U180" s="162">
        <v>1.0213006169223003E7</v>
      </c>
      <c r="V180" s="318">
        <f t="shared" si="37"/>
        <v>36.7</v>
      </c>
      <c r="W180" s="274"/>
      <c r="X180" s="274"/>
      <c r="Y180" s="274"/>
      <c r="Z180" s="274">
        <v>8.812</v>
      </c>
      <c r="AA180" s="309">
        <v>1151791.892</v>
      </c>
      <c r="AB180" s="309">
        <v>884203.8769</v>
      </c>
      <c r="AC180" s="309">
        <v>1023815.015</v>
      </c>
      <c r="AD180" s="274"/>
      <c r="AE180" s="274"/>
      <c r="AF180" s="274"/>
      <c r="AG180" s="274"/>
      <c r="AH180" s="274"/>
      <c r="AI180" s="274"/>
      <c r="AJ180" s="274"/>
      <c r="AK180" s="274"/>
      <c r="AL180" s="274"/>
      <c r="AM180" s="274"/>
      <c r="AN180" s="274"/>
      <c r="AO180" s="274"/>
      <c r="AP180" s="274"/>
      <c r="AQ180" s="274"/>
      <c r="AR180" s="274"/>
      <c r="AS180" s="274"/>
      <c r="AT180" s="274"/>
      <c r="AU180" s="274"/>
      <c r="AV180" s="274"/>
      <c r="AW180" s="274"/>
    </row>
    <row r="181" ht="15.75" customHeight="1">
      <c r="A181" s="274"/>
      <c r="B181" s="274"/>
      <c r="C181" s="274"/>
      <c r="D181" s="274"/>
      <c r="E181" s="274"/>
      <c r="F181" s="274"/>
      <c r="G181" s="274"/>
      <c r="H181" s="274"/>
      <c r="I181" s="274"/>
      <c r="J181" s="274"/>
      <c r="K181" s="274"/>
      <c r="L181" s="274"/>
      <c r="M181" s="274"/>
      <c r="N181" s="274"/>
      <c r="O181" s="274"/>
      <c r="P181" s="274"/>
      <c r="Q181" s="274"/>
      <c r="R181" s="316"/>
      <c r="S181" s="50" t="s">
        <v>3527</v>
      </c>
      <c r="T181" s="317">
        <v>8687640.031810742</v>
      </c>
      <c r="U181" s="162">
        <v>1.1891546125739282E7</v>
      </c>
      <c r="V181" s="318">
        <f t="shared" si="37"/>
        <v>36.9</v>
      </c>
      <c r="W181" s="274"/>
      <c r="X181" s="274"/>
      <c r="Y181" s="274"/>
      <c r="Z181" s="274">
        <v>8.875</v>
      </c>
      <c r="AA181" s="309">
        <v>1151791.892</v>
      </c>
      <c r="AB181" s="309">
        <v>884203.8769</v>
      </c>
      <c r="AC181" s="309">
        <v>1070352.062</v>
      </c>
      <c r="AD181" s="274"/>
      <c r="AE181" s="274"/>
      <c r="AF181" s="274"/>
      <c r="AG181" s="274"/>
      <c r="AH181" s="274"/>
      <c r="AI181" s="274"/>
      <c r="AJ181" s="274"/>
      <c r="AK181" s="274"/>
      <c r="AL181" s="274"/>
      <c r="AM181" s="274"/>
      <c r="AN181" s="274"/>
      <c r="AO181" s="274"/>
      <c r="AP181" s="274"/>
      <c r="AQ181" s="274"/>
      <c r="AR181" s="274"/>
      <c r="AS181" s="274"/>
      <c r="AT181" s="274"/>
      <c r="AU181" s="274"/>
      <c r="AV181" s="274"/>
      <c r="AW181" s="274"/>
    </row>
    <row r="182" ht="15.75" customHeight="1">
      <c r="A182" s="274"/>
      <c r="B182" s="274"/>
      <c r="C182" s="274"/>
      <c r="D182" s="274"/>
      <c r="E182" s="274"/>
      <c r="F182" s="274"/>
      <c r="G182" s="274"/>
      <c r="H182" s="274"/>
      <c r="I182" s="274"/>
      <c r="J182" s="274"/>
      <c r="K182" s="274"/>
      <c r="L182" s="274"/>
      <c r="M182" s="274"/>
      <c r="N182" s="274"/>
      <c r="O182" s="274"/>
      <c r="P182" s="274"/>
      <c r="Q182" s="274"/>
      <c r="R182" s="316"/>
      <c r="S182" s="50" t="s">
        <v>3528</v>
      </c>
      <c r="T182" s="317">
        <v>6447312.294930001</v>
      </c>
      <c r="U182" s="162">
        <v>8831454.721960003</v>
      </c>
      <c r="V182" s="318">
        <f t="shared" si="37"/>
        <v>37</v>
      </c>
      <c r="W182" s="274"/>
      <c r="X182" s="274"/>
      <c r="Y182" s="274"/>
      <c r="Z182" s="274">
        <v>8.937</v>
      </c>
      <c r="AA182" s="309">
        <v>1151791.892</v>
      </c>
      <c r="AB182" s="309">
        <v>884203.8769</v>
      </c>
      <c r="AC182" s="309">
        <v>1070352.062</v>
      </c>
      <c r="AD182" s="274"/>
      <c r="AE182" s="274"/>
      <c r="AF182" s="274"/>
      <c r="AG182" s="274"/>
      <c r="AH182" s="274"/>
      <c r="AI182" s="274"/>
      <c r="AJ182" s="274"/>
      <c r="AK182" s="274"/>
      <c r="AL182" s="274"/>
      <c r="AM182" s="274"/>
      <c r="AN182" s="274"/>
      <c r="AO182" s="274"/>
      <c r="AP182" s="274"/>
      <c r="AQ182" s="274"/>
      <c r="AR182" s="274"/>
      <c r="AS182" s="274"/>
      <c r="AT182" s="274"/>
      <c r="AU182" s="274"/>
      <c r="AV182" s="274"/>
      <c r="AW182" s="274"/>
    </row>
    <row r="183" ht="15.75" customHeight="1">
      <c r="A183" s="274"/>
      <c r="B183" s="274"/>
      <c r="C183" s="274"/>
      <c r="D183" s="274"/>
      <c r="E183" s="274"/>
      <c r="F183" s="274"/>
      <c r="G183" s="274"/>
      <c r="H183" s="274"/>
      <c r="I183" s="274"/>
      <c r="J183" s="274"/>
      <c r="K183" s="274"/>
      <c r="L183" s="274"/>
      <c r="M183" s="274"/>
      <c r="N183" s="274"/>
      <c r="O183" s="274"/>
      <c r="P183" s="274"/>
      <c r="Q183" s="274"/>
      <c r="R183" s="316"/>
      <c r="S183" s="50" t="s">
        <v>3529</v>
      </c>
      <c r="T183" s="317">
        <v>2169372.1549500003</v>
      </c>
      <c r="U183" s="162">
        <v>2973042.81846</v>
      </c>
      <c r="V183" s="318">
        <f t="shared" si="37"/>
        <v>37</v>
      </c>
      <c r="W183" s="274"/>
      <c r="X183" s="274"/>
      <c r="Y183" s="274"/>
      <c r="Z183" s="274">
        <v>9.015</v>
      </c>
      <c r="AA183" s="309">
        <v>1151791.892</v>
      </c>
      <c r="AB183" s="309">
        <v>884203.8769</v>
      </c>
      <c r="AC183" s="309">
        <v>1070352.062</v>
      </c>
      <c r="AD183" s="274"/>
      <c r="AE183" s="274"/>
      <c r="AF183" s="274"/>
      <c r="AG183" s="274"/>
      <c r="AH183" s="274"/>
      <c r="AI183" s="274"/>
      <c r="AJ183" s="274"/>
      <c r="AK183" s="274"/>
      <c r="AL183" s="274"/>
      <c r="AM183" s="274"/>
      <c r="AN183" s="274"/>
      <c r="AO183" s="274"/>
      <c r="AP183" s="274"/>
      <c r="AQ183" s="274"/>
      <c r="AR183" s="274"/>
      <c r="AS183" s="274"/>
      <c r="AT183" s="274"/>
      <c r="AU183" s="274"/>
      <c r="AV183" s="274"/>
      <c r="AW183" s="274"/>
    </row>
    <row r="184" ht="15.75" customHeight="1">
      <c r="A184" s="274"/>
      <c r="B184" s="274"/>
      <c r="C184" s="274"/>
      <c r="D184" s="274"/>
      <c r="E184" s="274"/>
      <c r="F184" s="274"/>
      <c r="G184" s="274"/>
      <c r="H184" s="274"/>
      <c r="I184" s="274"/>
      <c r="J184" s="274"/>
      <c r="K184" s="274"/>
      <c r="L184" s="274"/>
      <c r="M184" s="274"/>
      <c r="N184" s="274"/>
      <c r="O184" s="274"/>
      <c r="P184" s="274"/>
      <c r="Q184" s="274"/>
      <c r="R184" s="316"/>
      <c r="S184" s="50" t="s">
        <v>3530</v>
      </c>
      <c r="T184" s="317">
        <v>8978409.948376441</v>
      </c>
      <c r="U184" s="162">
        <v>1.2339578600177404E7</v>
      </c>
      <c r="V184" s="318">
        <f t="shared" si="37"/>
        <v>37.4</v>
      </c>
      <c r="W184" s="274"/>
      <c r="X184" s="274"/>
      <c r="Y184" s="274"/>
      <c r="Z184" s="274">
        <v>9.062</v>
      </c>
      <c r="AA184" s="309">
        <v>1151791.892</v>
      </c>
      <c r="AB184" s="309">
        <v>884203.8769</v>
      </c>
      <c r="AC184" s="309">
        <v>1128523.369</v>
      </c>
      <c r="AD184" s="274"/>
      <c r="AE184" s="274"/>
      <c r="AF184" s="274"/>
      <c r="AG184" s="274"/>
      <c r="AH184" s="274"/>
      <c r="AI184" s="274"/>
      <c r="AJ184" s="274"/>
      <c r="AK184" s="274"/>
      <c r="AL184" s="274"/>
      <c r="AM184" s="274"/>
      <c r="AN184" s="274"/>
      <c r="AO184" s="274"/>
      <c r="AP184" s="274"/>
      <c r="AQ184" s="274"/>
      <c r="AR184" s="274"/>
      <c r="AS184" s="274"/>
      <c r="AT184" s="274"/>
      <c r="AU184" s="274"/>
      <c r="AV184" s="274"/>
      <c r="AW184" s="274"/>
    </row>
    <row r="185" ht="15.75" customHeight="1">
      <c r="A185" s="274"/>
      <c r="B185" s="274"/>
      <c r="C185" s="274"/>
      <c r="D185" s="274"/>
      <c r="E185" s="274"/>
      <c r="F185" s="274"/>
      <c r="G185" s="274"/>
      <c r="H185" s="274"/>
      <c r="I185" s="274"/>
      <c r="J185" s="274"/>
      <c r="K185" s="274"/>
      <c r="L185" s="274"/>
      <c r="M185" s="274"/>
      <c r="N185" s="274"/>
      <c r="O185" s="274"/>
      <c r="P185" s="274"/>
      <c r="Q185" s="274"/>
      <c r="R185" s="316"/>
      <c r="S185" s="50" t="s">
        <v>3531</v>
      </c>
      <c r="T185" s="317">
        <v>2965751.0883000004</v>
      </c>
      <c r="U185" s="162">
        <v>4111643.821556701</v>
      </c>
      <c r="V185" s="318">
        <f t="shared" si="37"/>
        <v>38.6</v>
      </c>
      <c r="W185" s="274"/>
      <c r="X185" s="274"/>
      <c r="Y185" s="274"/>
      <c r="Z185" s="274">
        <v>9.125</v>
      </c>
      <c r="AA185" s="309">
        <v>1151791.892</v>
      </c>
      <c r="AB185" s="309">
        <v>884203.8769</v>
      </c>
      <c r="AC185" s="309">
        <v>1128523.369</v>
      </c>
      <c r="AD185" s="274"/>
      <c r="AE185" s="274"/>
      <c r="AF185" s="274"/>
      <c r="AG185" s="274"/>
      <c r="AH185" s="274"/>
      <c r="AI185" s="274"/>
      <c r="AJ185" s="274"/>
      <c r="AK185" s="274"/>
      <c r="AL185" s="274"/>
      <c r="AM185" s="274"/>
      <c r="AN185" s="274"/>
      <c r="AO185" s="274"/>
      <c r="AP185" s="274"/>
      <c r="AQ185" s="274"/>
      <c r="AR185" s="274"/>
      <c r="AS185" s="274"/>
      <c r="AT185" s="274"/>
      <c r="AU185" s="274"/>
      <c r="AV185" s="274"/>
      <c r="AW185" s="274"/>
    </row>
    <row r="186" ht="15.75" customHeight="1">
      <c r="A186" s="274"/>
      <c r="B186" s="274"/>
      <c r="C186" s="274"/>
      <c r="D186" s="274"/>
      <c r="E186" s="274"/>
      <c r="F186" s="274"/>
      <c r="G186" s="274"/>
      <c r="H186" s="274"/>
      <c r="I186" s="274"/>
      <c r="J186" s="274"/>
      <c r="K186" s="274"/>
      <c r="L186" s="274"/>
      <c r="M186" s="274"/>
      <c r="N186" s="274"/>
      <c r="O186" s="274"/>
      <c r="P186" s="274"/>
      <c r="Q186" s="274"/>
      <c r="R186" s="316"/>
      <c r="S186" s="50" t="s">
        <v>3532</v>
      </c>
      <c r="T186" s="317">
        <v>7426462.538781001</v>
      </c>
      <c r="U186" s="162">
        <v>1.0382086224081002E7</v>
      </c>
      <c r="V186" s="318">
        <f t="shared" si="37"/>
        <v>39.8</v>
      </c>
      <c r="W186" s="274"/>
      <c r="X186" s="274"/>
      <c r="Y186" s="274"/>
      <c r="Z186" s="274">
        <v>9.203</v>
      </c>
      <c r="AA186" s="309">
        <v>1151791.892</v>
      </c>
      <c r="AB186" s="309">
        <v>884203.8769</v>
      </c>
      <c r="AC186" s="309">
        <v>1128523.369</v>
      </c>
      <c r="AD186" s="274"/>
      <c r="AE186" s="274"/>
      <c r="AF186" s="274"/>
      <c r="AG186" s="274"/>
      <c r="AH186" s="274"/>
      <c r="AI186" s="274"/>
      <c r="AJ186" s="274"/>
      <c r="AK186" s="274"/>
      <c r="AL186" s="274"/>
      <c r="AM186" s="274"/>
      <c r="AN186" s="274"/>
      <c r="AO186" s="274"/>
      <c r="AP186" s="274"/>
      <c r="AQ186" s="274"/>
      <c r="AR186" s="274"/>
      <c r="AS186" s="274"/>
      <c r="AT186" s="274"/>
      <c r="AU186" s="274"/>
      <c r="AV186" s="274"/>
      <c r="AW186" s="274"/>
    </row>
    <row r="187" ht="15.75" customHeight="1">
      <c r="A187" s="274"/>
      <c r="B187" s="274"/>
      <c r="C187" s="274"/>
      <c r="D187" s="274"/>
      <c r="E187" s="274"/>
      <c r="F187" s="274"/>
      <c r="G187" s="274"/>
      <c r="H187" s="274"/>
      <c r="I187" s="274"/>
      <c r="J187" s="274"/>
      <c r="K187" s="274"/>
      <c r="L187" s="274"/>
      <c r="M187" s="274"/>
      <c r="N187" s="274"/>
      <c r="O187" s="274"/>
      <c r="P187" s="274"/>
      <c r="Q187" s="274"/>
      <c r="R187" s="316"/>
      <c r="S187" s="50" t="s">
        <v>3533</v>
      </c>
      <c r="T187" s="317">
        <v>5704196.7473033415</v>
      </c>
      <c r="U187" s="162">
        <v>7981980.702335642</v>
      </c>
      <c r="V187" s="318">
        <f t="shared" si="37"/>
        <v>39.9</v>
      </c>
      <c r="W187" s="274"/>
      <c r="X187" s="274"/>
      <c r="Y187" s="274"/>
      <c r="Z187" s="274">
        <v>9.25</v>
      </c>
      <c r="AA187" s="309">
        <v>1151791.892</v>
      </c>
      <c r="AB187" s="309">
        <v>884203.8769</v>
      </c>
      <c r="AC187" s="309">
        <v>1175060.415</v>
      </c>
      <c r="AD187" s="274"/>
      <c r="AE187" s="274"/>
      <c r="AF187" s="274"/>
      <c r="AG187" s="274"/>
      <c r="AH187" s="274"/>
      <c r="AI187" s="274"/>
      <c r="AJ187" s="274"/>
      <c r="AK187" s="274"/>
      <c r="AL187" s="274"/>
      <c r="AM187" s="274"/>
      <c r="AN187" s="274"/>
      <c r="AO187" s="274"/>
      <c r="AP187" s="274"/>
      <c r="AQ187" s="274"/>
      <c r="AR187" s="274"/>
      <c r="AS187" s="274"/>
      <c r="AT187" s="274"/>
      <c r="AU187" s="274"/>
      <c r="AV187" s="274"/>
      <c r="AW187" s="274"/>
    </row>
    <row r="188" ht="15.75" customHeight="1">
      <c r="A188" s="274"/>
      <c r="B188" s="274"/>
      <c r="C188" s="274"/>
      <c r="D188" s="274"/>
      <c r="E188" s="274"/>
      <c r="F188" s="274"/>
      <c r="G188" s="274"/>
      <c r="H188" s="274"/>
      <c r="I188" s="274"/>
      <c r="J188" s="274"/>
      <c r="K188" s="274"/>
      <c r="L188" s="274"/>
      <c r="M188" s="274"/>
      <c r="N188" s="274"/>
      <c r="O188" s="274"/>
      <c r="P188" s="274"/>
      <c r="Q188" s="274"/>
      <c r="R188" s="316"/>
      <c r="S188" s="50" t="s">
        <v>3534</v>
      </c>
      <c r="T188" s="317">
        <v>1.1357532540351856E7</v>
      </c>
      <c r="U188" s="162">
        <v>1.6483384293944785E7</v>
      </c>
      <c r="V188" s="318">
        <f t="shared" si="37"/>
        <v>45.1</v>
      </c>
      <c r="W188" s="274"/>
      <c r="X188" s="274"/>
      <c r="Y188" s="274"/>
      <c r="Z188" s="274">
        <v>9.312</v>
      </c>
      <c r="AA188" s="309">
        <v>1151791.892</v>
      </c>
      <c r="AB188" s="309">
        <v>1093620.585</v>
      </c>
      <c r="AC188" s="309">
        <v>1175060.415</v>
      </c>
      <c r="AD188" s="274"/>
      <c r="AE188" s="274"/>
      <c r="AF188" s="274"/>
      <c r="AG188" s="274"/>
      <c r="AH188" s="274"/>
      <c r="AI188" s="274"/>
      <c r="AJ188" s="274"/>
      <c r="AK188" s="274"/>
      <c r="AL188" s="274"/>
      <c r="AM188" s="274"/>
      <c r="AN188" s="274"/>
      <c r="AO188" s="274"/>
      <c r="AP188" s="274"/>
      <c r="AQ188" s="274"/>
      <c r="AR188" s="274"/>
      <c r="AS188" s="274"/>
      <c r="AT188" s="274"/>
      <c r="AU188" s="274"/>
      <c r="AV188" s="274"/>
      <c r="AW188" s="274"/>
    </row>
    <row r="189" ht="15.75" customHeight="1">
      <c r="A189" s="274"/>
      <c r="B189" s="274"/>
      <c r="C189" s="274"/>
      <c r="D189" s="274"/>
      <c r="E189" s="274"/>
      <c r="F189" s="274"/>
      <c r="G189" s="274"/>
      <c r="H189" s="274"/>
      <c r="I189" s="274"/>
      <c r="J189" s="274"/>
      <c r="K189" s="274"/>
      <c r="L189" s="274"/>
      <c r="M189" s="274"/>
      <c r="N189" s="274"/>
      <c r="O189" s="274"/>
      <c r="P189" s="274"/>
      <c r="Q189" s="274"/>
      <c r="R189" s="316"/>
      <c r="S189" s="50" t="s">
        <v>3535</v>
      </c>
      <c r="T189" s="317">
        <v>1.1929615660902912E7</v>
      </c>
      <c r="U189" s="162">
        <v>1.7313658465787925E7</v>
      </c>
      <c r="V189" s="318">
        <f t="shared" si="37"/>
        <v>45.1</v>
      </c>
      <c r="W189" s="274"/>
      <c r="X189" s="274"/>
      <c r="Y189" s="274"/>
      <c r="Z189" s="274">
        <v>9.375</v>
      </c>
      <c r="AA189" s="309">
        <v>1349574.338</v>
      </c>
      <c r="AB189" s="309">
        <v>1093620.585</v>
      </c>
      <c r="AC189" s="309">
        <v>1175060.415</v>
      </c>
      <c r="AD189" s="274"/>
      <c r="AE189" s="274"/>
      <c r="AF189" s="274"/>
      <c r="AG189" s="274"/>
      <c r="AH189" s="274"/>
      <c r="AI189" s="274"/>
      <c r="AJ189" s="274"/>
      <c r="AK189" s="274"/>
      <c r="AL189" s="274"/>
      <c r="AM189" s="274"/>
      <c r="AN189" s="274"/>
      <c r="AO189" s="274"/>
      <c r="AP189" s="274"/>
      <c r="AQ189" s="274"/>
      <c r="AR189" s="274"/>
      <c r="AS189" s="274"/>
      <c r="AT189" s="274"/>
      <c r="AU189" s="274"/>
      <c r="AV189" s="274"/>
      <c r="AW189" s="274"/>
    </row>
    <row r="190" ht="15.75" customHeight="1">
      <c r="A190" s="274"/>
      <c r="B190" s="274"/>
      <c r="C190" s="274"/>
      <c r="D190" s="274"/>
      <c r="E190" s="274"/>
      <c r="F190" s="274"/>
      <c r="G190" s="274"/>
      <c r="H190" s="274"/>
      <c r="I190" s="274"/>
      <c r="J190" s="274"/>
      <c r="K190" s="274"/>
      <c r="L190" s="274"/>
      <c r="M190" s="274"/>
      <c r="N190" s="274"/>
      <c r="O190" s="274"/>
      <c r="P190" s="274"/>
      <c r="Q190" s="274"/>
      <c r="R190" s="316"/>
      <c r="S190" s="50" t="s">
        <v>3536</v>
      </c>
      <c r="T190" s="317">
        <v>1.6659498140485203E7</v>
      </c>
      <c r="U190" s="162">
        <v>2.4195937775466602E7</v>
      </c>
      <c r="V190" s="318">
        <f t="shared" si="37"/>
        <v>45.2</v>
      </c>
      <c r="W190" s="274"/>
      <c r="X190" s="274"/>
      <c r="Y190" s="274"/>
      <c r="Z190" s="274">
        <v>9.437</v>
      </c>
      <c r="AA190" s="309">
        <v>1349574.338</v>
      </c>
      <c r="AB190" s="309">
        <v>1093620.585</v>
      </c>
      <c r="AC190" s="309">
        <v>1175060.415</v>
      </c>
      <c r="AD190" s="274"/>
      <c r="AE190" s="274"/>
      <c r="AF190" s="274"/>
      <c r="AG190" s="274"/>
      <c r="AH190" s="274"/>
      <c r="AI190" s="274"/>
      <c r="AJ190" s="274"/>
      <c r="AK190" s="274"/>
      <c r="AL190" s="274"/>
      <c r="AM190" s="274"/>
      <c r="AN190" s="274"/>
      <c r="AO190" s="274"/>
      <c r="AP190" s="274"/>
      <c r="AQ190" s="274"/>
      <c r="AR190" s="274"/>
      <c r="AS190" s="274"/>
      <c r="AT190" s="274"/>
      <c r="AU190" s="274"/>
      <c r="AV190" s="274"/>
      <c r="AW190" s="274"/>
    </row>
    <row r="191" ht="15.75" customHeight="1">
      <c r="A191" s="274"/>
      <c r="B191" s="274"/>
      <c r="C191" s="274"/>
      <c r="D191" s="274"/>
      <c r="E191" s="274"/>
      <c r="F191" s="274"/>
      <c r="G191" s="274"/>
      <c r="H191" s="274"/>
      <c r="I191" s="274"/>
      <c r="J191" s="274"/>
      <c r="K191" s="274"/>
      <c r="L191" s="274"/>
      <c r="M191" s="274"/>
      <c r="N191" s="274"/>
      <c r="O191" s="274"/>
      <c r="P191" s="274"/>
      <c r="Q191" s="274"/>
      <c r="R191" s="316"/>
      <c r="S191" s="50" t="s">
        <v>3537</v>
      </c>
      <c r="T191" s="317">
        <v>1.5222813634314002E7</v>
      </c>
      <c r="U191" s="162">
        <v>2.2132102439304005E7</v>
      </c>
      <c r="V191" s="318">
        <f t="shared" si="37"/>
        <v>45.4</v>
      </c>
      <c r="W191" s="274"/>
      <c r="X191" s="274"/>
      <c r="Y191" s="274"/>
      <c r="Z191" s="274">
        <v>9.5</v>
      </c>
      <c r="AA191" s="309">
        <v>1349574.338</v>
      </c>
      <c r="AB191" s="309">
        <v>1093620.585</v>
      </c>
      <c r="AC191" s="309">
        <v>1175060.415</v>
      </c>
      <c r="AD191" s="274"/>
      <c r="AE191" s="274"/>
      <c r="AF191" s="274"/>
      <c r="AG191" s="274"/>
      <c r="AH191" s="274"/>
      <c r="AI191" s="274"/>
      <c r="AJ191" s="274"/>
      <c r="AK191" s="274"/>
      <c r="AL191" s="274"/>
      <c r="AM191" s="274"/>
      <c r="AN191" s="274"/>
      <c r="AO191" s="274"/>
      <c r="AP191" s="274"/>
      <c r="AQ191" s="274"/>
      <c r="AR191" s="274"/>
      <c r="AS191" s="274"/>
      <c r="AT191" s="274"/>
      <c r="AU191" s="274"/>
      <c r="AV191" s="274"/>
      <c r="AW191" s="274"/>
    </row>
    <row r="192" ht="15.75" customHeight="1">
      <c r="A192" s="274"/>
      <c r="B192" s="274"/>
      <c r="C192" s="274"/>
      <c r="D192" s="274"/>
      <c r="E192" s="274"/>
      <c r="F192" s="274"/>
      <c r="G192" s="274"/>
      <c r="H192" s="274"/>
      <c r="I192" s="274"/>
      <c r="J192" s="274"/>
      <c r="K192" s="274"/>
      <c r="L192" s="274"/>
      <c r="M192" s="274"/>
      <c r="N192" s="274"/>
      <c r="O192" s="274"/>
      <c r="P192" s="274"/>
      <c r="Q192" s="274"/>
      <c r="R192" s="316"/>
      <c r="S192" s="50" t="s">
        <v>3538</v>
      </c>
      <c r="T192" s="317">
        <v>1.7921659663805038E7</v>
      </c>
      <c r="U192" s="162">
        <v>2.64063101326596E7</v>
      </c>
      <c r="V192" s="318">
        <f t="shared" si="37"/>
        <v>47.3</v>
      </c>
      <c r="W192" s="274"/>
      <c r="X192" s="274"/>
      <c r="Y192" s="274"/>
      <c r="Z192" s="274">
        <v>9.578</v>
      </c>
      <c r="AA192" s="309">
        <v>1349574.338</v>
      </c>
      <c r="AB192" s="309">
        <v>1093620.585</v>
      </c>
      <c r="AC192" s="309">
        <v>1175060.415</v>
      </c>
      <c r="AD192" s="274"/>
      <c r="AE192" s="274"/>
      <c r="AF192" s="274"/>
      <c r="AG192" s="274"/>
      <c r="AH192" s="274"/>
      <c r="AI192" s="274"/>
      <c r="AJ192" s="274"/>
      <c r="AK192" s="274"/>
      <c r="AL192" s="274"/>
      <c r="AM192" s="274"/>
      <c r="AN192" s="274"/>
      <c r="AO192" s="274"/>
      <c r="AP192" s="274"/>
      <c r="AQ192" s="274"/>
      <c r="AR192" s="274"/>
      <c r="AS192" s="274"/>
      <c r="AT192" s="274"/>
      <c r="AU192" s="274"/>
      <c r="AV192" s="274"/>
      <c r="AW192" s="274"/>
    </row>
    <row r="193" ht="15.75" customHeight="1">
      <c r="A193" s="274"/>
      <c r="B193" s="274"/>
      <c r="C193" s="274"/>
      <c r="D193" s="274"/>
      <c r="E193" s="274"/>
      <c r="F193" s="274"/>
      <c r="G193" s="274"/>
      <c r="H193" s="274"/>
      <c r="I193" s="274"/>
      <c r="J193" s="274"/>
      <c r="K193" s="274"/>
      <c r="L193" s="274"/>
      <c r="M193" s="274"/>
      <c r="N193" s="274"/>
      <c r="O193" s="274"/>
      <c r="P193" s="274"/>
      <c r="Q193" s="274"/>
      <c r="R193" s="316"/>
      <c r="S193" s="50" t="s">
        <v>3539</v>
      </c>
      <c r="T193" s="317">
        <v>1.7455045402080003E7</v>
      </c>
      <c r="U193" s="162">
        <v>2.6182568103120007E7</v>
      </c>
      <c r="V193" s="318">
        <f t="shared" si="37"/>
        <v>50</v>
      </c>
      <c r="W193" s="274"/>
      <c r="X193" s="274"/>
      <c r="Y193" s="274"/>
      <c r="Z193" s="274">
        <v>9.625</v>
      </c>
      <c r="AA193" s="309">
        <v>1349574.338</v>
      </c>
      <c r="AB193" s="309">
        <v>1093620.585</v>
      </c>
      <c r="AC193" s="309">
        <v>1175060.415</v>
      </c>
      <c r="AD193" s="274"/>
      <c r="AE193" s="274"/>
      <c r="AF193" s="274"/>
      <c r="AG193" s="274"/>
      <c r="AH193" s="274"/>
      <c r="AI193" s="274"/>
      <c r="AJ193" s="274"/>
      <c r="AK193" s="274"/>
      <c r="AL193" s="274"/>
      <c r="AM193" s="274"/>
      <c r="AN193" s="274"/>
      <c r="AO193" s="274"/>
      <c r="AP193" s="274"/>
      <c r="AQ193" s="274"/>
      <c r="AR193" s="274"/>
      <c r="AS193" s="274"/>
      <c r="AT193" s="274"/>
      <c r="AU193" s="274"/>
      <c r="AV193" s="274"/>
      <c r="AW193" s="274"/>
    </row>
    <row r="194" ht="15.75" customHeight="1">
      <c r="A194" s="274"/>
      <c r="B194" s="274"/>
      <c r="C194" s="274"/>
      <c r="D194" s="274"/>
      <c r="E194" s="274"/>
      <c r="F194" s="274"/>
      <c r="G194" s="274"/>
      <c r="H194" s="274"/>
      <c r="I194" s="274"/>
      <c r="J194" s="274"/>
      <c r="K194" s="274"/>
      <c r="L194" s="274"/>
      <c r="M194" s="274"/>
      <c r="N194" s="274"/>
      <c r="O194" s="274"/>
      <c r="P194" s="274"/>
      <c r="Q194" s="274"/>
      <c r="R194" s="316"/>
      <c r="S194" s="50" t="s">
        <v>3540</v>
      </c>
      <c r="T194" s="317">
        <v>1.1437465029536085E7</v>
      </c>
      <c r="U194" s="162">
        <v>1.9375560258912005E7</v>
      </c>
      <c r="V194" s="318">
        <f t="shared" si="37"/>
        <v>69.4</v>
      </c>
      <c r="W194" s="274"/>
      <c r="X194" s="274"/>
      <c r="Y194" s="274"/>
      <c r="Z194" s="274">
        <v>9.687</v>
      </c>
      <c r="AA194" s="309">
        <v>1349574.338</v>
      </c>
      <c r="AB194" s="309">
        <v>1093620.585</v>
      </c>
      <c r="AC194" s="309">
        <v>1175060.415</v>
      </c>
      <c r="AD194" s="274"/>
      <c r="AE194" s="274"/>
      <c r="AF194" s="274"/>
      <c r="AG194" s="274"/>
      <c r="AH194" s="274"/>
      <c r="AI194" s="274"/>
      <c r="AJ194" s="274"/>
      <c r="AK194" s="274"/>
      <c r="AL194" s="274"/>
      <c r="AM194" s="274"/>
      <c r="AN194" s="274"/>
      <c r="AO194" s="274"/>
      <c r="AP194" s="274"/>
      <c r="AQ194" s="274"/>
      <c r="AR194" s="274"/>
      <c r="AS194" s="274"/>
      <c r="AT194" s="274"/>
      <c r="AU194" s="274"/>
      <c r="AV194" s="274"/>
      <c r="AW194" s="274"/>
    </row>
    <row r="195" ht="15.75" customHeight="1">
      <c r="A195" s="274"/>
      <c r="B195" s="274"/>
      <c r="C195" s="274"/>
      <c r="D195" s="274"/>
      <c r="E195" s="274"/>
      <c r="F195" s="274"/>
      <c r="G195" s="274"/>
      <c r="H195" s="274"/>
      <c r="I195" s="274"/>
      <c r="J195" s="274"/>
      <c r="K195" s="274"/>
      <c r="L195" s="274"/>
      <c r="M195" s="274"/>
      <c r="N195" s="274"/>
      <c r="O195" s="274"/>
      <c r="P195" s="274"/>
      <c r="Q195" s="274"/>
      <c r="R195" s="316"/>
      <c r="W195" s="274"/>
      <c r="X195" s="274"/>
      <c r="Y195" s="274"/>
      <c r="Z195" s="274">
        <v>9.75</v>
      </c>
      <c r="AA195" s="309">
        <v>1349574.338</v>
      </c>
      <c r="AB195" s="309">
        <v>1093620.585</v>
      </c>
      <c r="AC195" s="309">
        <v>1175060.415</v>
      </c>
      <c r="AD195" s="274"/>
      <c r="AE195" s="274"/>
      <c r="AF195" s="274"/>
      <c r="AG195" s="274"/>
      <c r="AH195" s="274"/>
      <c r="AI195" s="274"/>
      <c r="AJ195" s="274"/>
      <c r="AK195" s="274"/>
      <c r="AL195" s="274"/>
      <c r="AM195" s="274"/>
      <c r="AN195" s="274"/>
      <c r="AO195" s="274"/>
      <c r="AP195" s="274"/>
      <c r="AQ195" s="274"/>
      <c r="AR195" s="274"/>
      <c r="AS195" s="274"/>
      <c r="AT195" s="274"/>
      <c r="AU195" s="274"/>
      <c r="AV195" s="274"/>
      <c r="AW195" s="274"/>
    </row>
    <row r="196" ht="15.75" customHeight="1">
      <c r="A196" s="274"/>
      <c r="B196" s="274"/>
      <c r="C196" s="274"/>
      <c r="D196" s="274"/>
      <c r="E196" s="274"/>
      <c r="F196" s="274"/>
      <c r="G196" s="274"/>
      <c r="H196" s="274"/>
      <c r="I196" s="274"/>
      <c r="J196" s="274"/>
      <c r="K196" s="274"/>
      <c r="L196" s="274"/>
      <c r="M196" s="274"/>
      <c r="N196" s="274"/>
      <c r="O196" s="274"/>
      <c r="P196" s="274"/>
      <c r="Q196" s="274"/>
      <c r="R196" s="316"/>
      <c r="W196" s="274"/>
      <c r="X196" s="274"/>
      <c r="Y196" s="274"/>
      <c r="Z196" s="274">
        <v>9.828</v>
      </c>
      <c r="AA196" s="309">
        <v>1349574.338</v>
      </c>
      <c r="AB196" s="309">
        <v>1093620.585</v>
      </c>
      <c r="AC196" s="309">
        <v>1175060.415</v>
      </c>
      <c r="AD196" s="274"/>
      <c r="AE196" s="274"/>
      <c r="AF196" s="274"/>
      <c r="AG196" s="274"/>
      <c r="AH196" s="274"/>
      <c r="AI196" s="274"/>
      <c r="AJ196" s="274"/>
      <c r="AK196" s="274"/>
      <c r="AL196" s="274"/>
      <c r="AM196" s="274"/>
      <c r="AN196" s="274"/>
      <c r="AO196" s="274"/>
      <c r="AP196" s="274"/>
      <c r="AQ196" s="274"/>
      <c r="AR196" s="274"/>
      <c r="AS196" s="274"/>
      <c r="AT196" s="274"/>
      <c r="AU196" s="274"/>
      <c r="AV196" s="274"/>
      <c r="AW196" s="274"/>
    </row>
    <row r="197" ht="15.75" customHeight="1">
      <c r="A197" s="274"/>
      <c r="B197" s="274"/>
      <c r="C197" s="274"/>
      <c r="D197" s="274"/>
      <c r="E197" s="274"/>
      <c r="F197" s="274"/>
      <c r="G197" s="274"/>
      <c r="H197" s="274"/>
      <c r="I197" s="274"/>
      <c r="J197" s="274"/>
      <c r="K197" s="274"/>
      <c r="L197" s="274"/>
      <c r="M197" s="274"/>
      <c r="N197" s="274"/>
      <c r="O197" s="274"/>
      <c r="P197" s="274"/>
      <c r="Q197" s="274"/>
      <c r="R197" s="316"/>
      <c r="W197" s="274"/>
      <c r="X197" s="274"/>
      <c r="Y197" s="274"/>
      <c r="Z197" s="274">
        <v>9.875</v>
      </c>
      <c r="AA197" s="309">
        <v>1349574.338</v>
      </c>
      <c r="AB197" s="309">
        <v>1093620.585</v>
      </c>
      <c r="AC197" s="309">
        <v>1175060.415</v>
      </c>
      <c r="AD197" s="274"/>
      <c r="AE197" s="274"/>
      <c r="AF197" s="274"/>
      <c r="AG197" s="274"/>
      <c r="AH197" s="274"/>
      <c r="AI197" s="274"/>
      <c r="AJ197" s="274"/>
      <c r="AK197" s="274"/>
      <c r="AL197" s="274"/>
      <c r="AM197" s="274"/>
      <c r="AN197" s="274"/>
      <c r="AO197" s="274"/>
      <c r="AP197" s="274"/>
      <c r="AQ197" s="274"/>
      <c r="AR197" s="274"/>
      <c r="AS197" s="274"/>
      <c r="AT197" s="274"/>
      <c r="AU197" s="274"/>
      <c r="AV197" s="274"/>
      <c r="AW197" s="274"/>
    </row>
    <row r="198" ht="15.75" customHeight="1">
      <c r="A198" s="274"/>
      <c r="B198" s="274"/>
      <c r="C198" s="274"/>
      <c r="D198" s="274"/>
      <c r="E198" s="274"/>
      <c r="F198" s="274"/>
      <c r="G198" s="274"/>
      <c r="H198" s="274"/>
      <c r="I198" s="274"/>
      <c r="J198" s="274"/>
      <c r="K198" s="274"/>
      <c r="L198" s="274"/>
      <c r="M198" s="274"/>
      <c r="N198" s="274"/>
      <c r="O198" s="274"/>
      <c r="P198" s="274"/>
      <c r="Q198" s="274"/>
      <c r="R198" s="316"/>
      <c r="W198" s="274"/>
      <c r="X198" s="274"/>
      <c r="Y198" s="274"/>
      <c r="Z198" s="274">
        <v>9.937</v>
      </c>
      <c r="AA198" s="309">
        <v>1349574.338</v>
      </c>
      <c r="AB198" s="309">
        <v>1093620.585</v>
      </c>
      <c r="AC198" s="309">
        <v>1175060.415</v>
      </c>
      <c r="AD198" s="274"/>
      <c r="AE198" s="274"/>
      <c r="AF198" s="274"/>
      <c r="AG198" s="274"/>
      <c r="AH198" s="274"/>
      <c r="AI198" s="274"/>
      <c r="AJ198" s="274"/>
      <c r="AK198" s="274"/>
      <c r="AL198" s="274"/>
      <c r="AM198" s="274"/>
      <c r="AN198" s="274"/>
      <c r="AO198" s="274"/>
      <c r="AP198" s="274"/>
      <c r="AQ198" s="274"/>
      <c r="AR198" s="274"/>
      <c r="AS198" s="274"/>
      <c r="AT198" s="274"/>
      <c r="AU198" s="274"/>
      <c r="AV198" s="274"/>
      <c r="AW198" s="274"/>
    </row>
    <row r="199" ht="15.75" customHeight="1">
      <c r="A199" s="274"/>
      <c r="B199" s="274"/>
      <c r="C199" s="274"/>
      <c r="D199" s="274"/>
      <c r="E199" s="274"/>
      <c r="F199" s="274"/>
      <c r="G199" s="274"/>
      <c r="H199" s="274"/>
      <c r="I199" s="274"/>
      <c r="J199" s="274"/>
      <c r="K199" s="274"/>
      <c r="L199" s="274"/>
      <c r="M199" s="274"/>
      <c r="N199" s="274"/>
      <c r="O199" s="274"/>
      <c r="P199" s="274"/>
      <c r="Q199" s="274"/>
      <c r="R199" s="316"/>
      <c r="W199" s="274"/>
      <c r="X199" s="274"/>
      <c r="Y199" s="274"/>
      <c r="Z199" s="274">
        <v>10.0</v>
      </c>
      <c r="AA199" s="309">
        <v>1349574.338</v>
      </c>
      <c r="AB199" s="309">
        <v>1093620.585</v>
      </c>
      <c r="AC199" s="309">
        <v>1175060.415</v>
      </c>
      <c r="AD199" s="274"/>
      <c r="AE199" s="274"/>
      <c r="AF199" s="274"/>
      <c r="AG199" s="274"/>
      <c r="AH199" s="274"/>
      <c r="AI199" s="274"/>
      <c r="AJ199" s="274"/>
      <c r="AK199" s="274"/>
      <c r="AL199" s="274"/>
      <c r="AM199" s="274"/>
      <c r="AN199" s="274"/>
      <c r="AO199" s="274"/>
      <c r="AP199" s="274"/>
      <c r="AQ199" s="274"/>
      <c r="AR199" s="274"/>
      <c r="AS199" s="274"/>
      <c r="AT199" s="274"/>
      <c r="AU199" s="274"/>
      <c r="AV199" s="274"/>
      <c r="AW199" s="274"/>
    </row>
    <row r="200" ht="15.75" customHeight="1">
      <c r="A200" s="274"/>
      <c r="B200" s="274"/>
      <c r="C200" s="274"/>
      <c r="D200" s="274"/>
      <c r="E200" s="274"/>
      <c r="F200" s="274"/>
      <c r="G200" s="274"/>
      <c r="H200" s="274"/>
      <c r="I200" s="274"/>
      <c r="J200" s="274"/>
      <c r="K200" s="274"/>
      <c r="L200" s="274"/>
      <c r="M200" s="274"/>
      <c r="N200" s="274"/>
      <c r="O200" s="274"/>
      <c r="P200" s="274"/>
      <c r="Q200" s="274"/>
      <c r="R200" s="316"/>
      <c r="W200" s="274"/>
      <c r="X200" s="274"/>
      <c r="Y200" s="274"/>
      <c r="Z200" s="274">
        <v>10.062</v>
      </c>
      <c r="AA200" s="309">
        <v>1384477.123</v>
      </c>
      <c r="AB200" s="309">
        <v>1093620.585</v>
      </c>
      <c r="AC200" s="309">
        <v>1221597.462</v>
      </c>
      <c r="AD200" s="274"/>
      <c r="AE200" s="274"/>
      <c r="AF200" s="274"/>
      <c r="AG200" s="274"/>
      <c r="AH200" s="274"/>
      <c r="AI200" s="274"/>
      <c r="AJ200" s="274"/>
      <c r="AK200" s="274"/>
      <c r="AL200" s="274"/>
      <c r="AM200" s="274"/>
      <c r="AN200" s="274"/>
      <c r="AO200" s="274"/>
      <c r="AP200" s="274"/>
      <c r="AQ200" s="274"/>
      <c r="AR200" s="274"/>
      <c r="AS200" s="274"/>
      <c r="AT200" s="274"/>
      <c r="AU200" s="274"/>
      <c r="AV200" s="274"/>
      <c r="AW200" s="274"/>
    </row>
    <row r="201" ht="15.75" customHeight="1">
      <c r="A201" s="274"/>
      <c r="B201" s="274"/>
      <c r="C201" s="274"/>
      <c r="D201" s="274"/>
      <c r="E201" s="274"/>
      <c r="F201" s="274"/>
      <c r="G201" s="274"/>
      <c r="H201" s="274"/>
      <c r="I201" s="274"/>
      <c r="J201" s="274"/>
      <c r="K201" s="274"/>
      <c r="L201" s="274"/>
      <c r="M201" s="274"/>
      <c r="N201" s="274"/>
      <c r="O201" s="274"/>
      <c r="P201" s="274"/>
      <c r="Q201" s="274"/>
      <c r="R201" s="316"/>
      <c r="W201" s="274"/>
      <c r="X201" s="274"/>
      <c r="Y201" s="274"/>
      <c r="Z201" s="274">
        <v>10.125</v>
      </c>
      <c r="AA201" s="309">
        <v>1407745.646</v>
      </c>
      <c r="AB201" s="309">
        <v>1093620.585</v>
      </c>
      <c r="AC201" s="309">
        <v>1221597.462</v>
      </c>
      <c r="AD201" s="274"/>
      <c r="AE201" s="274"/>
      <c r="AF201" s="274"/>
      <c r="AG201" s="274"/>
      <c r="AH201" s="274"/>
      <c r="AI201" s="274"/>
      <c r="AJ201" s="274"/>
      <c r="AK201" s="274"/>
      <c r="AL201" s="274"/>
      <c r="AM201" s="274"/>
      <c r="AN201" s="274"/>
      <c r="AO201" s="274"/>
      <c r="AP201" s="274"/>
      <c r="AQ201" s="274"/>
      <c r="AR201" s="274"/>
      <c r="AS201" s="274"/>
      <c r="AT201" s="274"/>
      <c r="AU201" s="274"/>
      <c r="AV201" s="274"/>
      <c r="AW201" s="274"/>
    </row>
    <row r="202" ht="15.75" customHeight="1">
      <c r="A202" s="274"/>
      <c r="B202" s="274"/>
      <c r="C202" s="274"/>
      <c r="D202" s="274"/>
      <c r="E202" s="274"/>
      <c r="F202" s="274"/>
      <c r="G202" s="274"/>
      <c r="H202" s="274"/>
      <c r="I202" s="274"/>
      <c r="J202" s="274"/>
      <c r="K202" s="274"/>
      <c r="L202" s="274"/>
      <c r="M202" s="274"/>
      <c r="N202" s="274"/>
      <c r="O202" s="274"/>
      <c r="P202" s="274"/>
      <c r="Q202" s="274"/>
      <c r="R202" s="316"/>
      <c r="W202" s="274"/>
      <c r="X202" s="274"/>
      <c r="Y202" s="274"/>
      <c r="Z202" s="274">
        <v>10.203</v>
      </c>
      <c r="AA202" s="309">
        <v>1407745.646</v>
      </c>
      <c r="AB202" s="309">
        <v>1093620.585</v>
      </c>
      <c r="AC202" s="309">
        <v>1221597.462</v>
      </c>
      <c r="AD202" s="274"/>
      <c r="AE202" s="274"/>
      <c r="AF202" s="274"/>
      <c r="AG202" s="274"/>
      <c r="AH202" s="274"/>
      <c r="AI202" s="274"/>
      <c r="AJ202" s="274"/>
      <c r="AK202" s="274"/>
      <c r="AL202" s="274"/>
      <c r="AM202" s="274"/>
      <c r="AN202" s="274"/>
      <c r="AO202" s="274"/>
      <c r="AP202" s="274"/>
      <c r="AQ202" s="274"/>
      <c r="AR202" s="274"/>
      <c r="AS202" s="274"/>
      <c r="AT202" s="274"/>
      <c r="AU202" s="274"/>
      <c r="AV202" s="274"/>
      <c r="AW202" s="274"/>
    </row>
    <row r="203" ht="15.75" customHeight="1">
      <c r="A203" s="274"/>
      <c r="B203" s="274"/>
      <c r="C203" s="274"/>
      <c r="D203" s="274"/>
      <c r="E203" s="274"/>
      <c r="F203" s="274"/>
      <c r="G203" s="274"/>
      <c r="H203" s="274"/>
      <c r="I203" s="274"/>
      <c r="J203" s="274"/>
      <c r="K203" s="274"/>
      <c r="L203" s="274"/>
      <c r="M203" s="274"/>
      <c r="N203" s="274"/>
      <c r="O203" s="274"/>
      <c r="P203" s="274"/>
      <c r="Q203" s="274"/>
      <c r="R203" s="316"/>
      <c r="W203" s="274"/>
      <c r="X203" s="274"/>
      <c r="Y203" s="274"/>
      <c r="Z203" s="274">
        <v>10.25</v>
      </c>
      <c r="AA203" s="309">
        <v>1407745.646</v>
      </c>
      <c r="AB203" s="309">
        <v>1093620.585</v>
      </c>
      <c r="AC203" s="309">
        <v>1268134.508</v>
      </c>
      <c r="AD203" s="274"/>
      <c r="AE203" s="274"/>
      <c r="AF203" s="274"/>
      <c r="AG203" s="274"/>
      <c r="AH203" s="274"/>
      <c r="AI203" s="274"/>
      <c r="AJ203" s="274"/>
      <c r="AK203" s="274"/>
      <c r="AL203" s="274"/>
      <c r="AM203" s="274"/>
      <c r="AN203" s="274"/>
      <c r="AO203" s="274"/>
      <c r="AP203" s="274"/>
      <c r="AQ203" s="274"/>
      <c r="AR203" s="274"/>
      <c r="AS203" s="274"/>
      <c r="AT203" s="274"/>
      <c r="AU203" s="274"/>
      <c r="AV203" s="274"/>
      <c r="AW203" s="274"/>
    </row>
    <row r="204" ht="15.75" customHeight="1">
      <c r="A204" s="274"/>
      <c r="B204" s="274"/>
      <c r="C204" s="274"/>
      <c r="D204" s="274"/>
      <c r="E204" s="274"/>
      <c r="F204" s="274"/>
      <c r="G204" s="274"/>
      <c r="H204" s="274"/>
      <c r="I204" s="274"/>
      <c r="J204" s="274"/>
      <c r="K204" s="274"/>
      <c r="L204" s="274"/>
      <c r="M204" s="274"/>
      <c r="N204" s="274"/>
      <c r="O204" s="274"/>
      <c r="P204" s="274"/>
      <c r="Q204" s="274"/>
      <c r="R204" s="316"/>
      <c r="W204" s="274"/>
      <c r="X204" s="274"/>
      <c r="Y204" s="274"/>
      <c r="Z204" s="274">
        <v>10.328</v>
      </c>
      <c r="AA204" s="309">
        <v>1407745.646</v>
      </c>
      <c r="AB204" s="309">
        <v>1093620.585</v>
      </c>
      <c r="AC204" s="309">
        <v>1268134.508</v>
      </c>
      <c r="AD204" s="274"/>
      <c r="AE204" s="274"/>
      <c r="AF204" s="274"/>
      <c r="AG204" s="274"/>
      <c r="AH204" s="274"/>
      <c r="AI204" s="274"/>
      <c r="AJ204" s="274"/>
      <c r="AK204" s="274"/>
      <c r="AL204" s="274"/>
      <c r="AM204" s="274"/>
      <c r="AN204" s="274"/>
      <c r="AO204" s="274"/>
      <c r="AP204" s="274"/>
      <c r="AQ204" s="274"/>
      <c r="AR204" s="274"/>
      <c r="AS204" s="274"/>
      <c r="AT204" s="274"/>
      <c r="AU204" s="274"/>
      <c r="AV204" s="274"/>
      <c r="AW204" s="274"/>
    </row>
    <row r="205" ht="15.75" customHeight="1">
      <c r="A205" s="274"/>
      <c r="B205" s="274"/>
      <c r="C205" s="274"/>
      <c r="D205" s="274"/>
      <c r="E205" s="274"/>
      <c r="F205" s="274"/>
      <c r="G205" s="274"/>
      <c r="H205" s="274"/>
      <c r="I205" s="274"/>
      <c r="J205" s="274"/>
      <c r="K205" s="274"/>
      <c r="L205" s="274"/>
      <c r="M205" s="274"/>
      <c r="N205" s="274"/>
      <c r="O205" s="274"/>
      <c r="P205" s="274"/>
      <c r="Q205" s="274"/>
      <c r="R205" s="316"/>
      <c r="W205" s="274"/>
      <c r="X205" s="274"/>
      <c r="Y205" s="274"/>
      <c r="Z205" s="274">
        <v>10.375</v>
      </c>
      <c r="AA205" s="309">
        <v>1407745.646</v>
      </c>
      <c r="AB205" s="309">
        <v>1093620.585</v>
      </c>
      <c r="AC205" s="309">
        <v>1268134.508</v>
      </c>
      <c r="AD205" s="274"/>
      <c r="AE205" s="274"/>
      <c r="AF205" s="274"/>
      <c r="AG205" s="274"/>
      <c r="AH205" s="274"/>
      <c r="AI205" s="274"/>
      <c r="AJ205" s="274"/>
      <c r="AK205" s="274"/>
      <c r="AL205" s="274"/>
      <c r="AM205" s="274"/>
      <c r="AN205" s="274"/>
      <c r="AO205" s="274"/>
      <c r="AP205" s="274"/>
      <c r="AQ205" s="274"/>
      <c r="AR205" s="274"/>
      <c r="AS205" s="274"/>
      <c r="AT205" s="274"/>
      <c r="AU205" s="274"/>
      <c r="AV205" s="274"/>
      <c r="AW205" s="274"/>
    </row>
    <row r="206" ht="15.75" customHeight="1">
      <c r="A206" s="274"/>
      <c r="B206" s="274"/>
      <c r="C206" s="274"/>
      <c r="D206" s="274"/>
      <c r="E206" s="274"/>
      <c r="F206" s="274"/>
      <c r="G206" s="274"/>
      <c r="H206" s="274"/>
      <c r="I206" s="274"/>
      <c r="J206" s="274"/>
      <c r="K206" s="274"/>
      <c r="L206" s="274"/>
      <c r="M206" s="274"/>
      <c r="N206" s="274"/>
      <c r="O206" s="274"/>
      <c r="P206" s="274"/>
      <c r="Q206" s="274"/>
      <c r="R206" s="316"/>
      <c r="W206" s="274"/>
      <c r="X206" s="274"/>
      <c r="Y206" s="274"/>
      <c r="Z206" s="274">
        <v>10.437</v>
      </c>
      <c r="AA206" s="309">
        <v>1407745.646</v>
      </c>
      <c r="AB206" s="309">
        <v>1244865.985</v>
      </c>
      <c r="AC206" s="309">
        <v>1314671.554</v>
      </c>
      <c r="AD206" s="274"/>
      <c r="AE206" s="274"/>
      <c r="AF206" s="274"/>
      <c r="AG206" s="274"/>
      <c r="AH206" s="274"/>
      <c r="AI206" s="274"/>
      <c r="AJ206" s="274"/>
      <c r="AK206" s="274"/>
      <c r="AL206" s="274"/>
      <c r="AM206" s="274"/>
      <c r="AN206" s="274"/>
      <c r="AO206" s="274"/>
      <c r="AP206" s="274"/>
      <c r="AQ206" s="274"/>
      <c r="AR206" s="274"/>
      <c r="AS206" s="274"/>
      <c r="AT206" s="274"/>
      <c r="AU206" s="274"/>
      <c r="AV206" s="274"/>
      <c r="AW206" s="274"/>
    </row>
    <row r="207" ht="15.75" customHeight="1">
      <c r="A207" s="274"/>
      <c r="B207" s="274"/>
      <c r="C207" s="274"/>
      <c r="D207" s="274"/>
      <c r="E207" s="274"/>
      <c r="F207" s="274"/>
      <c r="G207" s="274"/>
      <c r="H207" s="274"/>
      <c r="I207" s="274"/>
      <c r="J207" s="274"/>
      <c r="K207" s="274"/>
      <c r="L207" s="274"/>
      <c r="M207" s="274"/>
      <c r="N207" s="274"/>
      <c r="O207" s="274"/>
      <c r="P207" s="274"/>
      <c r="Q207" s="274"/>
      <c r="R207" s="316"/>
      <c r="W207" s="274"/>
      <c r="X207" s="274"/>
      <c r="Y207" s="274"/>
      <c r="Z207" s="274">
        <v>10.515</v>
      </c>
      <c r="AA207" s="309">
        <v>1407745.646</v>
      </c>
      <c r="AB207" s="309">
        <v>1244865.985</v>
      </c>
      <c r="AC207" s="309">
        <v>1314671.554</v>
      </c>
      <c r="AD207" s="274"/>
      <c r="AE207" s="274"/>
      <c r="AF207" s="274"/>
      <c r="AG207" s="274"/>
      <c r="AH207" s="274"/>
      <c r="AI207" s="274"/>
      <c r="AJ207" s="274"/>
      <c r="AK207" s="274"/>
      <c r="AL207" s="274"/>
      <c r="AM207" s="274"/>
      <c r="AN207" s="274"/>
      <c r="AO207" s="274"/>
      <c r="AP207" s="274"/>
      <c r="AQ207" s="274"/>
      <c r="AR207" s="274"/>
      <c r="AS207" s="274"/>
      <c r="AT207" s="274"/>
      <c r="AU207" s="274"/>
      <c r="AV207" s="274"/>
      <c r="AW207" s="274"/>
    </row>
    <row r="208" ht="15.75" customHeight="1">
      <c r="A208" s="274"/>
      <c r="B208" s="274"/>
      <c r="C208" s="274"/>
      <c r="D208" s="274"/>
      <c r="E208" s="274"/>
      <c r="F208" s="274"/>
      <c r="G208" s="274"/>
      <c r="H208" s="274"/>
      <c r="I208" s="274"/>
      <c r="J208" s="274"/>
      <c r="K208" s="274"/>
      <c r="L208" s="274"/>
      <c r="M208" s="274"/>
      <c r="N208" s="274"/>
      <c r="O208" s="274"/>
      <c r="P208" s="274"/>
      <c r="Q208" s="274"/>
      <c r="R208" s="316"/>
      <c r="W208" s="274"/>
      <c r="X208" s="274"/>
      <c r="Y208" s="274"/>
      <c r="Z208" s="274">
        <v>10.562</v>
      </c>
      <c r="AA208" s="309">
        <v>1407745.646</v>
      </c>
      <c r="AB208" s="309">
        <v>1244865.985</v>
      </c>
      <c r="AC208" s="309">
        <v>1314671.554</v>
      </c>
      <c r="AD208" s="274"/>
      <c r="AE208" s="274"/>
      <c r="AF208" s="274"/>
      <c r="AG208" s="274"/>
      <c r="AH208" s="274"/>
      <c r="AI208" s="274"/>
      <c r="AJ208" s="274"/>
      <c r="AK208" s="274"/>
      <c r="AL208" s="274"/>
      <c r="AM208" s="274"/>
      <c r="AN208" s="274"/>
      <c r="AO208" s="274"/>
      <c r="AP208" s="274"/>
      <c r="AQ208" s="274"/>
      <c r="AR208" s="274"/>
      <c r="AS208" s="274"/>
      <c r="AT208" s="274"/>
      <c r="AU208" s="274"/>
      <c r="AV208" s="274"/>
      <c r="AW208" s="274"/>
    </row>
    <row r="209" ht="15.75" customHeight="1">
      <c r="A209" s="274"/>
      <c r="B209" s="274"/>
      <c r="C209" s="274"/>
      <c r="D209" s="274"/>
      <c r="E209" s="274"/>
      <c r="F209" s="274"/>
      <c r="G209" s="274"/>
      <c r="H209" s="274"/>
      <c r="I209" s="274"/>
      <c r="J209" s="274"/>
      <c r="K209" s="274"/>
      <c r="L209" s="274"/>
      <c r="M209" s="274"/>
      <c r="N209" s="274"/>
      <c r="O209" s="274"/>
      <c r="P209" s="274"/>
      <c r="Q209" s="274"/>
      <c r="R209" s="316"/>
      <c r="W209" s="274"/>
      <c r="X209" s="274"/>
      <c r="Y209" s="274"/>
      <c r="Z209" s="274">
        <v>10.625</v>
      </c>
      <c r="AA209" s="309">
        <v>1407745.646</v>
      </c>
      <c r="AB209" s="309">
        <v>1244865.985</v>
      </c>
      <c r="AC209" s="309">
        <v>1314671.554</v>
      </c>
      <c r="AD209" s="274"/>
      <c r="AE209" s="274"/>
      <c r="AF209" s="274"/>
      <c r="AG209" s="274"/>
      <c r="AH209" s="274"/>
      <c r="AI209" s="274"/>
      <c r="AJ209" s="274"/>
      <c r="AK209" s="274"/>
      <c r="AL209" s="274"/>
      <c r="AM209" s="274"/>
      <c r="AN209" s="274"/>
      <c r="AO209" s="274"/>
      <c r="AP209" s="274"/>
      <c r="AQ209" s="274"/>
      <c r="AR209" s="274"/>
      <c r="AS209" s="274"/>
      <c r="AT209" s="274"/>
      <c r="AU209" s="274"/>
      <c r="AV209" s="274"/>
      <c r="AW209" s="274"/>
    </row>
    <row r="210" ht="15.75" customHeight="1">
      <c r="A210" s="274"/>
      <c r="B210" s="274"/>
      <c r="C210" s="274"/>
      <c r="D210" s="274"/>
      <c r="E210" s="274"/>
      <c r="F210" s="274"/>
      <c r="G210" s="274"/>
      <c r="H210" s="274"/>
      <c r="I210" s="274"/>
      <c r="J210" s="274"/>
      <c r="K210" s="274"/>
      <c r="L210" s="274"/>
      <c r="M210" s="274"/>
      <c r="N210" s="274"/>
      <c r="O210" s="274"/>
      <c r="P210" s="274"/>
      <c r="Q210" s="274"/>
      <c r="R210" s="316"/>
      <c r="W210" s="274"/>
      <c r="X210" s="274"/>
      <c r="Y210" s="274"/>
      <c r="Z210" s="274">
        <v>10.687</v>
      </c>
      <c r="AA210" s="309">
        <v>1407745.646</v>
      </c>
      <c r="AB210" s="309">
        <v>1244865.985</v>
      </c>
      <c r="AC210" s="309">
        <v>1314671.554</v>
      </c>
      <c r="AD210" s="274"/>
      <c r="AE210" s="274"/>
      <c r="AF210" s="274"/>
      <c r="AG210" s="274"/>
      <c r="AH210" s="274"/>
      <c r="AI210" s="274"/>
      <c r="AJ210" s="274"/>
      <c r="AK210" s="274"/>
      <c r="AL210" s="274"/>
      <c r="AM210" s="274"/>
      <c r="AN210" s="274"/>
      <c r="AO210" s="274"/>
      <c r="AP210" s="274"/>
      <c r="AQ210" s="274"/>
      <c r="AR210" s="274"/>
      <c r="AS210" s="274"/>
      <c r="AT210" s="274"/>
      <c r="AU210" s="274"/>
      <c r="AV210" s="274"/>
      <c r="AW210" s="274"/>
    </row>
    <row r="211" ht="15.75" customHeight="1">
      <c r="A211" s="274"/>
      <c r="B211" s="274"/>
      <c r="C211" s="274"/>
      <c r="D211" s="274"/>
      <c r="E211" s="274"/>
      <c r="F211" s="274"/>
      <c r="G211" s="274"/>
      <c r="H211" s="274"/>
      <c r="I211" s="274"/>
      <c r="J211" s="274"/>
      <c r="K211" s="274"/>
      <c r="L211" s="274"/>
      <c r="M211" s="274"/>
      <c r="N211" s="274"/>
      <c r="O211" s="274"/>
      <c r="P211" s="274"/>
      <c r="Q211" s="274"/>
      <c r="R211" s="316"/>
      <c r="W211" s="274"/>
      <c r="X211" s="274"/>
      <c r="Y211" s="274"/>
      <c r="Z211" s="274">
        <v>10.75</v>
      </c>
      <c r="AA211" s="309">
        <v>1628796.615</v>
      </c>
      <c r="AB211" s="309">
        <v>1244865.985</v>
      </c>
      <c r="AC211" s="309">
        <v>1314671.554</v>
      </c>
      <c r="AD211" s="274"/>
      <c r="AE211" s="274"/>
      <c r="AF211" s="274"/>
      <c r="AG211" s="274"/>
      <c r="AH211" s="274"/>
      <c r="AI211" s="274"/>
      <c r="AJ211" s="274"/>
      <c r="AK211" s="274"/>
      <c r="AL211" s="274"/>
      <c r="AM211" s="274"/>
      <c r="AN211" s="274"/>
      <c r="AO211" s="274"/>
      <c r="AP211" s="274"/>
      <c r="AQ211" s="274"/>
      <c r="AR211" s="274"/>
      <c r="AS211" s="274"/>
      <c r="AT211" s="274"/>
      <c r="AU211" s="274"/>
      <c r="AV211" s="274"/>
      <c r="AW211" s="274"/>
    </row>
    <row r="212" ht="15.75" customHeight="1">
      <c r="A212" s="274"/>
      <c r="B212" s="274"/>
      <c r="C212" s="274"/>
      <c r="D212" s="274"/>
      <c r="E212" s="274"/>
      <c r="F212" s="274"/>
      <c r="G212" s="274"/>
      <c r="H212" s="274"/>
      <c r="I212" s="274"/>
      <c r="J212" s="274"/>
      <c r="K212" s="274"/>
      <c r="L212" s="274"/>
      <c r="M212" s="274"/>
      <c r="N212" s="274"/>
      <c r="O212" s="274"/>
      <c r="P212" s="274"/>
      <c r="Q212" s="274"/>
      <c r="R212" s="316"/>
      <c r="W212" s="274"/>
      <c r="X212" s="274"/>
      <c r="Y212" s="274"/>
      <c r="Z212" s="274">
        <v>10.812</v>
      </c>
      <c r="AA212" s="309">
        <v>1628796.615</v>
      </c>
      <c r="AB212" s="309">
        <v>1244865.985</v>
      </c>
      <c r="AC212" s="309">
        <v>1314671.554</v>
      </c>
      <c r="AD212" s="274"/>
      <c r="AE212" s="274"/>
      <c r="AF212" s="274"/>
      <c r="AG212" s="274"/>
      <c r="AH212" s="274"/>
      <c r="AI212" s="274"/>
      <c r="AJ212" s="274"/>
      <c r="AK212" s="274"/>
      <c r="AL212" s="274"/>
      <c r="AM212" s="274"/>
      <c r="AN212" s="274"/>
      <c r="AO212" s="274"/>
      <c r="AP212" s="274"/>
      <c r="AQ212" s="274"/>
      <c r="AR212" s="274"/>
      <c r="AS212" s="274"/>
      <c r="AT212" s="274"/>
      <c r="AU212" s="274"/>
      <c r="AV212" s="274"/>
      <c r="AW212" s="274"/>
    </row>
    <row r="213" ht="15.75" customHeight="1">
      <c r="A213" s="274"/>
      <c r="B213" s="274"/>
      <c r="C213" s="274"/>
      <c r="D213" s="274"/>
      <c r="E213" s="274"/>
      <c r="F213" s="274"/>
      <c r="G213" s="274"/>
      <c r="H213" s="274"/>
      <c r="I213" s="274"/>
      <c r="J213" s="274"/>
      <c r="K213" s="274"/>
      <c r="L213" s="274"/>
      <c r="M213" s="274"/>
      <c r="N213" s="274"/>
      <c r="O213" s="274"/>
      <c r="P213" s="274"/>
      <c r="Q213" s="274"/>
      <c r="R213" s="316"/>
      <c r="W213" s="274"/>
      <c r="X213" s="274"/>
      <c r="Y213" s="274"/>
      <c r="Z213" s="274">
        <v>10.875</v>
      </c>
      <c r="AA213" s="309">
        <v>1628796.615</v>
      </c>
      <c r="AB213" s="309">
        <v>1244865.985</v>
      </c>
      <c r="AC213" s="309">
        <v>1314671.554</v>
      </c>
      <c r="AD213" s="274"/>
      <c r="AE213" s="274"/>
      <c r="AF213" s="274"/>
      <c r="AG213" s="274"/>
      <c r="AH213" s="274"/>
      <c r="AI213" s="274"/>
      <c r="AJ213" s="274"/>
      <c r="AK213" s="274"/>
      <c r="AL213" s="274"/>
      <c r="AM213" s="274"/>
      <c r="AN213" s="274"/>
      <c r="AO213" s="274"/>
      <c r="AP213" s="274"/>
      <c r="AQ213" s="274"/>
      <c r="AR213" s="274"/>
      <c r="AS213" s="274"/>
      <c r="AT213" s="274"/>
      <c r="AU213" s="274"/>
      <c r="AV213" s="274"/>
      <c r="AW213" s="274"/>
    </row>
    <row r="214" ht="15.75" customHeight="1">
      <c r="A214" s="274"/>
      <c r="B214" s="274"/>
      <c r="C214" s="274"/>
      <c r="D214" s="274"/>
      <c r="E214" s="274"/>
      <c r="F214" s="274"/>
      <c r="G214" s="274"/>
      <c r="H214" s="274"/>
      <c r="I214" s="274"/>
      <c r="J214" s="274"/>
      <c r="K214" s="274"/>
      <c r="L214" s="274"/>
      <c r="M214" s="274"/>
      <c r="N214" s="274"/>
      <c r="O214" s="274"/>
      <c r="P214" s="274"/>
      <c r="Q214" s="274"/>
      <c r="R214" s="316"/>
      <c r="W214" s="274"/>
      <c r="X214" s="274"/>
      <c r="Y214" s="274"/>
      <c r="Z214" s="274">
        <v>10.937</v>
      </c>
      <c r="AA214" s="309">
        <v>1628796.615</v>
      </c>
      <c r="AB214" s="309">
        <v>1244865.985</v>
      </c>
      <c r="AC214" s="309">
        <v>1314671.554</v>
      </c>
      <c r="AD214" s="274"/>
      <c r="AE214" s="274"/>
      <c r="AF214" s="274"/>
      <c r="AG214" s="274"/>
      <c r="AH214" s="274"/>
      <c r="AI214" s="274"/>
      <c r="AJ214" s="274"/>
      <c r="AK214" s="274"/>
      <c r="AL214" s="274"/>
      <c r="AM214" s="274"/>
      <c r="AN214" s="274"/>
      <c r="AO214" s="274"/>
      <c r="AP214" s="274"/>
      <c r="AQ214" s="274"/>
      <c r="AR214" s="274"/>
      <c r="AS214" s="274"/>
      <c r="AT214" s="274"/>
      <c r="AU214" s="274"/>
      <c r="AV214" s="274"/>
      <c r="AW214" s="274"/>
    </row>
    <row r="215" ht="15.75" customHeight="1">
      <c r="A215" s="274"/>
      <c r="B215" s="274"/>
      <c r="C215" s="274"/>
      <c r="D215" s="274"/>
      <c r="E215" s="274"/>
      <c r="F215" s="274"/>
      <c r="G215" s="274"/>
      <c r="H215" s="274"/>
      <c r="I215" s="274"/>
      <c r="J215" s="274"/>
      <c r="K215" s="274"/>
      <c r="L215" s="274"/>
      <c r="M215" s="274"/>
      <c r="N215" s="274"/>
      <c r="O215" s="274"/>
      <c r="P215" s="274"/>
      <c r="Q215" s="274"/>
      <c r="R215" s="316"/>
      <c r="W215" s="274"/>
      <c r="X215" s="274"/>
      <c r="Y215" s="274"/>
      <c r="Z215" s="274">
        <v>11.015</v>
      </c>
      <c r="AA215" s="309">
        <v>1628796.615</v>
      </c>
      <c r="AB215" s="309">
        <v>1244865.985</v>
      </c>
      <c r="AC215" s="309">
        <v>1314671.554</v>
      </c>
      <c r="AD215" s="274"/>
      <c r="AE215" s="274"/>
      <c r="AF215" s="274"/>
      <c r="AG215" s="274"/>
      <c r="AH215" s="274"/>
      <c r="AI215" s="274"/>
      <c r="AJ215" s="274"/>
      <c r="AK215" s="274"/>
      <c r="AL215" s="274"/>
      <c r="AM215" s="274"/>
      <c r="AN215" s="274"/>
      <c r="AO215" s="274"/>
      <c r="AP215" s="274"/>
      <c r="AQ215" s="274"/>
      <c r="AR215" s="274"/>
      <c r="AS215" s="274"/>
      <c r="AT215" s="274"/>
      <c r="AU215" s="274"/>
      <c r="AV215" s="274"/>
      <c r="AW215" s="274"/>
    </row>
    <row r="216" ht="15.75" customHeight="1">
      <c r="A216" s="274"/>
      <c r="B216" s="274"/>
      <c r="C216" s="274"/>
      <c r="D216" s="274"/>
      <c r="E216" s="274"/>
      <c r="F216" s="274"/>
      <c r="G216" s="274"/>
      <c r="H216" s="274"/>
      <c r="I216" s="274"/>
      <c r="J216" s="274"/>
      <c r="K216" s="274"/>
      <c r="L216" s="274"/>
      <c r="M216" s="274"/>
      <c r="N216" s="274"/>
      <c r="O216" s="274"/>
      <c r="P216" s="274"/>
      <c r="Q216" s="274"/>
      <c r="R216" s="316"/>
      <c r="W216" s="274"/>
      <c r="X216" s="274"/>
      <c r="Y216" s="274"/>
      <c r="Z216" s="274">
        <v>11.062</v>
      </c>
      <c r="AA216" s="309">
        <v>1628796.615</v>
      </c>
      <c r="AB216" s="309">
        <v>1244865.985</v>
      </c>
      <c r="AC216" s="309">
        <v>1314671.554</v>
      </c>
      <c r="AD216" s="274"/>
      <c r="AE216" s="274"/>
      <c r="AF216" s="274"/>
      <c r="AG216" s="274"/>
      <c r="AH216" s="274"/>
      <c r="AI216" s="274"/>
      <c r="AJ216" s="274"/>
      <c r="AK216" s="274"/>
      <c r="AL216" s="274"/>
      <c r="AM216" s="274"/>
      <c r="AN216" s="274"/>
      <c r="AO216" s="274"/>
      <c r="AP216" s="274"/>
      <c r="AQ216" s="274"/>
      <c r="AR216" s="274"/>
      <c r="AS216" s="274"/>
      <c r="AT216" s="274"/>
      <c r="AU216" s="274"/>
      <c r="AV216" s="274"/>
      <c r="AW216" s="274"/>
    </row>
    <row r="217" ht="15.75" customHeight="1">
      <c r="A217" s="274"/>
      <c r="B217" s="274"/>
      <c r="C217" s="274"/>
      <c r="D217" s="274"/>
      <c r="E217" s="274"/>
      <c r="F217" s="274"/>
      <c r="G217" s="274"/>
      <c r="H217" s="274"/>
      <c r="I217" s="274"/>
      <c r="J217" s="274"/>
      <c r="K217" s="274"/>
      <c r="L217" s="274"/>
      <c r="M217" s="274"/>
      <c r="N217" s="274"/>
      <c r="O217" s="274"/>
      <c r="P217" s="274"/>
      <c r="Q217" s="274"/>
      <c r="R217" s="316"/>
      <c r="W217" s="274"/>
      <c r="X217" s="274"/>
      <c r="Y217" s="274"/>
      <c r="Z217" s="274">
        <v>11.125</v>
      </c>
      <c r="AA217" s="309">
        <v>1628796.615</v>
      </c>
      <c r="AB217" s="309">
        <v>1244865.985</v>
      </c>
      <c r="AC217" s="309">
        <v>1314671.554</v>
      </c>
      <c r="AD217" s="274"/>
      <c r="AE217" s="274"/>
      <c r="AF217" s="274"/>
      <c r="AG217" s="274"/>
      <c r="AH217" s="274"/>
      <c r="AI217" s="274"/>
      <c r="AJ217" s="274"/>
      <c r="AK217" s="274"/>
      <c r="AL217" s="274"/>
      <c r="AM217" s="274"/>
      <c r="AN217" s="274"/>
      <c r="AO217" s="274"/>
      <c r="AP217" s="274"/>
      <c r="AQ217" s="274"/>
      <c r="AR217" s="274"/>
      <c r="AS217" s="274"/>
      <c r="AT217" s="274"/>
      <c r="AU217" s="274"/>
      <c r="AV217" s="274"/>
      <c r="AW217" s="274"/>
    </row>
    <row r="218" ht="15.75" customHeight="1">
      <c r="A218" s="274"/>
      <c r="B218" s="274"/>
      <c r="C218" s="274"/>
      <c r="D218" s="274"/>
      <c r="E218" s="274"/>
      <c r="F218" s="274"/>
      <c r="G218" s="274"/>
      <c r="H218" s="274"/>
      <c r="I218" s="274"/>
      <c r="J218" s="274"/>
      <c r="K218" s="274"/>
      <c r="L218" s="274"/>
      <c r="M218" s="274"/>
      <c r="N218" s="274"/>
      <c r="O218" s="274"/>
      <c r="P218" s="274"/>
      <c r="Q218" s="274"/>
      <c r="R218" s="316"/>
      <c r="W218" s="274"/>
      <c r="X218" s="274"/>
      <c r="Y218" s="274"/>
      <c r="Z218" s="274">
        <v>11.187</v>
      </c>
      <c r="AA218" s="309">
        <v>1628796.615</v>
      </c>
      <c r="AB218" s="309">
        <v>1244865.985</v>
      </c>
      <c r="AC218" s="309">
        <v>1314671.554</v>
      </c>
      <c r="AD218" s="274"/>
      <c r="AE218" s="274"/>
      <c r="AF218" s="274"/>
      <c r="AG218" s="274"/>
      <c r="AH218" s="274"/>
      <c r="AI218" s="274"/>
      <c r="AJ218" s="274"/>
      <c r="AK218" s="274"/>
      <c r="AL218" s="274"/>
      <c r="AM218" s="274"/>
      <c r="AN218" s="274"/>
      <c r="AO218" s="274"/>
      <c r="AP218" s="274"/>
      <c r="AQ218" s="274"/>
      <c r="AR218" s="274"/>
      <c r="AS218" s="274"/>
      <c r="AT218" s="274"/>
      <c r="AU218" s="274"/>
      <c r="AV218" s="274"/>
      <c r="AW218" s="274"/>
    </row>
    <row r="219" ht="15.75" customHeight="1">
      <c r="A219" s="274"/>
      <c r="B219" s="274"/>
      <c r="C219" s="274"/>
      <c r="D219" s="274"/>
      <c r="E219" s="274"/>
      <c r="F219" s="274"/>
      <c r="G219" s="274"/>
      <c r="H219" s="274"/>
      <c r="I219" s="274"/>
      <c r="J219" s="274"/>
      <c r="K219" s="274"/>
      <c r="L219" s="274"/>
      <c r="M219" s="274"/>
      <c r="N219" s="274"/>
      <c r="O219" s="274"/>
      <c r="P219" s="274"/>
      <c r="Q219" s="274"/>
      <c r="R219" s="316"/>
      <c r="W219" s="274"/>
      <c r="X219" s="274"/>
      <c r="Y219" s="274"/>
      <c r="Z219" s="274">
        <v>11.25</v>
      </c>
      <c r="AA219" s="309">
        <v>1628796.615</v>
      </c>
      <c r="AB219" s="309">
        <v>1244865.985</v>
      </c>
      <c r="AC219" s="309">
        <v>1314671.554</v>
      </c>
      <c r="AD219" s="274"/>
      <c r="AE219" s="274"/>
      <c r="AF219" s="274"/>
      <c r="AG219" s="274"/>
      <c r="AH219" s="274"/>
      <c r="AI219" s="274"/>
      <c r="AJ219" s="274"/>
      <c r="AK219" s="274"/>
      <c r="AL219" s="274"/>
      <c r="AM219" s="274"/>
      <c r="AN219" s="274"/>
      <c r="AO219" s="274"/>
      <c r="AP219" s="274"/>
      <c r="AQ219" s="274"/>
      <c r="AR219" s="274"/>
      <c r="AS219" s="274"/>
      <c r="AT219" s="274"/>
      <c r="AU219" s="274"/>
      <c r="AV219" s="274"/>
      <c r="AW219" s="274"/>
    </row>
    <row r="220" ht="15.75" customHeight="1">
      <c r="A220" s="274"/>
      <c r="B220" s="274"/>
      <c r="C220" s="274"/>
      <c r="D220" s="274"/>
      <c r="E220" s="274"/>
      <c r="F220" s="274"/>
      <c r="G220" s="274"/>
      <c r="H220" s="274"/>
      <c r="I220" s="274"/>
      <c r="J220" s="274"/>
      <c r="K220" s="274"/>
      <c r="L220" s="274"/>
      <c r="M220" s="274"/>
      <c r="N220" s="274"/>
      <c r="O220" s="274"/>
      <c r="P220" s="274"/>
      <c r="Q220" s="274"/>
      <c r="R220" s="316"/>
      <c r="W220" s="274"/>
      <c r="X220" s="274"/>
      <c r="Y220" s="274"/>
      <c r="Z220" s="274">
        <v>11.312</v>
      </c>
      <c r="AA220" s="309">
        <v>1628796.615</v>
      </c>
      <c r="AB220" s="309">
        <v>1244865.985</v>
      </c>
      <c r="AC220" s="309">
        <v>1314671.554</v>
      </c>
      <c r="AD220" s="274"/>
      <c r="AE220" s="274"/>
      <c r="AF220" s="274"/>
      <c r="AG220" s="274"/>
      <c r="AH220" s="274"/>
      <c r="AI220" s="274"/>
      <c r="AJ220" s="274"/>
      <c r="AK220" s="274"/>
      <c r="AL220" s="274"/>
      <c r="AM220" s="274"/>
      <c r="AN220" s="274"/>
      <c r="AO220" s="274"/>
      <c r="AP220" s="274"/>
      <c r="AQ220" s="274"/>
      <c r="AR220" s="274"/>
      <c r="AS220" s="274"/>
      <c r="AT220" s="274"/>
      <c r="AU220" s="274"/>
      <c r="AV220" s="274"/>
      <c r="AW220" s="274"/>
    </row>
    <row r="221" ht="15.75" customHeight="1">
      <c r="A221" s="274"/>
      <c r="B221" s="274"/>
      <c r="C221" s="274"/>
      <c r="D221" s="274"/>
      <c r="E221" s="274"/>
      <c r="F221" s="274"/>
      <c r="G221" s="274"/>
      <c r="H221" s="274"/>
      <c r="I221" s="274"/>
      <c r="J221" s="274"/>
      <c r="K221" s="274"/>
      <c r="L221" s="274"/>
      <c r="M221" s="274"/>
      <c r="N221" s="274"/>
      <c r="O221" s="274"/>
      <c r="P221" s="274"/>
      <c r="Q221" s="274"/>
      <c r="R221" s="316"/>
      <c r="W221" s="274"/>
      <c r="X221" s="274"/>
      <c r="Y221" s="274"/>
      <c r="Z221" s="274">
        <v>11.375</v>
      </c>
      <c r="AA221" s="309">
        <v>1628796.615</v>
      </c>
      <c r="AB221" s="309">
        <v>1244865.985</v>
      </c>
      <c r="AC221" s="309">
        <v>1361208.6</v>
      </c>
      <c r="AD221" s="274"/>
      <c r="AE221" s="274"/>
      <c r="AF221" s="274"/>
      <c r="AG221" s="274"/>
      <c r="AH221" s="274"/>
      <c r="AI221" s="274"/>
      <c r="AJ221" s="274"/>
      <c r="AK221" s="274"/>
      <c r="AL221" s="274"/>
      <c r="AM221" s="274"/>
      <c r="AN221" s="274"/>
      <c r="AO221" s="274"/>
      <c r="AP221" s="274"/>
      <c r="AQ221" s="274"/>
      <c r="AR221" s="274"/>
      <c r="AS221" s="274"/>
      <c r="AT221" s="274"/>
      <c r="AU221" s="274"/>
      <c r="AV221" s="274"/>
      <c r="AW221" s="274"/>
    </row>
    <row r="222" ht="15.75" customHeight="1">
      <c r="A222" s="274"/>
      <c r="B222" s="274"/>
      <c r="C222" s="274"/>
      <c r="D222" s="274"/>
      <c r="E222" s="274"/>
      <c r="F222" s="274"/>
      <c r="G222" s="274"/>
      <c r="H222" s="274"/>
      <c r="I222" s="274"/>
      <c r="J222" s="274"/>
      <c r="K222" s="274"/>
      <c r="L222" s="274"/>
      <c r="M222" s="274"/>
      <c r="N222" s="274"/>
      <c r="O222" s="274"/>
      <c r="P222" s="274"/>
      <c r="Q222" s="274"/>
      <c r="R222" s="316"/>
      <c r="W222" s="274"/>
      <c r="X222" s="274"/>
      <c r="Y222" s="274"/>
      <c r="Z222" s="274">
        <v>11.437</v>
      </c>
      <c r="AA222" s="309">
        <v>1628796.615</v>
      </c>
      <c r="AB222" s="309">
        <v>1244865.985</v>
      </c>
      <c r="AC222" s="309">
        <v>1361208.6</v>
      </c>
      <c r="AD222" s="274"/>
      <c r="AE222" s="274"/>
      <c r="AF222" s="274"/>
      <c r="AG222" s="274"/>
      <c r="AH222" s="274"/>
      <c r="AI222" s="274"/>
      <c r="AJ222" s="274"/>
      <c r="AK222" s="274"/>
      <c r="AL222" s="274"/>
      <c r="AM222" s="274"/>
      <c r="AN222" s="274"/>
      <c r="AO222" s="274"/>
      <c r="AP222" s="274"/>
      <c r="AQ222" s="274"/>
      <c r="AR222" s="274"/>
      <c r="AS222" s="274"/>
      <c r="AT222" s="274"/>
      <c r="AU222" s="274"/>
      <c r="AV222" s="274"/>
      <c r="AW222" s="274"/>
    </row>
    <row r="223" ht="15.75" customHeight="1">
      <c r="A223" s="274"/>
      <c r="B223" s="274"/>
      <c r="C223" s="274"/>
      <c r="D223" s="274"/>
      <c r="E223" s="274"/>
      <c r="F223" s="274"/>
      <c r="G223" s="274"/>
      <c r="H223" s="274"/>
      <c r="I223" s="274"/>
      <c r="J223" s="274"/>
      <c r="K223" s="274"/>
      <c r="L223" s="274"/>
      <c r="M223" s="274"/>
      <c r="N223" s="274"/>
      <c r="O223" s="274"/>
      <c r="P223" s="274"/>
      <c r="Q223" s="274"/>
      <c r="R223" s="316"/>
      <c r="W223" s="274"/>
      <c r="X223" s="274"/>
      <c r="Y223" s="274"/>
      <c r="Z223" s="274">
        <v>11.515</v>
      </c>
      <c r="AA223" s="309">
        <v>1628796.615</v>
      </c>
      <c r="AB223" s="309">
        <v>1244865.985</v>
      </c>
      <c r="AC223" s="309">
        <v>1361208.6</v>
      </c>
      <c r="AD223" s="274"/>
      <c r="AE223" s="274"/>
      <c r="AF223" s="274"/>
      <c r="AG223" s="274"/>
      <c r="AH223" s="274"/>
      <c r="AI223" s="274"/>
      <c r="AJ223" s="274"/>
      <c r="AK223" s="274"/>
      <c r="AL223" s="274"/>
      <c r="AM223" s="274"/>
      <c r="AN223" s="274"/>
      <c r="AO223" s="274"/>
      <c r="AP223" s="274"/>
      <c r="AQ223" s="274"/>
      <c r="AR223" s="274"/>
      <c r="AS223" s="274"/>
      <c r="AT223" s="274"/>
      <c r="AU223" s="274"/>
      <c r="AV223" s="274"/>
      <c r="AW223" s="274"/>
    </row>
    <row r="224" ht="15.75" customHeight="1">
      <c r="A224" s="274"/>
      <c r="B224" s="274"/>
      <c r="C224" s="274"/>
      <c r="D224" s="274"/>
      <c r="E224" s="274"/>
      <c r="F224" s="274"/>
      <c r="G224" s="274"/>
      <c r="H224" s="274"/>
      <c r="I224" s="274"/>
      <c r="J224" s="274"/>
      <c r="K224" s="274"/>
      <c r="L224" s="274"/>
      <c r="M224" s="274"/>
      <c r="N224" s="274"/>
      <c r="O224" s="274"/>
      <c r="P224" s="274"/>
      <c r="Q224" s="274"/>
      <c r="R224" s="316"/>
      <c r="W224" s="274"/>
      <c r="X224" s="274"/>
      <c r="Y224" s="274"/>
      <c r="Z224" s="274">
        <v>11.562</v>
      </c>
      <c r="AA224" s="309">
        <v>1628796.615</v>
      </c>
      <c r="AB224" s="309">
        <v>1244865.985</v>
      </c>
      <c r="AC224" s="309">
        <v>1407745.646</v>
      </c>
      <c r="AD224" s="274"/>
      <c r="AE224" s="274"/>
      <c r="AF224" s="274"/>
      <c r="AG224" s="274"/>
      <c r="AH224" s="274"/>
      <c r="AI224" s="274"/>
      <c r="AJ224" s="274"/>
      <c r="AK224" s="274"/>
      <c r="AL224" s="274"/>
      <c r="AM224" s="274"/>
      <c r="AN224" s="274"/>
      <c r="AO224" s="274"/>
      <c r="AP224" s="274"/>
      <c r="AQ224" s="274"/>
      <c r="AR224" s="274"/>
      <c r="AS224" s="274"/>
      <c r="AT224" s="274"/>
      <c r="AU224" s="274"/>
      <c r="AV224" s="274"/>
      <c r="AW224" s="274"/>
    </row>
    <row r="225" ht="15.75" customHeight="1">
      <c r="A225" s="274"/>
      <c r="B225" s="274"/>
      <c r="C225" s="274"/>
      <c r="D225" s="274"/>
      <c r="E225" s="274"/>
      <c r="F225" s="274"/>
      <c r="G225" s="274"/>
      <c r="H225" s="274"/>
      <c r="I225" s="274"/>
      <c r="J225" s="274"/>
      <c r="K225" s="274"/>
      <c r="L225" s="274"/>
      <c r="M225" s="274"/>
      <c r="N225" s="274"/>
      <c r="O225" s="274"/>
      <c r="P225" s="274"/>
      <c r="Q225" s="274"/>
      <c r="R225" s="316"/>
      <c r="W225" s="274"/>
      <c r="X225" s="274"/>
      <c r="Y225" s="274"/>
      <c r="Z225" s="274">
        <v>11.625</v>
      </c>
      <c r="AA225" s="309">
        <v>1628796.615</v>
      </c>
      <c r="AB225" s="309">
        <v>1244865.985</v>
      </c>
      <c r="AC225" s="309">
        <v>1407745.646</v>
      </c>
      <c r="AD225" s="274"/>
      <c r="AE225" s="274"/>
      <c r="AF225" s="274"/>
      <c r="AG225" s="274"/>
      <c r="AH225" s="274"/>
      <c r="AI225" s="274"/>
      <c r="AJ225" s="274"/>
      <c r="AK225" s="274"/>
      <c r="AL225" s="274"/>
      <c r="AM225" s="274"/>
      <c r="AN225" s="274"/>
      <c r="AO225" s="274"/>
      <c r="AP225" s="274"/>
      <c r="AQ225" s="274"/>
      <c r="AR225" s="274"/>
      <c r="AS225" s="274"/>
      <c r="AT225" s="274"/>
      <c r="AU225" s="274"/>
      <c r="AV225" s="274"/>
      <c r="AW225" s="274"/>
    </row>
    <row r="226" ht="15.75" customHeight="1">
      <c r="A226" s="274"/>
      <c r="B226" s="274"/>
      <c r="C226" s="274"/>
      <c r="D226" s="274"/>
      <c r="E226" s="274"/>
      <c r="F226" s="274"/>
      <c r="G226" s="274"/>
      <c r="H226" s="274"/>
      <c r="I226" s="274"/>
      <c r="J226" s="274"/>
      <c r="K226" s="274"/>
      <c r="L226" s="274"/>
      <c r="M226" s="274"/>
      <c r="N226" s="274"/>
      <c r="O226" s="274"/>
      <c r="P226" s="274"/>
      <c r="Q226" s="274"/>
      <c r="R226" s="316"/>
      <c r="W226" s="274"/>
      <c r="X226" s="274"/>
      <c r="Y226" s="274"/>
      <c r="Z226" s="274">
        <v>11.687</v>
      </c>
      <c r="AA226" s="309">
        <v>1628796.615</v>
      </c>
      <c r="AB226" s="309">
        <v>1244865.985</v>
      </c>
      <c r="AC226" s="309">
        <v>1407745.646</v>
      </c>
      <c r="AD226" s="274"/>
      <c r="AE226" s="274"/>
      <c r="AF226" s="274"/>
      <c r="AG226" s="274"/>
      <c r="AH226" s="274"/>
      <c r="AI226" s="274"/>
      <c r="AJ226" s="274"/>
      <c r="AK226" s="274"/>
      <c r="AL226" s="274"/>
      <c r="AM226" s="274"/>
      <c r="AN226" s="274"/>
      <c r="AO226" s="274"/>
      <c r="AP226" s="274"/>
      <c r="AQ226" s="274"/>
      <c r="AR226" s="274"/>
      <c r="AS226" s="274"/>
      <c r="AT226" s="274"/>
      <c r="AU226" s="274"/>
      <c r="AV226" s="274"/>
      <c r="AW226" s="274"/>
    </row>
    <row r="227" ht="15.75" customHeight="1">
      <c r="A227" s="274"/>
      <c r="B227" s="274"/>
      <c r="C227" s="274"/>
      <c r="D227" s="274"/>
      <c r="E227" s="274"/>
      <c r="F227" s="274"/>
      <c r="G227" s="274"/>
      <c r="H227" s="274"/>
      <c r="I227" s="274"/>
      <c r="J227" s="274"/>
      <c r="K227" s="274"/>
      <c r="L227" s="274"/>
      <c r="M227" s="274"/>
      <c r="N227" s="274"/>
      <c r="O227" s="274"/>
      <c r="P227" s="274"/>
      <c r="Q227" s="274"/>
      <c r="R227" s="316"/>
      <c r="W227" s="274"/>
      <c r="X227" s="274"/>
      <c r="Y227" s="274"/>
      <c r="Z227" s="274">
        <v>11.765</v>
      </c>
      <c r="AA227" s="309">
        <v>1628796.615</v>
      </c>
      <c r="AB227" s="309">
        <v>1244865.985</v>
      </c>
      <c r="AC227" s="309">
        <v>1407745.646</v>
      </c>
      <c r="AD227" s="274"/>
      <c r="AE227" s="274"/>
      <c r="AF227" s="274"/>
      <c r="AG227" s="274"/>
      <c r="AH227" s="274"/>
      <c r="AI227" s="274"/>
      <c r="AJ227" s="274"/>
      <c r="AK227" s="274"/>
      <c r="AL227" s="274"/>
      <c r="AM227" s="274"/>
      <c r="AN227" s="274"/>
      <c r="AO227" s="274"/>
      <c r="AP227" s="274"/>
      <c r="AQ227" s="274"/>
      <c r="AR227" s="274"/>
      <c r="AS227" s="274"/>
      <c r="AT227" s="274"/>
      <c r="AU227" s="274"/>
      <c r="AV227" s="274"/>
      <c r="AW227" s="274"/>
    </row>
    <row r="228" ht="15.75" customHeight="1">
      <c r="A228" s="274"/>
      <c r="B228" s="274"/>
      <c r="C228" s="274"/>
      <c r="D228" s="274"/>
      <c r="E228" s="274"/>
      <c r="F228" s="274"/>
      <c r="G228" s="274"/>
      <c r="H228" s="274"/>
      <c r="I228" s="274"/>
      <c r="J228" s="274"/>
      <c r="K228" s="274"/>
      <c r="L228" s="274"/>
      <c r="M228" s="274"/>
      <c r="N228" s="274"/>
      <c r="O228" s="274"/>
      <c r="P228" s="274"/>
      <c r="Q228" s="274"/>
      <c r="R228" s="316"/>
      <c r="W228" s="274"/>
      <c r="X228" s="274"/>
      <c r="Y228" s="274"/>
      <c r="Z228" s="274">
        <v>11.812</v>
      </c>
      <c r="AA228" s="309">
        <v>1628796.615</v>
      </c>
      <c r="AB228" s="309">
        <v>1244865.985</v>
      </c>
      <c r="AC228" s="309">
        <v>1407745.646</v>
      </c>
      <c r="AD228" s="274"/>
      <c r="AE228" s="274"/>
      <c r="AF228" s="274"/>
      <c r="AG228" s="274"/>
      <c r="AH228" s="274"/>
      <c r="AI228" s="274"/>
      <c r="AJ228" s="274"/>
      <c r="AK228" s="274"/>
      <c r="AL228" s="274"/>
      <c r="AM228" s="274"/>
      <c r="AN228" s="274"/>
      <c r="AO228" s="274"/>
      <c r="AP228" s="274"/>
      <c r="AQ228" s="274"/>
      <c r="AR228" s="274"/>
      <c r="AS228" s="274"/>
      <c r="AT228" s="274"/>
      <c r="AU228" s="274"/>
      <c r="AV228" s="274"/>
      <c r="AW228" s="274"/>
    </row>
    <row r="229" ht="15.75" customHeight="1">
      <c r="A229" s="274"/>
      <c r="B229" s="274"/>
      <c r="C229" s="274"/>
      <c r="D229" s="274"/>
      <c r="E229" s="274"/>
      <c r="F229" s="274"/>
      <c r="G229" s="274"/>
      <c r="H229" s="274"/>
      <c r="I229" s="274"/>
      <c r="J229" s="274"/>
      <c r="K229" s="274"/>
      <c r="L229" s="274"/>
      <c r="M229" s="274"/>
      <c r="N229" s="274"/>
      <c r="O229" s="274"/>
      <c r="P229" s="274"/>
      <c r="Q229" s="274"/>
      <c r="R229" s="316"/>
      <c r="W229" s="274"/>
      <c r="X229" s="274"/>
      <c r="Y229" s="274"/>
      <c r="Z229" s="274">
        <v>11.875</v>
      </c>
      <c r="AA229" s="309">
        <v>1628796.615</v>
      </c>
      <c r="AB229" s="309">
        <v>1244865.985</v>
      </c>
      <c r="AC229" s="309">
        <v>1407745.646</v>
      </c>
      <c r="AD229" s="274"/>
      <c r="AE229" s="274"/>
      <c r="AF229" s="274"/>
      <c r="AG229" s="274"/>
      <c r="AH229" s="274"/>
      <c r="AI229" s="274"/>
      <c r="AJ229" s="274"/>
      <c r="AK229" s="274"/>
      <c r="AL229" s="274"/>
      <c r="AM229" s="274"/>
      <c r="AN229" s="274"/>
      <c r="AO229" s="274"/>
      <c r="AP229" s="274"/>
      <c r="AQ229" s="274"/>
      <c r="AR229" s="274"/>
      <c r="AS229" s="274"/>
      <c r="AT229" s="274"/>
      <c r="AU229" s="274"/>
      <c r="AV229" s="274"/>
      <c r="AW229" s="274"/>
    </row>
    <row r="230" ht="15.75" customHeight="1">
      <c r="A230" s="274"/>
      <c r="B230" s="274"/>
      <c r="C230" s="274"/>
      <c r="D230" s="274"/>
      <c r="E230" s="274"/>
      <c r="F230" s="274"/>
      <c r="G230" s="274"/>
      <c r="H230" s="274"/>
      <c r="I230" s="274"/>
      <c r="J230" s="274"/>
      <c r="K230" s="274"/>
      <c r="L230" s="274"/>
      <c r="M230" s="274"/>
      <c r="N230" s="274"/>
      <c r="O230" s="274"/>
      <c r="P230" s="274"/>
      <c r="Q230" s="274"/>
      <c r="R230" s="316"/>
      <c r="W230" s="274"/>
      <c r="X230" s="274"/>
      <c r="Y230" s="274"/>
      <c r="Z230" s="274">
        <v>11.937</v>
      </c>
      <c r="AA230" s="309">
        <v>1628796.615</v>
      </c>
      <c r="AB230" s="309">
        <v>1244865.985</v>
      </c>
      <c r="AC230" s="309">
        <v>1407745.646</v>
      </c>
      <c r="AD230" s="274"/>
      <c r="AE230" s="274"/>
      <c r="AF230" s="274"/>
      <c r="AG230" s="274"/>
      <c r="AH230" s="274"/>
      <c r="AI230" s="274"/>
      <c r="AJ230" s="274"/>
      <c r="AK230" s="274"/>
      <c r="AL230" s="274"/>
      <c r="AM230" s="274"/>
      <c r="AN230" s="274"/>
      <c r="AO230" s="274"/>
      <c r="AP230" s="274"/>
      <c r="AQ230" s="274"/>
      <c r="AR230" s="274"/>
      <c r="AS230" s="274"/>
      <c r="AT230" s="274"/>
      <c r="AU230" s="274"/>
      <c r="AV230" s="274"/>
      <c r="AW230" s="274"/>
    </row>
    <row r="231" ht="15.75" customHeight="1">
      <c r="A231" s="274"/>
      <c r="B231" s="274"/>
      <c r="C231" s="274"/>
      <c r="D231" s="274"/>
      <c r="E231" s="274"/>
      <c r="F231" s="274"/>
      <c r="G231" s="274"/>
      <c r="H231" s="274"/>
      <c r="I231" s="274"/>
      <c r="J231" s="274"/>
      <c r="K231" s="274"/>
      <c r="L231" s="274"/>
      <c r="M231" s="274"/>
      <c r="N231" s="274"/>
      <c r="O231" s="274"/>
      <c r="P231" s="274"/>
      <c r="Q231" s="274"/>
      <c r="R231" s="316"/>
      <c r="W231" s="274"/>
      <c r="X231" s="274"/>
      <c r="Y231" s="274"/>
      <c r="Z231" s="274">
        <v>12.0</v>
      </c>
      <c r="AA231" s="309">
        <v>1628796.615</v>
      </c>
      <c r="AB231" s="309">
        <v>1244865.985</v>
      </c>
      <c r="AC231" s="309">
        <v>1407745.646</v>
      </c>
      <c r="AD231" s="274"/>
      <c r="AE231" s="274"/>
      <c r="AF231" s="274"/>
      <c r="AG231" s="274"/>
      <c r="AH231" s="274"/>
      <c r="AI231" s="274"/>
      <c r="AJ231" s="274"/>
      <c r="AK231" s="274"/>
      <c r="AL231" s="274"/>
      <c r="AM231" s="274"/>
      <c r="AN231" s="274"/>
      <c r="AO231" s="274"/>
      <c r="AP231" s="274"/>
      <c r="AQ231" s="274"/>
      <c r="AR231" s="274"/>
      <c r="AS231" s="274"/>
      <c r="AT231" s="274"/>
      <c r="AU231" s="274"/>
      <c r="AV231" s="274"/>
      <c r="AW231" s="274"/>
    </row>
    <row r="232" ht="15.75" customHeight="1">
      <c r="A232" s="274"/>
      <c r="B232" s="274"/>
      <c r="C232" s="274"/>
      <c r="D232" s="274"/>
      <c r="E232" s="274"/>
      <c r="F232" s="274"/>
      <c r="G232" s="274"/>
      <c r="H232" s="274"/>
      <c r="I232" s="274"/>
      <c r="J232" s="274"/>
      <c r="K232" s="274"/>
      <c r="L232" s="274"/>
      <c r="M232" s="274"/>
      <c r="N232" s="274"/>
      <c r="O232" s="274"/>
      <c r="P232" s="274"/>
      <c r="Q232" s="274"/>
      <c r="R232" s="316"/>
      <c r="W232" s="274"/>
      <c r="X232" s="274"/>
      <c r="Y232" s="274"/>
      <c r="Z232" s="274">
        <v>12.062</v>
      </c>
      <c r="AA232" s="309">
        <v>1628796.615</v>
      </c>
      <c r="AB232" s="309">
        <v>1244865.985</v>
      </c>
      <c r="AC232" s="309">
        <v>1407745.646</v>
      </c>
      <c r="AD232" s="274"/>
      <c r="AE232" s="274"/>
      <c r="AF232" s="274"/>
      <c r="AG232" s="274"/>
      <c r="AH232" s="274"/>
      <c r="AI232" s="274"/>
      <c r="AJ232" s="274"/>
      <c r="AK232" s="274"/>
      <c r="AL232" s="274"/>
      <c r="AM232" s="274"/>
      <c r="AN232" s="274"/>
      <c r="AO232" s="274"/>
      <c r="AP232" s="274"/>
      <c r="AQ232" s="274"/>
      <c r="AR232" s="274"/>
      <c r="AS232" s="274"/>
      <c r="AT232" s="274"/>
      <c r="AU232" s="274"/>
      <c r="AV232" s="274"/>
      <c r="AW232" s="274"/>
    </row>
    <row r="233" ht="15.75" customHeight="1">
      <c r="A233" s="274"/>
      <c r="B233" s="274"/>
      <c r="C233" s="274"/>
      <c r="D233" s="274"/>
      <c r="E233" s="274"/>
      <c r="F233" s="274"/>
      <c r="G233" s="274"/>
      <c r="H233" s="274"/>
      <c r="I233" s="274"/>
      <c r="J233" s="274"/>
      <c r="K233" s="274"/>
      <c r="L233" s="274"/>
      <c r="M233" s="274"/>
      <c r="N233" s="274"/>
      <c r="O233" s="274"/>
      <c r="P233" s="274"/>
      <c r="Q233" s="274"/>
      <c r="R233" s="316"/>
      <c r="W233" s="274"/>
      <c r="X233" s="274"/>
      <c r="Y233" s="274"/>
      <c r="Z233" s="274">
        <v>12.125</v>
      </c>
      <c r="AA233" s="309">
        <v>1628796.615</v>
      </c>
      <c r="AB233" s="309">
        <v>1244865.985</v>
      </c>
      <c r="AC233" s="309">
        <v>1407745.646</v>
      </c>
      <c r="AD233" s="274"/>
      <c r="AE233" s="274"/>
      <c r="AF233" s="274"/>
      <c r="AG233" s="274"/>
      <c r="AH233" s="274"/>
      <c r="AI233" s="274"/>
      <c r="AJ233" s="274"/>
      <c r="AK233" s="274"/>
      <c r="AL233" s="274"/>
      <c r="AM233" s="274"/>
      <c r="AN233" s="274"/>
      <c r="AO233" s="274"/>
      <c r="AP233" s="274"/>
      <c r="AQ233" s="274"/>
      <c r="AR233" s="274"/>
      <c r="AS233" s="274"/>
      <c r="AT233" s="274"/>
      <c r="AU233" s="274"/>
      <c r="AV233" s="274"/>
      <c r="AW233" s="274"/>
    </row>
    <row r="234" ht="15.75" customHeight="1">
      <c r="A234" s="274"/>
      <c r="B234" s="274"/>
      <c r="C234" s="274"/>
      <c r="D234" s="274"/>
      <c r="E234" s="274"/>
      <c r="F234" s="274"/>
      <c r="G234" s="274"/>
      <c r="H234" s="274"/>
      <c r="I234" s="274"/>
      <c r="J234" s="274"/>
      <c r="K234" s="274"/>
      <c r="L234" s="274"/>
      <c r="M234" s="274"/>
      <c r="N234" s="274"/>
      <c r="O234" s="274"/>
      <c r="P234" s="274"/>
      <c r="Q234" s="274"/>
      <c r="R234" s="316"/>
      <c r="W234" s="274"/>
      <c r="X234" s="274"/>
      <c r="Y234" s="274"/>
      <c r="Z234" s="274">
        <v>12.187</v>
      </c>
      <c r="AA234" s="309">
        <v>1628796.615</v>
      </c>
      <c r="AB234" s="309">
        <v>1244865.985</v>
      </c>
      <c r="AC234" s="309">
        <v>1407745.646</v>
      </c>
      <c r="AD234" s="274"/>
      <c r="AE234" s="274"/>
      <c r="AF234" s="274"/>
      <c r="AG234" s="274"/>
      <c r="AH234" s="274"/>
      <c r="AI234" s="274"/>
      <c r="AJ234" s="274"/>
      <c r="AK234" s="274"/>
      <c r="AL234" s="274"/>
      <c r="AM234" s="274"/>
      <c r="AN234" s="274"/>
      <c r="AO234" s="274"/>
      <c r="AP234" s="274"/>
      <c r="AQ234" s="274"/>
      <c r="AR234" s="274"/>
      <c r="AS234" s="274"/>
      <c r="AT234" s="274"/>
      <c r="AU234" s="274"/>
      <c r="AV234" s="274"/>
      <c r="AW234" s="274"/>
    </row>
    <row r="235" ht="15.75" customHeight="1">
      <c r="A235" s="274"/>
      <c r="B235" s="274"/>
      <c r="C235" s="274"/>
      <c r="D235" s="274"/>
      <c r="E235" s="274"/>
      <c r="F235" s="274"/>
      <c r="G235" s="274"/>
      <c r="H235" s="274"/>
      <c r="I235" s="274"/>
      <c r="J235" s="274"/>
      <c r="K235" s="274"/>
      <c r="L235" s="274"/>
      <c r="M235" s="274"/>
      <c r="N235" s="274"/>
      <c r="O235" s="274"/>
      <c r="P235" s="274"/>
      <c r="Q235" s="274"/>
      <c r="R235" s="316"/>
      <c r="W235" s="274"/>
      <c r="X235" s="274"/>
      <c r="Y235" s="274"/>
      <c r="Z235" s="274">
        <v>12.265</v>
      </c>
      <c r="AA235" s="309">
        <v>1628796.615</v>
      </c>
      <c r="AB235" s="309">
        <v>1244865.985</v>
      </c>
      <c r="AC235" s="309">
        <v>1407745.646</v>
      </c>
      <c r="AD235" s="274"/>
      <c r="AE235" s="274"/>
      <c r="AF235" s="274"/>
      <c r="AG235" s="274"/>
      <c r="AH235" s="274"/>
      <c r="AI235" s="274"/>
      <c r="AJ235" s="274"/>
      <c r="AK235" s="274"/>
      <c r="AL235" s="274"/>
      <c r="AM235" s="274"/>
      <c r="AN235" s="274"/>
      <c r="AO235" s="274"/>
      <c r="AP235" s="274"/>
      <c r="AQ235" s="274"/>
      <c r="AR235" s="274"/>
      <c r="AS235" s="274"/>
      <c r="AT235" s="274"/>
      <c r="AU235" s="274"/>
      <c r="AV235" s="274"/>
      <c r="AW235" s="274"/>
    </row>
    <row r="236" ht="15.75" customHeight="1">
      <c r="A236" s="274"/>
      <c r="B236" s="274"/>
      <c r="C236" s="274"/>
      <c r="D236" s="274"/>
      <c r="E236" s="274"/>
      <c r="F236" s="274"/>
      <c r="G236" s="274"/>
      <c r="H236" s="274"/>
      <c r="I236" s="274"/>
      <c r="J236" s="274"/>
      <c r="K236" s="274"/>
      <c r="L236" s="274"/>
      <c r="M236" s="274"/>
      <c r="N236" s="274"/>
      <c r="O236" s="274"/>
      <c r="P236" s="274"/>
      <c r="Q236" s="274"/>
      <c r="R236" s="316"/>
      <c r="W236" s="274"/>
      <c r="X236" s="274"/>
      <c r="Y236" s="274"/>
      <c r="Z236" s="274">
        <v>12.312</v>
      </c>
      <c r="AA236" s="309">
        <v>1628796.615</v>
      </c>
      <c r="AB236" s="309">
        <v>1244865.985</v>
      </c>
      <c r="AC236" s="309">
        <v>1407745.646</v>
      </c>
      <c r="AD236" s="274"/>
      <c r="AE236" s="274"/>
      <c r="AF236" s="274"/>
      <c r="AG236" s="274"/>
      <c r="AH236" s="274"/>
      <c r="AI236" s="274"/>
      <c r="AJ236" s="274"/>
      <c r="AK236" s="274"/>
      <c r="AL236" s="274"/>
      <c r="AM236" s="274"/>
      <c r="AN236" s="274"/>
      <c r="AO236" s="274"/>
      <c r="AP236" s="274"/>
      <c r="AQ236" s="274"/>
      <c r="AR236" s="274"/>
      <c r="AS236" s="274"/>
      <c r="AT236" s="274"/>
      <c r="AU236" s="274"/>
      <c r="AV236" s="274"/>
      <c r="AW236" s="274"/>
    </row>
    <row r="237" ht="15.75" customHeight="1">
      <c r="A237" s="274"/>
      <c r="B237" s="274"/>
      <c r="C237" s="274"/>
      <c r="D237" s="274"/>
      <c r="E237" s="274"/>
      <c r="F237" s="274"/>
      <c r="G237" s="274"/>
      <c r="H237" s="274"/>
      <c r="I237" s="274"/>
      <c r="J237" s="274"/>
      <c r="K237" s="274"/>
      <c r="L237" s="274"/>
      <c r="M237" s="274"/>
      <c r="N237" s="274"/>
      <c r="O237" s="274"/>
      <c r="P237" s="274"/>
      <c r="Q237" s="274"/>
      <c r="R237" s="316"/>
      <c r="W237" s="274"/>
      <c r="X237" s="274"/>
      <c r="Y237" s="274"/>
      <c r="Z237" s="274">
        <v>12.375</v>
      </c>
      <c r="AA237" s="309">
        <v>1628796.615</v>
      </c>
      <c r="AB237" s="309">
        <v>1244865.985</v>
      </c>
      <c r="AC237" s="309">
        <v>1407745.646</v>
      </c>
      <c r="AD237" s="274"/>
      <c r="AE237" s="274"/>
      <c r="AF237" s="274"/>
      <c r="AG237" s="274"/>
      <c r="AH237" s="274"/>
      <c r="AI237" s="274"/>
      <c r="AJ237" s="274"/>
      <c r="AK237" s="274"/>
      <c r="AL237" s="274"/>
      <c r="AM237" s="274"/>
      <c r="AN237" s="274"/>
      <c r="AO237" s="274"/>
      <c r="AP237" s="274"/>
      <c r="AQ237" s="274"/>
      <c r="AR237" s="274"/>
      <c r="AS237" s="274"/>
      <c r="AT237" s="274"/>
      <c r="AU237" s="274"/>
      <c r="AV237" s="274"/>
      <c r="AW237" s="274"/>
    </row>
    <row r="238" ht="15.75" customHeight="1">
      <c r="A238" s="274"/>
      <c r="B238" s="274"/>
      <c r="C238" s="274"/>
      <c r="D238" s="274"/>
      <c r="E238" s="274"/>
      <c r="F238" s="274"/>
      <c r="G238" s="274"/>
      <c r="H238" s="274"/>
      <c r="I238" s="274"/>
      <c r="J238" s="274"/>
      <c r="K238" s="274"/>
      <c r="L238" s="274"/>
      <c r="M238" s="274"/>
      <c r="N238" s="274"/>
      <c r="O238" s="274"/>
      <c r="P238" s="274"/>
      <c r="Q238" s="274"/>
      <c r="R238" s="316"/>
      <c r="W238" s="274"/>
      <c r="X238" s="274"/>
      <c r="Y238" s="274"/>
      <c r="Z238" s="274">
        <v>12.437</v>
      </c>
      <c r="AA238" s="309">
        <v>1628796.615</v>
      </c>
      <c r="AB238" s="309">
        <v>1244865.985</v>
      </c>
      <c r="AC238" s="309">
        <v>1407745.646</v>
      </c>
      <c r="AD238" s="274"/>
      <c r="AE238" s="274"/>
      <c r="AF238" s="274"/>
      <c r="AG238" s="274"/>
      <c r="AH238" s="274"/>
      <c r="AI238" s="274"/>
      <c r="AJ238" s="274"/>
      <c r="AK238" s="274"/>
      <c r="AL238" s="274"/>
      <c r="AM238" s="274"/>
      <c r="AN238" s="274"/>
      <c r="AO238" s="274"/>
      <c r="AP238" s="274"/>
      <c r="AQ238" s="274"/>
      <c r="AR238" s="274"/>
      <c r="AS238" s="274"/>
      <c r="AT238" s="274"/>
      <c r="AU238" s="274"/>
      <c r="AV238" s="274"/>
      <c r="AW238" s="274"/>
    </row>
    <row r="239" ht="15.75" customHeight="1">
      <c r="A239" s="274"/>
      <c r="B239" s="274"/>
      <c r="C239" s="274"/>
      <c r="D239" s="274"/>
      <c r="E239" s="274"/>
      <c r="F239" s="274"/>
      <c r="G239" s="274"/>
      <c r="H239" s="274"/>
      <c r="I239" s="274"/>
      <c r="J239" s="274"/>
      <c r="K239" s="274"/>
      <c r="L239" s="274"/>
      <c r="M239" s="274"/>
      <c r="N239" s="274"/>
      <c r="O239" s="274"/>
      <c r="P239" s="274"/>
      <c r="Q239" s="274"/>
      <c r="R239" s="316"/>
      <c r="W239" s="274"/>
      <c r="X239" s="274"/>
      <c r="Y239" s="274"/>
      <c r="Z239" s="274">
        <v>12.515</v>
      </c>
      <c r="AA239" s="309">
        <v>1628796.615</v>
      </c>
      <c r="AB239" s="309">
        <v>1244865.985</v>
      </c>
      <c r="AC239" s="309">
        <v>1407745.646</v>
      </c>
      <c r="AD239" s="274"/>
      <c r="AE239" s="274"/>
      <c r="AF239" s="274"/>
      <c r="AG239" s="274"/>
      <c r="AH239" s="274"/>
      <c r="AI239" s="274"/>
      <c r="AJ239" s="274"/>
      <c r="AK239" s="274"/>
      <c r="AL239" s="274"/>
      <c r="AM239" s="274"/>
      <c r="AN239" s="274"/>
      <c r="AO239" s="274"/>
      <c r="AP239" s="274"/>
      <c r="AQ239" s="274"/>
      <c r="AR239" s="274"/>
      <c r="AS239" s="274"/>
      <c r="AT239" s="274"/>
      <c r="AU239" s="274"/>
      <c r="AV239" s="274"/>
      <c r="AW239" s="274"/>
    </row>
    <row r="240" ht="15.75" customHeight="1">
      <c r="A240" s="274"/>
      <c r="B240" s="274"/>
      <c r="C240" s="274"/>
      <c r="D240" s="274"/>
      <c r="E240" s="274"/>
      <c r="F240" s="274"/>
      <c r="G240" s="274"/>
      <c r="H240" s="274"/>
      <c r="I240" s="274"/>
      <c r="J240" s="274"/>
      <c r="K240" s="274"/>
      <c r="L240" s="274"/>
      <c r="M240" s="274"/>
      <c r="N240" s="274"/>
      <c r="O240" s="274"/>
      <c r="P240" s="274"/>
      <c r="Q240" s="274"/>
      <c r="R240" s="316"/>
      <c r="W240" s="274"/>
      <c r="X240" s="274"/>
      <c r="Y240" s="274"/>
      <c r="Z240" s="274">
        <v>12.562</v>
      </c>
      <c r="AA240" s="309">
        <v>1628796.615</v>
      </c>
      <c r="AB240" s="309">
        <v>1244865.985</v>
      </c>
      <c r="AC240" s="309">
        <v>1465916.954</v>
      </c>
      <c r="AD240" s="274"/>
      <c r="AE240" s="274"/>
      <c r="AF240" s="274"/>
      <c r="AG240" s="274"/>
      <c r="AH240" s="274"/>
      <c r="AI240" s="274"/>
      <c r="AJ240" s="274"/>
      <c r="AK240" s="274"/>
      <c r="AL240" s="274"/>
      <c r="AM240" s="274"/>
      <c r="AN240" s="274"/>
      <c r="AO240" s="274"/>
      <c r="AP240" s="274"/>
      <c r="AQ240" s="274"/>
      <c r="AR240" s="274"/>
      <c r="AS240" s="274"/>
      <c r="AT240" s="274"/>
      <c r="AU240" s="274"/>
      <c r="AV240" s="274"/>
      <c r="AW240" s="274"/>
    </row>
    <row r="241" ht="15.75" customHeight="1">
      <c r="A241" s="274"/>
      <c r="B241" s="274"/>
      <c r="C241" s="274"/>
      <c r="D241" s="274"/>
      <c r="E241" s="274"/>
      <c r="F241" s="274"/>
      <c r="G241" s="274"/>
      <c r="H241" s="274"/>
      <c r="I241" s="274"/>
      <c r="J241" s="274"/>
      <c r="K241" s="274"/>
      <c r="L241" s="274"/>
      <c r="M241" s="274"/>
      <c r="N241" s="274"/>
      <c r="O241" s="274"/>
      <c r="P241" s="274"/>
      <c r="Q241" s="274"/>
      <c r="R241" s="316"/>
      <c r="W241" s="274"/>
      <c r="X241" s="274"/>
      <c r="Y241" s="274"/>
      <c r="Z241" s="274">
        <v>12.625</v>
      </c>
      <c r="AA241" s="309">
        <v>1628796.615</v>
      </c>
      <c r="AB241" s="309">
        <v>1244865.985</v>
      </c>
      <c r="AC241" s="309">
        <v>1465916.954</v>
      </c>
      <c r="AD241" s="274"/>
      <c r="AE241" s="274"/>
      <c r="AF241" s="274"/>
      <c r="AG241" s="274"/>
      <c r="AH241" s="274"/>
      <c r="AI241" s="274"/>
      <c r="AJ241" s="274"/>
      <c r="AK241" s="274"/>
      <c r="AL241" s="274"/>
      <c r="AM241" s="274"/>
      <c r="AN241" s="274"/>
      <c r="AO241" s="274"/>
      <c r="AP241" s="274"/>
      <c r="AQ241" s="274"/>
      <c r="AR241" s="274"/>
      <c r="AS241" s="274"/>
      <c r="AT241" s="274"/>
      <c r="AU241" s="274"/>
      <c r="AV241" s="274"/>
      <c r="AW241" s="274"/>
    </row>
    <row r="242" ht="15.75" customHeight="1">
      <c r="A242" s="274"/>
      <c r="B242" s="274"/>
      <c r="C242" s="274"/>
      <c r="D242" s="274"/>
      <c r="E242" s="274"/>
      <c r="F242" s="274"/>
      <c r="G242" s="274"/>
      <c r="H242" s="274"/>
      <c r="I242" s="274"/>
      <c r="J242" s="274"/>
      <c r="K242" s="274"/>
      <c r="L242" s="274"/>
      <c r="M242" s="274"/>
      <c r="N242" s="274"/>
      <c r="O242" s="274"/>
      <c r="P242" s="274"/>
      <c r="Q242" s="274"/>
      <c r="R242" s="316"/>
      <c r="W242" s="274"/>
      <c r="X242" s="274"/>
      <c r="Y242" s="274"/>
      <c r="Z242" s="274">
        <v>12.687</v>
      </c>
      <c r="AA242" s="309">
        <v>1628796.615</v>
      </c>
      <c r="AB242" s="309">
        <v>1244865.985</v>
      </c>
      <c r="AC242" s="309">
        <v>1465916.954</v>
      </c>
      <c r="AD242" s="274"/>
      <c r="AE242" s="274"/>
      <c r="AF242" s="274"/>
      <c r="AG242" s="274"/>
      <c r="AH242" s="274"/>
      <c r="AI242" s="274"/>
      <c r="AJ242" s="274"/>
      <c r="AK242" s="274"/>
      <c r="AL242" s="274"/>
      <c r="AM242" s="274"/>
      <c r="AN242" s="274"/>
      <c r="AO242" s="274"/>
      <c r="AP242" s="274"/>
      <c r="AQ242" s="274"/>
      <c r="AR242" s="274"/>
      <c r="AS242" s="274"/>
      <c r="AT242" s="274"/>
      <c r="AU242" s="274"/>
      <c r="AV242" s="274"/>
      <c r="AW242" s="274"/>
    </row>
    <row r="243" ht="15.75" customHeight="1">
      <c r="A243" s="274"/>
      <c r="B243" s="274"/>
      <c r="C243" s="274"/>
      <c r="D243" s="274"/>
      <c r="E243" s="274"/>
      <c r="F243" s="274"/>
      <c r="G243" s="274"/>
      <c r="H243" s="274"/>
      <c r="I243" s="274"/>
      <c r="J243" s="274"/>
      <c r="K243" s="274"/>
      <c r="L243" s="274"/>
      <c r="M243" s="274"/>
      <c r="N243" s="274"/>
      <c r="O243" s="274"/>
      <c r="P243" s="274"/>
      <c r="Q243" s="274"/>
      <c r="R243" s="316"/>
      <c r="W243" s="274"/>
      <c r="X243" s="274"/>
      <c r="Y243" s="274"/>
      <c r="Z243" s="274">
        <v>12.75</v>
      </c>
      <c r="AA243" s="309">
        <v>1628796.615</v>
      </c>
      <c r="AB243" s="309">
        <v>1244865.985</v>
      </c>
      <c r="AC243" s="309">
        <v>1512454.0</v>
      </c>
      <c r="AD243" s="274"/>
      <c r="AE243" s="274"/>
      <c r="AF243" s="274"/>
      <c r="AG243" s="274"/>
      <c r="AH243" s="274"/>
      <c r="AI243" s="274"/>
      <c r="AJ243" s="274"/>
      <c r="AK243" s="274"/>
      <c r="AL243" s="274"/>
      <c r="AM243" s="274"/>
      <c r="AN243" s="274"/>
      <c r="AO243" s="274"/>
      <c r="AP243" s="274"/>
      <c r="AQ243" s="274"/>
      <c r="AR243" s="274"/>
      <c r="AS243" s="274"/>
      <c r="AT243" s="274"/>
      <c r="AU243" s="274"/>
      <c r="AV243" s="274"/>
      <c r="AW243" s="274"/>
    </row>
    <row r="244" ht="15.75" customHeight="1">
      <c r="A244" s="274"/>
      <c r="B244" s="274"/>
      <c r="C244" s="274"/>
      <c r="D244" s="274"/>
      <c r="E244" s="274"/>
      <c r="F244" s="274"/>
      <c r="G244" s="274"/>
      <c r="H244" s="274"/>
      <c r="I244" s="274"/>
      <c r="J244" s="274"/>
      <c r="K244" s="274"/>
      <c r="L244" s="274"/>
      <c r="M244" s="274"/>
      <c r="N244" s="274"/>
      <c r="O244" s="274"/>
      <c r="P244" s="274"/>
      <c r="Q244" s="274"/>
      <c r="R244" s="316"/>
      <c r="W244" s="274"/>
      <c r="X244" s="274"/>
      <c r="Y244" s="274"/>
      <c r="Z244" s="274">
        <v>12.828</v>
      </c>
      <c r="AA244" s="309">
        <v>1628796.615</v>
      </c>
      <c r="AB244" s="309">
        <v>1244865.985</v>
      </c>
      <c r="AC244" s="309">
        <v>1512454.0</v>
      </c>
      <c r="AD244" s="274"/>
      <c r="AE244" s="274"/>
      <c r="AF244" s="274"/>
      <c r="AG244" s="274"/>
      <c r="AH244" s="274"/>
      <c r="AI244" s="274"/>
      <c r="AJ244" s="274"/>
      <c r="AK244" s="274"/>
      <c r="AL244" s="274"/>
      <c r="AM244" s="274"/>
      <c r="AN244" s="274"/>
      <c r="AO244" s="274"/>
      <c r="AP244" s="274"/>
      <c r="AQ244" s="274"/>
      <c r="AR244" s="274"/>
      <c r="AS244" s="274"/>
      <c r="AT244" s="274"/>
      <c r="AU244" s="274"/>
      <c r="AV244" s="274"/>
      <c r="AW244" s="274"/>
    </row>
    <row r="245" ht="15.75" customHeight="1">
      <c r="A245" s="274"/>
      <c r="B245" s="274"/>
      <c r="C245" s="274"/>
      <c r="D245" s="274"/>
      <c r="E245" s="274"/>
      <c r="F245" s="274"/>
      <c r="G245" s="274"/>
      <c r="H245" s="274"/>
      <c r="I245" s="274"/>
      <c r="J245" s="274"/>
      <c r="K245" s="274"/>
      <c r="L245" s="274"/>
      <c r="M245" s="274"/>
      <c r="N245" s="274"/>
      <c r="O245" s="274"/>
      <c r="P245" s="274"/>
      <c r="Q245" s="274"/>
      <c r="R245" s="316"/>
      <c r="W245" s="274"/>
      <c r="X245" s="274"/>
      <c r="Y245" s="274"/>
      <c r="Z245" s="274">
        <v>12.875</v>
      </c>
      <c r="AA245" s="309">
        <v>1628796.615</v>
      </c>
      <c r="AB245" s="309">
        <v>1244865.985</v>
      </c>
      <c r="AC245" s="309">
        <v>1512454.0</v>
      </c>
      <c r="AD245" s="274"/>
      <c r="AE245" s="274"/>
      <c r="AF245" s="274"/>
      <c r="AG245" s="274"/>
      <c r="AH245" s="274"/>
      <c r="AI245" s="274"/>
      <c r="AJ245" s="274"/>
      <c r="AK245" s="274"/>
      <c r="AL245" s="274"/>
      <c r="AM245" s="274"/>
      <c r="AN245" s="274"/>
      <c r="AO245" s="274"/>
      <c r="AP245" s="274"/>
      <c r="AQ245" s="274"/>
      <c r="AR245" s="274"/>
      <c r="AS245" s="274"/>
      <c r="AT245" s="274"/>
      <c r="AU245" s="274"/>
      <c r="AV245" s="274"/>
      <c r="AW245" s="274"/>
    </row>
    <row r="246" ht="15.75" customHeight="1">
      <c r="A246" s="274"/>
      <c r="B246" s="274"/>
      <c r="C246" s="274"/>
      <c r="D246" s="274"/>
      <c r="E246" s="274"/>
      <c r="F246" s="274"/>
      <c r="G246" s="274"/>
      <c r="H246" s="274"/>
      <c r="I246" s="274"/>
      <c r="J246" s="274"/>
      <c r="K246" s="274"/>
      <c r="L246" s="274"/>
      <c r="M246" s="274"/>
      <c r="N246" s="274"/>
      <c r="O246" s="274"/>
      <c r="P246" s="274"/>
      <c r="Q246" s="274"/>
      <c r="R246" s="316"/>
      <c r="W246" s="274"/>
      <c r="X246" s="274"/>
      <c r="Y246" s="274"/>
      <c r="Z246" s="274">
        <v>12.953</v>
      </c>
      <c r="AA246" s="309">
        <v>1628796.615</v>
      </c>
      <c r="AB246" s="309">
        <v>1244865.985</v>
      </c>
      <c r="AC246" s="309">
        <v>1558991.046</v>
      </c>
      <c r="AD246" s="274"/>
      <c r="AE246" s="274"/>
      <c r="AF246" s="274"/>
      <c r="AG246" s="274"/>
      <c r="AH246" s="274"/>
      <c r="AI246" s="274"/>
      <c r="AJ246" s="274"/>
      <c r="AK246" s="274"/>
      <c r="AL246" s="274"/>
      <c r="AM246" s="274"/>
      <c r="AN246" s="274"/>
      <c r="AO246" s="274"/>
      <c r="AP246" s="274"/>
      <c r="AQ246" s="274"/>
      <c r="AR246" s="274"/>
      <c r="AS246" s="274"/>
      <c r="AT246" s="274"/>
      <c r="AU246" s="274"/>
      <c r="AV246" s="274"/>
      <c r="AW246" s="274"/>
    </row>
    <row r="247" ht="15.75" customHeight="1">
      <c r="A247" s="274"/>
      <c r="B247" s="274"/>
      <c r="C247" s="274"/>
      <c r="D247" s="274"/>
      <c r="E247" s="274"/>
      <c r="F247" s="274"/>
      <c r="G247" s="274"/>
      <c r="H247" s="274"/>
      <c r="I247" s="274"/>
      <c r="J247" s="274"/>
      <c r="K247" s="274"/>
      <c r="L247" s="274"/>
      <c r="M247" s="274"/>
      <c r="N247" s="274"/>
      <c r="O247" s="274"/>
      <c r="P247" s="274"/>
      <c r="Q247" s="274"/>
      <c r="R247" s="316"/>
      <c r="W247" s="274"/>
      <c r="X247" s="274"/>
      <c r="Y247" s="274"/>
      <c r="Z247" s="274">
        <v>13.0</v>
      </c>
      <c r="AA247" s="309">
        <v>1628796.615</v>
      </c>
      <c r="AB247" s="309">
        <v>1244865.985</v>
      </c>
      <c r="AC247" s="309">
        <v>1558991.046</v>
      </c>
      <c r="AD247" s="274"/>
      <c r="AE247" s="274"/>
      <c r="AF247" s="274"/>
      <c r="AG247" s="274"/>
      <c r="AH247" s="274"/>
      <c r="AI247" s="274"/>
      <c r="AJ247" s="274"/>
      <c r="AK247" s="274"/>
      <c r="AL247" s="274"/>
      <c r="AM247" s="274"/>
      <c r="AN247" s="274"/>
      <c r="AO247" s="274"/>
      <c r="AP247" s="274"/>
      <c r="AQ247" s="274"/>
      <c r="AR247" s="274"/>
      <c r="AS247" s="274"/>
      <c r="AT247" s="274"/>
      <c r="AU247" s="274"/>
      <c r="AV247" s="274"/>
      <c r="AW247" s="274"/>
    </row>
    <row r="248" ht="15.75" customHeight="1">
      <c r="A248" s="274"/>
      <c r="B248" s="274"/>
      <c r="C248" s="274"/>
      <c r="D248" s="274"/>
      <c r="E248" s="274"/>
      <c r="F248" s="274"/>
      <c r="G248" s="274"/>
      <c r="H248" s="274"/>
      <c r="I248" s="274"/>
      <c r="J248" s="274"/>
      <c r="K248" s="274"/>
      <c r="L248" s="274"/>
      <c r="M248" s="274"/>
      <c r="N248" s="274"/>
      <c r="O248" s="274"/>
      <c r="P248" s="274"/>
      <c r="Q248" s="274"/>
      <c r="R248" s="316"/>
      <c r="W248" s="274"/>
      <c r="X248" s="274"/>
      <c r="Y248" s="274"/>
      <c r="Z248" s="274">
        <v>13.062</v>
      </c>
      <c r="AA248" s="309">
        <v>1628796.615</v>
      </c>
      <c r="AB248" s="309">
        <v>1244865.985</v>
      </c>
      <c r="AC248" s="309">
        <v>1558991.046</v>
      </c>
      <c r="AD248" s="274"/>
      <c r="AE248" s="274"/>
      <c r="AF248" s="274"/>
      <c r="AG248" s="274"/>
      <c r="AH248" s="274"/>
      <c r="AI248" s="274"/>
      <c r="AJ248" s="274"/>
      <c r="AK248" s="274"/>
      <c r="AL248" s="274"/>
      <c r="AM248" s="274"/>
      <c r="AN248" s="274"/>
      <c r="AO248" s="274"/>
      <c r="AP248" s="274"/>
      <c r="AQ248" s="274"/>
      <c r="AR248" s="274"/>
      <c r="AS248" s="274"/>
      <c r="AT248" s="274"/>
      <c r="AU248" s="274"/>
      <c r="AV248" s="274"/>
      <c r="AW248" s="274"/>
    </row>
    <row r="249" ht="15.75" customHeight="1">
      <c r="A249" s="274"/>
      <c r="B249" s="274"/>
      <c r="C249" s="274"/>
      <c r="D249" s="274"/>
      <c r="E249" s="274"/>
      <c r="F249" s="274"/>
      <c r="G249" s="274"/>
      <c r="H249" s="274"/>
      <c r="I249" s="274"/>
      <c r="J249" s="274"/>
      <c r="K249" s="274"/>
      <c r="L249" s="274"/>
      <c r="M249" s="274"/>
      <c r="N249" s="274"/>
      <c r="O249" s="274"/>
      <c r="P249" s="274"/>
      <c r="Q249" s="274"/>
      <c r="R249" s="316"/>
      <c r="W249" s="274"/>
      <c r="X249" s="274"/>
      <c r="Y249" s="274"/>
      <c r="Z249" s="274">
        <v>13.125</v>
      </c>
      <c r="AA249" s="309">
        <v>1628796.615</v>
      </c>
      <c r="AB249" s="309">
        <v>1244865.985</v>
      </c>
      <c r="AC249" s="309">
        <v>1558991.046</v>
      </c>
      <c r="AD249" s="274"/>
      <c r="AE249" s="274"/>
      <c r="AF249" s="274"/>
      <c r="AG249" s="274"/>
      <c r="AH249" s="274"/>
      <c r="AI249" s="274"/>
      <c r="AJ249" s="274"/>
      <c r="AK249" s="274"/>
      <c r="AL249" s="274"/>
      <c r="AM249" s="274"/>
      <c r="AN249" s="274"/>
      <c r="AO249" s="274"/>
      <c r="AP249" s="274"/>
      <c r="AQ249" s="274"/>
      <c r="AR249" s="274"/>
      <c r="AS249" s="274"/>
      <c r="AT249" s="274"/>
      <c r="AU249" s="274"/>
      <c r="AV249" s="274"/>
      <c r="AW249" s="274"/>
    </row>
    <row r="250" ht="15.75" customHeight="1">
      <c r="A250" s="274"/>
      <c r="B250" s="274"/>
      <c r="C250" s="274"/>
      <c r="D250" s="274"/>
      <c r="E250" s="274"/>
      <c r="F250" s="274"/>
      <c r="G250" s="274"/>
      <c r="H250" s="274"/>
      <c r="I250" s="274"/>
      <c r="J250" s="274"/>
      <c r="K250" s="274"/>
      <c r="L250" s="274"/>
      <c r="M250" s="274"/>
      <c r="N250" s="274"/>
      <c r="O250" s="274"/>
      <c r="P250" s="274"/>
      <c r="Q250" s="274"/>
      <c r="R250" s="316"/>
      <c r="W250" s="274"/>
      <c r="X250" s="274"/>
      <c r="Y250" s="274"/>
      <c r="Z250" s="274">
        <v>13.187</v>
      </c>
      <c r="AA250" s="309">
        <v>1780042.015</v>
      </c>
      <c r="AB250" s="309">
        <v>1244865.985</v>
      </c>
      <c r="AC250" s="309">
        <v>1558991.046</v>
      </c>
      <c r="AD250" s="274"/>
      <c r="AE250" s="274"/>
      <c r="AF250" s="274"/>
      <c r="AG250" s="274"/>
      <c r="AH250" s="274"/>
      <c r="AI250" s="274"/>
      <c r="AJ250" s="274"/>
      <c r="AK250" s="274"/>
      <c r="AL250" s="274"/>
      <c r="AM250" s="274"/>
      <c r="AN250" s="274"/>
      <c r="AO250" s="274"/>
      <c r="AP250" s="274"/>
      <c r="AQ250" s="274"/>
      <c r="AR250" s="274"/>
      <c r="AS250" s="274"/>
      <c r="AT250" s="274"/>
      <c r="AU250" s="274"/>
      <c r="AV250" s="274"/>
      <c r="AW250" s="274"/>
    </row>
    <row r="251" ht="15.75" customHeight="1">
      <c r="A251" s="274"/>
      <c r="B251" s="274"/>
      <c r="C251" s="274"/>
      <c r="D251" s="274"/>
      <c r="E251" s="274"/>
      <c r="F251" s="274"/>
      <c r="G251" s="274"/>
      <c r="H251" s="274"/>
      <c r="I251" s="274"/>
      <c r="J251" s="274"/>
      <c r="K251" s="274"/>
      <c r="L251" s="274"/>
      <c r="M251" s="274"/>
      <c r="N251" s="274"/>
      <c r="O251" s="274"/>
      <c r="P251" s="274"/>
      <c r="Q251" s="274"/>
      <c r="R251" s="316"/>
      <c r="W251" s="274"/>
      <c r="X251" s="274"/>
      <c r="Y251" s="274"/>
      <c r="Z251" s="274">
        <v>13.25</v>
      </c>
      <c r="AA251" s="309">
        <v>1826579.062</v>
      </c>
      <c r="AB251" s="309">
        <v>1244865.985</v>
      </c>
      <c r="AC251" s="309">
        <v>1558991.046</v>
      </c>
      <c r="AD251" s="274"/>
      <c r="AE251" s="274"/>
      <c r="AF251" s="274"/>
      <c r="AG251" s="274"/>
      <c r="AH251" s="274"/>
      <c r="AI251" s="274"/>
      <c r="AJ251" s="274"/>
      <c r="AK251" s="274"/>
      <c r="AL251" s="274"/>
      <c r="AM251" s="274"/>
      <c r="AN251" s="274"/>
      <c r="AO251" s="274"/>
      <c r="AP251" s="274"/>
      <c r="AQ251" s="274"/>
      <c r="AR251" s="274"/>
      <c r="AS251" s="274"/>
      <c r="AT251" s="274"/>
      <c r="AU251" s="274"/>
      <c r="AV251" s="274"/>
      <c r="AW251" s="274"/>
    </row>
    <row r="252" ht="15.75" customHeight="1">
      <c r="A252" s="274"/>
      <c r="B252" s="274"/>
      <c r="C252" s="274"/>
      <c r="D252" s="274"/>
      <c r="E252" s="274"/>
      <c r="F252" s="274"/>
      <c r="G252" s="274"/>
      <c r="H252" s="274"/>
      <c r="I252" s="274"/>
      <c r="J252" s="274"/>
      <c r="K252" s="274"/>
      <c r="L252" s="274"/>
      <c r="M252" s="274"/>
      <c r="N252" s="274"/>
      <c r="O252" s="274"/>
      <c r="P252" s="274"/>
      <c r="Q252" s="274"/>
      <c r="R252" s="316"/>
      <c r="W252" s="274"/>
      <c r="X252" s="274"/>
      <c r="Y252" s="274"/>
      <c r="Z252" s="274">
        <v>13.312</v>
      </c>
      <c r="AA252" s="309">
        <v>1826579.062</v>
      </c>
      <c r="AB252" s="309">
        <v>1244865.985</v>
      </c>
      <c r="AC252" s="309">
        <v>1558991.046</v>
      </c>
      <c r="AD252" s="274"/>
      <c r="AE252" s="274"/>
      <c r="AF252" s="274"/>
      <c r="AG252" s="274"/>
      <c r="AH252" s="274"/>
      <c r="AI252" s="274"/>
      <c r="AJ252" s="274"/>
      <c r="AK252" s="274"/>
      <c r="AL252" s="274"/>
      <c r="AM252" s="274"/>
      <c r="AN252" s="274"/>
      <c r="AO252" s="274"/>
      <c r="AP252" s="274"/>
      <c r="AQ252" s="274"/>
      <c r="AR252" s="274"/>
      <c r="AS252" s="274"/>
      <c r="AT252" s="274"/>
      <c r="AU252" s="274"/>
      <c r="AV252" s="274"/>
      <c r="AW252" s="274"/>
    </row>
    <row r="253" ht="15.75" customHeight="1">
      <c r="A253" s="274"/>
      <c r="B253" s="274"/>
      <c r="C253" s="274"/>
      <c r="D253" s="274"/>
      <c r="E253" s="274"/>
      <c r="F253" s="274"/>
      <c r="G253" s="274"/>
      <c r="H253" s="274"/>
      <c r="I253" s="274"/>
      <c r="J253" s="274"/>
      <c r="K253" s="274"/>
      <c r="L253" s="274"/>
      <c r="M253" s="274"/>
      <c r="N253" s="274"/>
      <c r="O253" s="274"/>
      <c r="P253" s="274"/>
      <c r="Q253" s="274"/>
      <c r="R253" s="316"/>
      <c r="W253" s="274"/>
      <c r="X253" s="274"/>
      <c r="Y253" s="274"/>
      <c r="Z253" s="274">
        <v>13.375</v>
      </c>
      <c r="AA253" s="309">
        <v>1826579.062</v>
      </c>
      <c r="AB253" s="309">
        <v>1244865.985</v>
      </c>
      <c r="AC253" s="309">
        <v>1558991.046</v>
      </c>
      <c r="AD253" s="274"/>
      <c r="AE253" s="274"/>
      <c r="AF253" s="274"/>
      <c r="AG253" s="274"/>
      <c r="AH253" s="274"/>
      <c r="AI253" s="274"/>
      <c r="AJ253" s="274"/>
      <c r="AK253" s="274"/>
      <c r="AL253" s="274"/>
      <c r="AM253" s="274"/>
      <c r="AN253" s="274"/>
      <c r="AO253" s="274"/>
      <c r="AP253" s="274"/>
      <c r="AQ253" s="274"/>
      <c r="AR253" s="274"/>
      <c r="AS253" s="274"/>
      <c r="AT253" s="274"/>
      <c r="AU253" s="274"/>
      <c r="AV253" s="274"/>
      <c r="AW253" s="274"/>
    </row>
    <row r="254" ht="15.75" customHeight="1">
      <c r="A254" s="274"/>
      <c r="B254" s="274"/>
      <c r="C254" s="274"/>
      <c r="D254" s="274"/>
      <c r="E254" s="274"/>
      <c r="F254" s="274"/>
      <c r="G254" s="274"/>
      <c r="H254" s="274"/>
      <c r="I254" s="274"/>
      <c r="J254" s="274"/>
      <c r="K254" s="274"/>
      <c r="L254" s="274"/>
      <c r="M254" s="274"/>
      <c r="N254" s="274"/>
      <c r="O254" s="274"/>
      <c r="P254" s="274"/>
      <c r="Q254" s="274"/>
      <c r="R254" s="316"/>
      <c r="W254" s="274"/>
      <c r="X254" s="274"/>
      <c r="Y254" s="274"/>
      <c r="Z254" s="274">
        <v>13.437</v>
      </c>
      <c r="AA254" s="309">
        <v>1826579.062</v>
      </c>
      <c r="AB254" s="309">
        <v>1244865.985</v>
      </c>
      <c r="AC254" s="309">
        <v>1558991.046</v>
      </c>
      <c r="AD254" s="274"/>
      <c r="AE254" s="274"/>
      <c r="AF254" s="274"/>
      <c r="AG254" s="274"/>
      <c r="AH254" s="274"/>
      <c r="AI254" s="274"/>
      <c r="AJ254" s="274"/>
      <c r="AK254" s="274"/>
      <c r="AL254" s="274"/>
      <c r="AM254" s="274"/>
      <c r="AN254" s="274"/>
      <c r="AO254" s="274"/>
      <c r="AP254" s="274"/>
      <c r="AQ254" s="274"/>
      <c r="AR254" s="274"/>
      <c r="AS254" s="274"/>
      <c r="AT254" s="274"/>
      <c r="AU254" s="274"/>
      <c r="AV254" s="274"/>
      <c r="AW254" s="274"/>
    </row>
    <row r="255" ht="15.75" customHeight="1">
      <c r="A255" s="274"/>
      <c r="B255" s="274"/>
      <c r="C255" s="274"/>
      <c r="D255" s="274"/>
      <c r="E255" s="274"/>
      <c r="F255" s="274"/>
      <c r="G255" s="274"/>
      <c r="H255" s="274"/>
      <c r="I255" s="274"/>
      <c r="J255" s="274"/>
      <c r="K255" s="274"/>
      <c r="L255" s="274"/>
      <c r="M255" s="274"/>
      <c r="N255" s="274"/>
      <c r="O255" s="274"/>
      <c r="P255" s="274"/>
      <c r="Q255" s="274"/>
      <c r="R255" s="316"/>
      <c r="W255" s="274"/>
      <c r="X255" s="274"/>
      <c r="Y255" s="274"/>
      <c r="Z255" s="274">
        <v>13.5</v>
      </c>
      <c r="AA255" s="309">
        <v>1826579.062</v>
      </c>
      <c r="AB255" s="309">
        <v>1244865.985</v>
      </c>
      <c r="AC255" s="309">
        <v>1558991.046</v>
      </c>
      <c r="AD255" s="274"/>
      <c r="AE255" s="274"/>
      <c r="AF255" s="274"/>
      <c r="AG255" s="274"/>
      <c r="AH255" s="274"/>
      <c r="AI255" s="274"/>
      <c r="AJ255" s="274"/>
      <c r="AK255" s="274"/>
      <c r="AL255" s="274"/>
      <c r="AM255" s="274"/>
      <c r="AN255" s="274"/>
      <c r="AO255" s="274"/>
      <c r="AP255" s="274"/>
      <c r="AQ255" s="274"/>
      <c r="AR255" s="274"/>
      <c r="AS255" s="274"/>
      <c r="AT255" s="274"/>
      <c r="AU255" s="274"/>
      <c r="AV255" s="274"/>
      <c r="AW255" s="274"/>
    </row>
    <row r="256" ht="15.75" customHeight="1">
      <c r="A256" s="274"/>
      <c r="B256" s="274"/>
      <c r="C256" s="274"/>
      <c r="D256" s="274"/>
      <c r="E256" s="274"/>
      <c r="F256" s="274"/>
      <c r="G256" s="274"/>
      <c r="H256" s="274"/>
      <c r="I256" s="274"/>
      <c r="J256" s="274"/>
      <c r="K256" s="274"/>
      <c r="L256" s="274"/>
      <c r="M256" s="274"/>
      <c r="N256" s="274"/>
      <c r="O256" s="274"/>
      <c r="P256" s="274"/>
      <c r="Q256" s="274"/>
      <c r="R256" s="316"/>
      <c r="W256" s="274"/>
      <c r="X256" s="274"/>
      <c r="Y256" s="274"/>
      <c r="Z256" s="274">
        <v>13.562</v>
      </c>
      <c r="AA256" s="309">
        <v>1826579.062</v>
      </c>
      <c r="AB256" s="309">
        <v>1303037.292</v>
      </c>
      <c r="AC256" s="309">
        <v>1558991.046</v>
      </c>
      <c r="AD256" s="274"/>
      <c r="AE256" s="274"/>
      <c r="AF256" s="274"/>
      <c r="AG256" s="274"/>
      <c r="AH256" s="274"/>
      <c r="AI256" s="274"/>
      <c r="AJ256" s="274"/>
      <c r="AK256" s="274"/>
      <c r="AL256" s="274"/>
      <c r="AM256" s="274"/>
      <c r="AN256" s="274"/>
      <c r="AO256" s="274"/>
      <c r="AP256" s="274"/>
      <c r="AQ256" s="274"/>
      <c r="AR256" s="274"/>
      <c r="AS256" s="274"/>
      <c r="AT256" s="274"/>
      <c r="AU256" s="274"/>
      <c r="AV256" s="274"/>
      <c r="AW256" s="274"/>
    </row>
    <row r="257" ht="15.75" customHeight="1">
      <c r="A257" s="274"/>
      <c r="B257" s="274"/>
      <c r="C257" s="274"/>
      <c r="D257" s="274"/>
      <c r="E257" s="274"/>
      <c r="F257" s="274"/>
      <c r="G257" s="274"/>
      <c r="H257" s="274"/>
      <c r="I257" s="274"/>
      <c r="J257" s="274"/>
      <c r="K257" s="274"/>
      <c r="L257" s="274"/>
      <c r="M257" s="274"/>
      <c r="N257" s="274"/>
      <c r="O257" s="274"/>
      <c r="P257" s="274"/>
      <c r="Q257" s="274"/>
      <c r="R257" s="316"/>
      <c r="W257" s="274"/>
      <c r="X257" s="274"/>
      <c r="Y257" s="274"/>
      <c r="Z257" s="274">
        <v>13.625</v>
      </c>
      <c r="AA257" s="309">
        <v>1826579.062</v>
      </c>
      <c r="AB257" s="309">
        <v>1303037.292</v>
      </c>
      <c r="AC257" s="309">
        <v>1558991.046</v>
      </c>
      <c r="AD257" s="274"/>
      <c r="AE257" s="274"/>
      <c r="AF257" s="274"/>
      <c r="AG257" s="274"/>
      <c r="AH257" s="274"/>
      <c r="AI257" s="274"/>
      <c r="AJ257" s="274"/>
      <c r="AK257" s="274"/>
      <c r="AL257" s="274"/>
      <c r="AM257" s="274"/>
      <c r="AN257" s="274"/>
      <c r="AO257" s="274"/>
      <c r="AP257" s="274"/>
      <c r="AQ257" s="274"/>
      <c r="AR257" s="274"/>
      <c r="AS257" s="274"/>
      <c r="AT257" s="274"/>
      <c r="AU257" s="274"/>
      <c r="AV257" s="274"/>
      <c r="AW257" s="274"/>
    </row>
    <row r="258" ht="15.75" customHeight="1">
      <c r="A258" s="274"/>
      <c r="B258" s="274"/>
      <c r="C258" s="274"/>
      <c r="D258" s="274"/>
      <c r="E258" s="274"/>
      <c r="F258" s="274"/>
      <c r="G258" s="274"/>
      <c r="H258" s="274"/>
      <c r="I258" s="274"/>
      <c r="J258" s="274"/>
      <c r="K258" s="274"/>
      <c r="L258" s="274"/>
      <c r="M258" s="274"/>
      <c r="N258" s="274"/>
      <c r="O258" s="274"/>
      <c r="P258" s="274"/>
      <c r="Q258" s="274"/>
      <c r="R258" s="316"/>
      <c r="W258" s="274"/>
      <c r="X258" s="274"/>
      <c r="Y258" s="274"/>
      <c r="Z258" s="274">
        <v>13.687</v>
      </c>
      <c r="AA258" s="309">
        <v>1826579.062</v>
      </c>
      <c r="AB258" s="309">
        <v>1303037.292</v>
      </c>
      <c r="AC258" s="309">
        <v>1558991.046</v>
      </c>
      <c r="AD258" s="274"/>
      <c r="AE258" s="274"/>
      <c r="AF258" s="274"/>
      <c r="AG258" s="274"/>
      <c r="AH258" s="274"/>
      <c r="AI258" s="274"/>
      <c r="AJ258" s="274"/>
      <c r="AK258" s="274"/>
      <c r="AL258" s="274"/>
      <c r="AM258" s="274"/>
      <c r="AN258" s="274"/>
      <c r="AO258" s="274"/>
      <c r="AP258" s="274"/>
      <c r="AQ258" s="274"/>
      <c r="AR258" s="274"/>
      <c r="AS258" s="274"/>
      <c r="AT258" s="274"/>
      <c r="AU258" s="274"/>
      <c r="AV258" s="274"/>
      <c r="AW258" s="274"/>
    </row>
    <row r="259" ht="15.75" customHeight="1">
      <c r="A259" s="274"/>
      <c r="B259" s="274"/>
      <c r="C259" s="274"/>
      <c r="D259" s="274"/>
      <c r="E259" s="274"/>
      <c r="F259" s="274"/>
      <c r="G259" s="274"/>
      <c r="H259" s="274"/>
      <c r="I259" s="274"/>
      <c r="J259" s="274"/>
      <c r="K259" s="274"/>
      <c r="L259" s="274"/>
      <c r="M259" s="274"/>
      <c r="N259" s="274"/>
      <c r="O259" s="274"/>
      <c r="P259" s="274"/>
      <c r="Q259" s="274"/>
      <c r="R259" s="316"/>
      <c r="W259" s="274"/>
      <c r="X259" s="274"/>
      <c r="Y259" s="274"/>
      <c r="Z259" s="274">
        <v>13.75</v>
      </c>
      <c r="AA259" s="309">
        <v>1826579.062</v>
      </c>
      <c r="AB259" s="309">
        <v>1303037.292</v>
      </c>
      <c r="AC259" s="309">
        <v>1558991.046</v>
      </c>
      <c r="AD259" s="274"/>
      <c r="AE259" s="274"/>
      <c r="AF259" s="274"/>
      <c r="AG259" s="274"/>
      <c r="AH259" s="274"/>
      <c r="AI259" s="274"/>
      <c r="AJ259" s="274"/>
      <c r="AK259" s="274"/>
      <c r="AL259" s="274"/>
      <c r="AM259" s="274"/>
      <c r="AN259" s="274"/>
      <c r="AO259" s="274"/>
      <c r="AP259" s="274"/>
      <c r="AQ259" s="274"/>
      <c r="AR259" s="274"/>
      <c r="AS259" s="274"/>
      <c r="AT259" s="274"/>
      <c r="AU259" s="274"/>
      <c r="AV259" s="274"/>
      <c r="AW259" s="274"/>
    </row>
    <row r="260" ht="15.75" customHeight="1">
      <c r="A260" s="274"/>
      <c r="B260" s="274"/>
      <c r="C260" s="274"/>
      <c r="D260" s="274"/>
      <c r="E260" s="274"/>
      <c r="F260" s="274"/>
      <c r="G260" s="274"/>
      <c r="H260" s="274"/>
      <c r="I260" s="274"/>
      <c r="J260" s="274"/>
      <c r="K260" s="274"/>
      <c r="L260" s="274"/>
      <c r="M260" s="274"/>
      <c r="N260" s="274"/>
      <c r="O260" s="274"/>
      <c r="P260" s="274"/>
      <c r="Q260" s="274"/>
      <c r="R260" s="316"/>
      <c r="W260" s="274"/>
      <c r="X260" s="274"/>
      <c r="Y260" s="274"/>
      <c r="Z260" s="274">
        <v>13.812</v>
      </c>
      <c r="AA260" s="309">
        <v>1826579.062</v>
      </c>
      <c r="AB260" s="309">
        <v>1465916.954</v>
      </c>
      <c r="AC260" s="309">
        <v>1558991.046</v>
      </c>
      <c r="AD260" s="274"/>
      <c r="AE260" s="274"/>
      <c r="AF260" s="274"/>
      <c r="AG260" s="274"/>
      <c r="AH260" s="274"/>
      <c r="AI260" s="274"/>
      <c r="AJ260" s="274"/>
      <c r="AK260" s="274"/>
      <c r="AL260" s="274"/>
      <c r="AM260" s="274"/>
      <c r="AN260" s="274"/>
      <c r="AO260" s="274"/>
      <c r="AP260" s="274"/>
      <c r="AQ260" s="274"/>
      <c r="AR260" s="274"/>
      <c r="AS260" s="274"/>
      <c r="AT260" s="274"/>
      <c r="AU260" s="274"/>
      <c r="AV260" s="274"/>
      <c r="AW260" s="274"/>
    </row>
    <row r="261" ht="15.75" customHeight="1">
      <c r="A261" s="274"/>
      <c r="B261" s="274"/>
      <c r="C261" s="274"/>
      <c r="D261" s="274"/>
      <c r="E261" s="274"/>
      <c r="F261" s="274"/>
      <c r="G261" s="274"/>
      <c r="H261" s="274"/>
      <c r="I261" s="274"/>
      <c r="J261" s="274"/>
      <c r="K261" s="274"/>
      <c r="L261" s="274"/>
      <c r="M261" s="274"/>
      <c r="N261" s="274"/>
      <c r="O261" s="274"/>
      <c r="P261" s="274"/>
      <c r="Q261" s="274"/>
      <c r="R261" s="316"/>
      <c r="W261" s="274"/>
      <c r="X261" s="274"/>
      <c r="Y261" s="274"/>
      <c r="Z261" s="274">
        <v>13.875</v>
      </c>
      <c r="AA261" s="309">
        <v>1826579.062</v>
      </c>
      <c r="AB261" s="309">
        <v>1465916.954</v>
      </c>
      <c r="AC261" s="309">
        <v>1558991.046</v>
      </c>
      <c r="AD261" s="274"/>
      <c r="AE261" s="274"/>
      <c r="AF261" s="274"/>
      <c r="AG261" s="274"/>
      <c r="AH261" s="274"/>
      <c r="AI261" s="274"/>
      <c r="AJ261" s="274"/>
      <c r="AK261" s="274"/>
      <c r="AL261" s="274"/>
      <c r="AM261" s="274"/>
      <c r="AN261" s="274"/>
      <c r="AO261" s="274"/>
      <c r="AP261" s="274"/>
      <c r="AQ261" s="274"/>
      <c r="AR261" s="274"/>
      <c r="AS261" s="274"/>
      <c r="AT261" s="274"/>
      <c r="AU261" s="274"/>
      <c r="AV261" s="274"/>
      <c r="AW261" s="274"/>
    </row>
    <row r="262" ht="15.75" customHeight="1">
      <c r="A262" s="274"/>
      <c r="B262" s="274"/>
      <c r="C262" s="274"/>
      <c r="D262" s="274"/>
      <c r="E262" s="274"/>
      <c r="F262" s="274"/>
      <c r="G262" s="274"/>
      <c r="H262" s="274"/>
      <c r="I262" s="274"/>
      <c r="J262" s="274"/>
      <c r="K262" s="274"/>
      <c r="L262" s="274"/>
      <c r="M262" s="274"/>
      <c r="N262" s="274"/>
      <c r="O262" s="274"/>
      <c r="P262" s="274"/>
      <c r="Q262" s="274"/>
      <c r="R262" s="316"/>
      <c r="W262" s="274"/>
      <c r="X262" s="274"/>
      <c r="Y262" s="274"/>
      <c r="Z262" s="274">
        <v>13.937</v>
      </c>
      <c r="AA262" s="309">
        <v>1826579.062</v>
      </c>
      <c r="AB262" s="309">
        <v>1465916.954</v>
      </c>
      <c r="AC262" s="309">
        <v>1558991.046</v>
      </c>
      <c r="AD262" s="274"/>
      <c r="AE262" s="274"/>
      <c r="AF262" s="274"/>
      <c r="AG262" s="274"/>
      <c r="AH262" s="274"/>
      <c r="AI262" s="274"/>
      <c r="AJ262" s="274"/>
      <c r="AK262" s="274"/>
      <c r="AL262" s="274"/>
      <c r="AM262" s="274"/>
      <c r="AN262" s="274"/>
      <c r="AO262" s="274"/>
      <c r="AP262" s="274"/>
      <c r="AQ262" s="274"/>
      <c r="AR262" s="274"/>
      <c r="AS262" s="274"/>
      <c r="AT262" s="274"/>
      <c r="AU262" s="274"/>
      <c r="AV262" s="274"/>
      <c r="AW262" s="274"/>
    </row>
    <row r="263" ht="15.75" customHeight="1">
      <c r="A263" s="274"/>
      <c r="B263" s="274"/>
      <c r="C263" s="274"/>
      <c r="D263" s="274"/>
      <c r="E263" s="274"/>
      <c r="F263" s="274"/>
      <c r="G263" s="274"/>
      <c r="H263" s="274"/>
      <c r="I263" s="274"/>
      <c r="J263" s="274"/>
      <c r="K263" s="274"/>
      <c r="L263" s="274"/>
      <c r="M263" s="274"/>
      <c r="N263" s="274"/>
      <c r="O263" s="274"/>
      <c r="P263" s="274"/>
      <c r="Q263" s="274"/>
      <c r="R263" s="316"/>
      <c r="W263" s="274"/>
      <c r="X263" s="274"/>
      <c r="Y263" s="274"/>
      <c r="Z263" s="274">
        <v>14.0</v>
      </c>
      <c r="AA263" s="309">
        <v>1826579.062</v>
      </c>
      <c r="AB263" s="309">
        <v>1465916.954</v>
      </c>
      <c r="AC263" s="309">
        <v>1558991.046</v>
      </c>
      <c r="AD263" s="274"/>
      <c r="AE263" s="274"/>
      <c r="AF263" s="274"/>
      <c r="AG263" s="274"/>
      <c r="AH263" s="274"/>
      <c r="AI263" s="274"/>
      <c r="AJ263" s="274"/>
      <c r="AK263" s="274"/>
      <c r="AL263" s="274"/>
      <c r="AM263" s="274"/>
      <c r="AN263" s="274"/>
      <c r="AO263" s="274"/>
      <c r="AP263" s="274"/>
      <c r="AQ263" s="274"/>
      <c r="AR263" s="274"/>
      <c r="AS263" s="274"/>
      <c r="AT263" s="274"/>
      <c r="AU263" s="274"/>
      <c r="AV263" s="274"/>
      <c r="AW263" s="274"/>
    </row>
    <row r="264" ht="15.75" customHeight="1">
      <c r="A264" s="274"/>
      <c r="B264" s="274"/>
      <c r="C264" s="274"/>
      <c r="D264" s="274"/>
      <c r="E264" s="274"/>
      <c r="F264" s="274"/>
      <c r="G264" s="274"/>
      <c r="H264" s="274"/>
      <c r="I264" s="274"/>
      <c r="J264" s="274"/>
      <c r="K264" s="274"/>
      <c r="L264" s="274"/>
      <c r="M264" s="274"/>
      <c r="N264" s="274"/>
      <c r="O264" s="274"/>
      <c r="P264" s="274"/>
      <c r="Q264" s="274"/>
      <c r="R264" s="316"/>
      <c r="W264" s="274"/>
      <c r="X264" s="274"/>
      <c r="Y264" s="274"/>
      <c r="Z264" s="274">
        <v>14.062</v>
      </c>
      <c r="AA264" s="309">
        <v>1826579.062</v>
      </c>
      <c r="AB264" s="309">
        <v>1465916.954</v>
      </c>
      <c r="AC264" s="309">
        <v>1558991.046</v>
      </c>
      <c r="AD264" s="274"/>
      <c r="AE264" s="274"/>
      <c r="AF264" s="274"/>
      <c r="AG264" s="274"/>
      <c r="AH264" s="274"/>
      <c r="AI264" s="274"/>
      <c r="AJ264" s="274"/>
      <c r="AK264" s="274"/>
      <c r="AL264" s="274"/>
      <c r="AM264" s="274"/>
      <c r="AN264" s="274"/>
      <c r="AO264" s="274"/>
      <c r="AP264" s="274"/>
      <c r="AQ264" s="274"/>
      <c r="AR264" s="274"/>
      <c r="AS264" s="274"/>
      <c r="AT264" s="274"/>
      <c r="AU264" s="274"/>
      <c r="AV264" s="274"/>
      <c r="AW264" s="274"/>
    </row>
    <row r="265" ht="15.75" customHeight="1">
      <c r="A265" s="274"/>
      <c r="B265" s="274"/>
      <c r="C265" s="274"/>
      <c r="D265" s="274"/>
      <c r="E265" s="274"/>
      <c r="F265" s="274"/>
      <c r="G265" s="274"/>
      <c r="H265" s="274"/>
      <c r="I265" s="274"/>
      <c r="J265" s="274"/>
      <c r="K265" s="274"/>
      <c r="L265" s="274"/>
      <c r="M265" s="274"/>
      <c r="N265" s="274"/>
      <c r="O265" s="274"/>
      <c r="P265" s="274"/>
      <c r="Q265" s="274"/>
      <c r="R265" s="316"/>
      <c r="W265" s="274"/>
      <c r="X265" s="274"/>
      <c r="Y265" s="274"/>
      <c r="Z265" s="274">
        <v>14.125</v>
      </c>
      <c r="AA265" s="309">
        <v>1826579.062</v>
      </c>
      <c r="AB265" s="309">
        <v>1465916.954</v>
      </c>
      <c r="AC265" s="309">
        <v>1558991.046</v>
      </c>
      <c r="AD265" s="274"/>
      <c r="AE265" s="274"/>
      <c r="AF265" s="274"/>
      <c r="AG265" s="274"/>
      <c r="AH265" s="274"/>
      <c r="AI265" s="274"/>
      <c r="AJ265" s="274"/>
      <c r="AK265" s="274"/>
      <c r="AL265" s="274"/>
      <c r="AM265" s="274"/>
      <c r="AN265" s="274"/>
      <c r="AO265" s="274"/>
      <c r="AP265" s="274"/>
      <c r="AQ265" s="274"/>
      <c r="AR265" s="274"/>
      <c r="AS265" s="274"/>
      <c r="AT265" s="274"/>
      <c r="AU265" s="274"/>
      <c r="AV265" s="274"/>
      <c r="AW265" s="274"/>
    </row>
    <row r="266" ht="15.75" customHeight="1">
      <c r="A266" s="274"/>
      <c r="B266" s="274"/>
      <c r="C266" s="274"/>
      <c r="D266" s="274"/>
      <c r="E266" s="274"/>
      <c r="F266" s="274"/>
      <c r="G266" s="274"/>
      <c r="H266" s="274"/>
      <c r="I266" s="274"/>
      <c r="J266" s="274"/>
      <c r="K266" s="274"/>
      <c r="L266" s="274"/>
      <c r="M266" s="274"/>
      <c r="N266" s="274"/>
      <c r="O266" s="274"/>
      <c r="P266" s="274"/>
      <c r="Q266" s="274"/>
      <c r="R266" s="316"/>
      <c r="W266" s="274"/>
      <c r="X266" s="274"/>
      <c r="Y266" s="274"/>
      <c r="Z266" s="274">
        <v>14.187</v>
      </c>
      <c r="AA266" s="309">
        <v>1826579.062</v>
      </c>
      <c r="AB266" s="309">
        <v>1465916.954</v>
      </c>
      <c r="AC266" s="309">
        <v>1558991.046</v>
      </c>
      <c r="AD266" s="274"/>
      <c r="AE266" s="274"/>
      <c r="AF266" s="274"/>
      <c r="AG266" s="274"/>
      <c r="AH266" s="274"/>
      <c r="AI266" s="274"/>
      <c r="AJ266" s="274"/>
      <c r="AK266" s="274"/>
      <c r="AL266" s="274"/>
      <c r="AM266" s="274"/>
      <c r="AN266" s="274"/>
      <c r="AO266" s="274"/>
      <c r="AP266" s="274"/>
      <c r="AQ266" s="274"/>
      <c r="AR266" s="274"/>
      <c r="AS266" s="274"/>
      <c r="AT266" s="274"/>
      <c r="AU266" s="274"/>
      <c r="AV266" s="274"/>
      <c r="AW266" s="274"/>
    </row>
    <row r="267" ht="15.75" customHeight="1">
      <c r="A267" s="274"/>
      <c r="B267" s="274"/>
      <c r="C267" s="274"/>
      <c r="D267" s="274"/>
      <c r="E267" s="274"/>
      <c r="F267" s="274"/>
      <c r="G267" s="274"/>
      <c r="H267" s="274"/>
      <c r="I267" s="274"/>
      <c r="J267" s="274"/>
      <c r="K267" s="274"/>
      <c r="L267" s="274"/>
      <c r="M267" s="274"/>
      <c r="N267" s="274"/>
      <c r="O267" s="274"/>
      <c r="P267" s="274"/>
      <c r="Q267" s="274"/>
      <c r="R267" s="316"/>
      <c r="W267" s="274"/>
      <c r="X267" s="274"/>
      <c r="Y267" s="274"/>
      <c r="Z267" s="274">
        <v>14.25</v>
      </c>
      <c r="AA267" s="309">
        <v>2024361.508</v>
      </c>
      <c r="AB267" s="309">
        <v>1465916.954</v>
      </c>
      <c r="AC267" s="309">
        <v>1558991.046</v>
      </c>
      <c r="AD267" s="274"/>
      <c r="AE267" s="274"/>
      <c r="AF267" s="274"/>
      <c r="AG267" s="274"/>
      <c r="AH267" s="274"/>
      <c r="AI267" s="274"/>
      <c r="AJ267" s="274"/>
      <c r="AK267" s="274"/>
      <c r="AL267" s="274"/>
      <c r="AM267" s="274"/>
      <c r="AN267" s="274"/>
      <c r="AO267" s="274"/>
      <c r="AP267" s="274"/>
      <c r="AQ267" s="274"/>
      <c r="AR267" s="274"/>
      <c r="AS267" s="274"/>
      <c r="AT267" s="274"/>
      <c r="AU267" s="274"/>
      <c r="AV267" s="274"/>
      <c r="AW267" s="274"/>
    </row>
    <row r="268" ht="15.75" customHeight="1">
      <c r="A268" s="274"/>
      <c r="B268" s="274"/>
      <c r="C268" s="274"/>
      <c r="D268" s="274"/>
      <c r="E268" s="274"/>
      <c r="F268" s="274"/>
      <c r="G268" s="274"/>
      <c r="H268" s="274"/>
      <c r="I268" s="274"/>
      <c r="J268" s="274"/>
      <c r="K268" s="274"/>
      <c r="L268" s="274"/>
      <c r="M268" s="274"/>
      <c r="N268" s="274"/>
      <c r="O268" s="274"/>
      <c r="P268" s="274"/>
      <c r="Q268" s="274"/>
      <c r="R268" s="316"/>
      <c r="W268" s="274"/>
      <c r="X268" s="274"/>
      <c r="Y268" s="274"/>
      <c r="Z268" s="274">
        <v>14.312</v>
      </c>
      <c r="AA268" s="309">
        <v>2024361.508</v>
      </c>
      <c r="AB268" s="309">
        <v>1465916.954</v>
      </c>
      <c r="AC268" s="309">
        <v>1558991.046</v>
      </c>
      <c r="AD268" s="274"/>
      <c r="AE268" s="274"/>
      <c r="AF268" s="274"/>
      <c r="AG268" s="274"/>
      <c r="AH268" s="274"/>
      <c r="AI268" s="274"/>
      <c r="AJ268" s="274"/>
      <c r="AK268" s="274"/>
      <c r="AL268" s="274"/>
      <c r="AM268" s="274"/>
      <c r="AN268" s="274"/>
      <c r="AO268" s="274"/>
      <c r="AP268" s="274"/>
      <c r="AQ268" s="274"/>
      <c r="AR268" s="274"/>
      <c r="AS268" s="274"/>
      <c r="AT268" s="274"/>
      <c r="AU268" s="274"/>
      <c r="AV268" s="274"/>
      <c r="AW268" s="274"/>
    </row>
    <row r="269" ht="15.75" customHeight="1">
      <c r="A269" s="274"/>
      <c r="B269" s="274"/>
      <c r="C269" s="274"/>
      <c r="D269" s="274"/>
      <c r="E269" s="274"/>
      <c r="F269" s="274"/>
      <c r="G269" s="274"/>
      <c r="H269" s="274"/>
      <c r="I269" s="274"/>
      <c r="J269" s="274"/>
      <c r="K269" s="274"/>
      <c r="L269" s="274"/>
      <c r="M269" s="274"/>
      <c r="N269" s="274"/>
      <c r="O269" s="274"/>
      <c r="P269" s="274"/>
      <c r="Q269" s="274"/>
      <c r="R269" s="316"/>
      <c r="W269" s="274"/>
      <c r="X269" s="274"/>
      <c r="Y269" s="274"/>
      <c r="Z269" s="274">
        <v>14.375</v>
      </c>
      <c r="AA269" s="309">
        <v>2024361.508</v>
      </c>
      <c r="AB269" s="309">
        <v>1465916.954</v>
      </c>
      <c r="AC269" s="309">
        <v>1558991.046</v>
      </c>
      <c r="AD269" s="274"/>
      <c r="AE269" s="274"/>
      <c r="AF269" s="274"/>
      <c r="AG269" s="274"/>
      <c r="AH269" s="274"/>
      <c r="AI269" s="274"/>
      <c r="AJ269" s="274"/>
      <c r="AK269" s="274"/>
      <c r="AL269" s="274"/>
      <c r="AM269" s="274"/>
      <c r="AN269" s="274"/>
      <c r="AO269" s="274"/>
      <c r="AP269" s="274"/>
      <c r="AQ269" s="274"/>
      <c r="AR269" s="274"/>
      <c r="AS269" s="274"/>
      <c r="AT269" s="274"/>
      <c r="AU269" s="274"/>
      <c r="AV269" s="274"/>
      <c r="AW269" s="274"/>
    </row>
    <row r="270" ht="15.75" customHeight="1">
      <c r="A270" s="274"/>
      <c r="B270" s="274"/>
      <c r="C270" s="274"/>
      <c r="D270" s="274"/>
      <c r="E270" s="274"/>
      <c r="F270" s="274"/>
      <c r="G270" s="274"/>
      <c r="H270" s="274"/>
      <c r="I270" s="274"/>
      <c r="J270" s="274"/>
      <c r="K270" s="274"/>
      <c r="L270" s="274"/>
      <c r="M270" s="274"/>
      <c r="N270" s="274"/>
      <c r="O270" s="274"/>
      <c r="P270" s="274"/>
      <c r="Q270" s="274"/>
      <c r="R270" s="316"/>
      <c r="W270" s="274"/>
      <c r="X270" s="274"/>
      <c r="Y270" s="274"/>
      <c r="Z270" s="274">
        <v>14.437</v>
      </c>
      <c r="AA270" s="309">
        <v>2024361.508</v>
      </c>
      <c r="AB270" s="309">
        <v>1465916.954</v>
      </c>
      <c r="AC270" s="309">
        <v>1558991.046</v>
      </c>
      <c r="AD270" s="274"/>
      <c r="AE270" s="274"/>
      <c r="AF270" s="274"/>
      <c r="AG270" s="274"/>
      <c r="AH270" s="274"/>
      <c r="AI270" s="274"/>
      <c r="AJ270" s="274"/>
      <c r="AK270" s="274"/>
      <c r="AL270" s="274"/>
      <c r="AM270" s="274"/>
      <c r="AN270" s="274"/>
      <c r="AO270" s="274"/>
      <c r="AP270" s="274"/>
      <c r="AQ270" s="274"/>
      <c r="AR270" s="274"/>
      <c r="AS270" s="274"/>
      <c r="AT270" s="274"/>
      <c r="AU270" s="274"/>
      <c r="AV270" s="274"/>
      <c r="AW270" s="274"/>
    </row>
    <row r="271" ht="15.75" customHeight="1">
      <c r="A271" s="274"/>
      <c r="B271" s="274"/>
      <c r="C271" s="274"/>
      <c r="D271" s="274"/>
      <c r="E271" s="274"/>
      <c r="F271" s="274"/>
      <c r="G271" s="274"/>
      <c r="H271" s="274"/>
      <c r="I271" s="274"/>
      <c r="J271" s="274"/>
      <c r="K271" s="274"/>
      <c r="L271" s="274"/>
      <c r="M271" s="274"/>
      <c r="N271" s="274"/>
      <c r="O271" s="274"/>
      <c r="P271" s="274"/>
      <c r="Q271" s="274"/>
      <c r="R271" s="316"/>
      <c r="W271" s="274"/>
      <c r="X271" s="274"/>
      <c r="Y271" s="274"/>
      <c r="Z271" s="274">
        <v>14.5</v>
      </c>
      <c r="AA271" s="309">
        <v>2024361.508</v>
      </c>
      <c r="AB271" s="309">
        <v>1465916.954</v>
      </c>
      <c r="AC271" s="309">
        <v>1558991.046</v>
      </c>
      <c r="AD271" s="274"/>
      <c r="AE271" s="274"/>
      <c r="AF271" s="274"/>
      <c r="AG271" s="274"/>
      <c r="AH271" s="274"/>
      <c r="AI271" s="274"/>
      <c r="AJ271" s="274"/>
      <c r="AK271" s="274"/>
      <c r="AL271" s="274"/>
      <c r="AM271" s="274"/>
      <c r="AN271" s="274"/>
      <c r="AO271" s="274"/>
      <c r="AP271" s="274"/>
      <c r="AQ271" s="274"/>
      <c r="AR271" s="274"/>
      <c r="AS271" s="274"/>
      <c r="AT271" s="274"/>
      <c r="AU271" s="274"/>
      <c r="AV271" s="274"/>
      <c r="AW271" s="274"/>
    </row>
    <row r="272" ht="15.75" customHeight="1">
      <c r="A272" s="274"/>
      <c r="B272" s="274"/>
      <c r="C272" s="274"/>
      <c r="D272" s="274"/>
      <c r="E272" s="274"/>
      <c r="F272" s="274"/>
      <c r="G272" s="274"/>
      <c r="H272" s="274"/>
      <c r="I272" s="274"/>
      <c r="J272" s="274"/>
      <c r="K272" s="274"/>
      <c r="L272" s="274"/>
      <c r="M272" s="274"/>
      <c r="N272" s="274"/>
      <c r="O272" s="274"/>
      <c r="P272" s="274"/>
      <c r="Q272" s="274"/>
      <c r="R272" s="316"/>
      <c r="W272" s="274"/>
      <c r="X272" s="274"/>
      <c r="Y272" s="274"/>
      <c r="Z272" s="274">
        <v>14.562</v>
      </c>
      <c r="AA272" s="309">
        <v>2024361.508</v>
      </c>
      <c r="AB272" s="309">
        <v>1465916.954</v>
      </c>
      <c r="AC272" s="309">
        <v>1558991.046</v>
      </c>
      <c r="AD272" s="274"/>
      <c r="AE272" s="274"/>
      <c r="AF272" s="274"/>
      <c r="AG272" s="274"/>
      <c r="AH272" s="274"/>
      <c r="AI272" s="274"/>
      <c r="AJ272" s="274"/>
      <c r="AK272" s="274"/>
      <c r="AL272" s="274"/>
      <c r="AM272" s="274"/>
      <c r="AN272" s="274"/>
      <c r="AO272" s="274"/>
      <c r="AP272" s="274"/>
      <c r="AQ272" s="274"/>
      <c r="AR272" s="274"/>
      <c r="AS272" s="274"/>
      <c r="AT272" s="274"/>
      <c r="AU272" s="274"/>
      <c r="AV272" s="274"/>
      <c r="AW272" s="274"/>
    </row>
    <row r="273" ht="15.75" customHeight="1">
      <c r="A273" s="274"/>
      <c r="B273" s="274"/>
      <c r="C273" s="274"/>
      <c r="D273" s="274"/>
      <c r="E273" s="274"/>
      <c r="F273" s="274"/>
      <c r="G273" s="274"/>
      <c r="H273" s="274"/>
      <c r="I273" s="274"/>
      <c r="J273" s="274"/>
      <c r="K273" s="274"/>
      <c r="L273" s="274"/>
      <c r="M273" s="274"/>
      <c r="N273" s="274"/>
      <c r="O273" s="274"/>
      <c r="P273" s="274"/>
      <c r="Q273" s="274"/>
      <c r="R273" s="316"/>
      <c r="W273" s="274"/>
      <c r="X273" s="274"/>
      <c r="Y273" s="274"/>
      <c r="Z273" s="274">
        <v>14.625</v>
      </c>
      <c r="AA273" s="309">
        <v>2024361.508</v>
      </c>
      <c r="AB273" s="309">
        <v>1465916.954</v>
      </c>
      <c r="AC273" s="309">
        <v>1558991.046</v>
      </c>
      <c r="AD273" s="274"/>
      <c r="AE273" s="274"/>
      <c r="AF273" s="274"/>
      <c r="AG273" s="274"/>
      <c r="AH273" s="274"/>
      <c r="AI273" s="274"/>
      <c r="AJ273" s="274"/>
      <c r="AK273" s="274"/>
      <c r="AL273" s="274"/>
      <c r="AM273" s="274"/>
      <c r="AN273" s="274"/>
      <c r="AO273" s="274"/>
      <c r="AP273" s="274"/>
      <c r="AQ273" s="274"/>
      <c r="AR273" s="274"/>
      <c r="AS273" s="274"/>
      <c r="AT273" s="274"/>
      <c r="AU273" s="274"/>
      <c r="AV273" s="274"/>
      <c r="AW273" s="274"/>
    </row>
    <row r="274" ht="15.75" customHeight="1">
      <c r="A274" s="274"/>
      <c r="B274" s="274"/>
      <c r="C274" s="274"/>
      <c r="D274" s="274"/>
      <c r="E274" s="274"/>
      <c r="F274" s="274"/>
      <c r="G274" s="274"/>
      <c r="H274" s="274"/>
      <c r="I274" s="274"/>
      <c r="J274" s="274"/>
      <c r="K274" s="274"/>
      <c r="L274" s="274"/>
      <c r="M274" s="274"/>
      <c r="N274" s="274"/>
      <c r="O274" s="274"/>
      <c r="P274" s="274"/>
      <c r="Q274" s="274"/>
      <c r="R274" s="316"/>
      <c r="W274" s="274"/>
      <c r="X274" s="274"/>
      <c r="Y274" s="274"/>
      <c r="Z274" s="274">
        <v>14.687</v>
      </c>
      <c r="AA274" s="309">
        <v>2024361.508</v>
      </c>
      <c r="AB274" s="309">
        <v>1675333.662</v>
      </c>
      <c r="AC274" s="309">
        <v>1617162.354</v>
      </c>
      <c r="AD274" s="274"/>
      <c r="AE274" s="274"/>
      <c r="AF274" s="274"/>
      <c r="AG274" s="274"/>
      <c r="AH274" s="274"/>
      <c r="AI274" s="274"/>
      <c r="AJ274" s="274"/>
      <c r="AK274" s="274"/>
      <c r="AL274" s="274"/>
      <c r="AM274" s="274"/>
      <c r="AN274" s="274"/>
      <c r="AO274" s="274"/>
      <c r="AP274" s="274"/>
      <c r="AQ274" s="274"/>
      <c r="AR274" s="274"/>
      <c r="AS274" s="274"/>
      <c r="AT274" s="274"/>
      <c r="AU274" s="274"/>
      <c r="AV274" s="274"/>
      <c r="AW274" s="274"/>
    </row>
    <row r="275" ht="15.75" customHeight="1">
      <c r="A275" s="274"/>
      <c r="B275" s="274"/>
      <c r="C275" s="274"/>
      <c r="D275" s="274"/>
      <c r="E275" s="274"/>
      <c r="F275" s="274"/>
      <c r="G275" s="274"/>
      <c r="H275" s="274"/>
      <c r="I275" s="274"/>
      <c r="J275" s="274"/>
      <c r="K275" s="274"/>
      <c r="L275" s="274"/>
      <c r="M275" s="274"/>
      <c r="N275" s="274"/>
      <c r="O275" s="274"/>
      <c r="P275" s="274"/>
      <c r="Q275" s="274"/>
      <c r="R275" s="316"/>
      <c r="W275" s="274"/>
      <c r="X275" s="274"/>
      <c r="Y275" s="274"/>
      <c r="Z275" s="274">
        <v>14.75</v>
      </c>
      <c r="AA275" s="309">
        <v>2024361.508</v>
      </c>
      <c r="AB275" s="309">
        <v>1675333.662</v>
      </c>
      <c r="AC275" s="309">
        <v>1617162.354</v>
      </c>
      <c r="AD275" s="274"/>
      <c r="AE275" s="274"/>
      <c r="AF275" s="274"/>
      <c r="AG275" s="274"/>
      <c r="AH275" s="274"/>
      <c r="AI275" s="274"/>
      <c r="AJ275" s="274"/>
      <c r="AK275" s="274"/>
      <c r="AL275" s="274"/>
      <c r="AM275" s="274"/>
      <c r="AN275" s="274"/>
      <c r="AO275" s="274"/>
      <c r="AP275" s="274"/>
      <c r="AQ275" s="274"/>
      <c r="AR275" s="274"/>
      <c r="AS275" s="274"/>
      <c r="AT275" s="274"/>
      <c r="AU275" s="274"/>
      <c r="AV275" s="274"/>
      <c r="AW275" s="274"/>
    </row>
    <row r="276" ht="15.75" customHeight="1">
      <c r="A276" s="274"/>
      <c r="B276" s="274"/>
      <c r="C276" s="274"/>
      <c r="D276" s="274"/>
      <c r="E276" s="274"/>
      <c r="F276" s="274"/>
      <c r="G276" s="274"/>
      <c r="H276" s="274"/>
      <c r="I276" s="274"/>
      <c r="J276" s="274"/>
      <c r="K276" s="274"/>
      <c r="L276" s="274"/>
      <c r="M276" s="274"/>
      <c r="N276" s="274"/>
      <c r="O276" s="274"/>
      <c r="P276" s="274"/>
      <c r="Q276" s="274"/>
      <c r="R276" s="316"/>
      <c r="W276" s="274"/>
      <c r="X276" s="274"/>
      <c r="Y276" s="274"/>
      <c r="Z276" s="274">
        <v>14.812</v>
      </c>
      <c r="AA276" s="309">
        <v>2024361.508</v>
      </c>
      <c r="AB276" s="309">
        <v>1675333.662</v>
      </c>
      <c r="AC276" s="309">
        <v>1617162.354</v>
      </c>
      <c r="AD276" s="274"/>
      <c r="AE276" s="274"/>
      <c r="AF276" s="274"/>
      <c r="AG276" s="274"/>
      <c r="AH276" s="274"/>
      <c r="AI276" s="274"/>
      <c r="AJ276" s="274"/>
      <c r="AK276" s="274"/>
      <c r="AL276" s="274"/>
      <c r="AM276" s="274"/>
      <c r="AN276" s="274"/>
      <c r="AO276" s="274"/>
      <c r="AP276" s="274"/>
      <c r="AQ276" s="274"/>
      <c r="AR276" s="274"/>
      <c r="AS276" s="274"/>
      <c r="AT276" s="274"/>
      <c r="AU276" s="274"/>
      <c r="AV276" s="274"/>
      <c r="AW276" s="274"/>
    </row>
    <row r="277" ht="15.75" customHeight="1">
      <c r="A277" s="274"/>
      <c r="B277" s="274"/>
      <c r="C277" s="274"/>
      <c r="D277" s="274"/>
      <c r="E277" s="274"/>
      <c r="F277" s="274"/>
      <c r="G277" s="274"/>
      <c r="H277" s="274"/>
      <c r="I277" s="274"/>
      <c r="J277" s="274"/>
      <c r="K277" s="274"/>
      <c r="L277" s="274"/>
      <c r="M277" s="274"/>
      <c r="N277" s="274"/>
      <c r="O277" s="274"/>
      <c r="P277" s="274"/>
      <c r="Q277" s="274"/>
      <c r="R277" s="316"/>
      <c r="W277" s="274"/>
      <c r="X277" s="274"/>
      <c r="Y277" s="274"/>
      <c r="Z277" s="274">
        <v>14.875</v>
      </c>
      <c r="AA277" s="309">
        <v>2059264.292</v>
      </c>
      <c r="AB277" s="309">
        <v>1675333.662</v>
      </c>
      <c r="AC277" s="309">
        <v>1663699.4</v>
      </c>
      <c r="AD277" s="274"/>
      <c r="AE277" s="274"/>
      <c r="AF277" s="274"/>
      <c r="AG277" s="274"/>
      <c r="AH277" s="274"/>
      <c r="AI277" s="274"/>
      <c r="AJ277" s="274"/>
      <c r="AK277" s="274"/>
      <c r="AL277" s="274"/>
      <c r="AM277" s="274"/>
      <c r="AN277" s="274"/>
      <c r="AO277" s="274"/>
      <c r="AP277" s="274"/>
      <c r="AQ277" s="274"/>
      <c r="AR277" s="274"/>
      <c r="AS277" s="274"/>
      <c r="AT277" s="274"/>
      <c r="AU277" s="274"/>
      <c r="AV277" s="274"/>
      <c r="AW277" s="274"/>
    </row>
    <row r="278" ht="15.75" customHeight="1">
      <c r="A278" s="274"/>
      <c r="B278" s="274"/>
      <c r="C278" s="274"/>
      <c r="D278" s="274"/>
      <c r="E278" s="274"/>
      <c r="F278" s="274"/>
      <c r="G278" s="274"/>
      <c r="H278" s="274"/>
      <c r="I278" s="274"/>
      <c r="J278" s="274"/>
      <c r="K278" s="274"/>
      <c r="L278" s="274"/>
      <c r="M278" s="274"/>
      <c r="N278" s="274"/>
      <c r="O278" s="274"/>
      <c r="P278" s="274"/>
      <c r="Q278" s="274"/>
      <c r="R278" s="316"/>
      <c r="W278" s="274"/>
      <c r="X278" s="274"/>
      <c r="Y278" s="274"/>
      <c r="Z278" s="274">
        <v>14.937</v>
      </c>
      <c r="AA278" s="309">
        <v>2059264.292</v>
      </c>
      <c r="AB278" s="309">
        <v>1675333.662</v>
      </c>
      <c r="AC278" s="309">
        <v>1663699.4</v>
      </c>
      <c r="AD278" s="274"/>
      <c r="AE278" s="274"/>
      <c r="AF278" s="274"/>
      <c r="AG278" s="274"/>
      <c r="AH278" s="274"/>
      <c r="AI278" s="274"/>
      <c r="AJ278" s="274"/>
      <c r="AK278" s="274"/>
      <c r="AL278" s="274"/>
      <c r="AM278" s="274"/>
      <c r="AN278" s="274"/>
      <c r="AO278" s="274"/>
      <c r="AP278" s="274"/>
      <c r="AQ278" s="274"/>
      <c r="AR278" s="274"/>
      <c r="AS278" s="274"/>
      <c r="AT278" s="274"/>
      <c r="AU278" s="274"/>
      <c r="AV278" s="274"/>
      <c r="AW278" s="274"/>
    </row>
    <row r="279" ht="15.75" customHeight="1">
      <c r="A279" s="274"/>
      <c r="B279" s="274"/>
      <c r="C279" s="274"/>
      <c r="D279" s="274"/>
      <c r="E279" s="274"/>
      <c r="F279" s="274"/>
      <c r="G279" s="274"/>
      <c r="H279" s="274"/>
      <c r="I279" s="274"/>
      <c r="J279" s="274"/>
      <c r="K279" s="274"/>
      <c r="L279" s="274"/>
      <c r="M279" s="274"/>
      <c r="N279" s="274"/>
      <c r="O279" s="274"/>
      <c r="P279" s="274"/>
      <c r="Q279" s="274"/>
      <c r="R279" s="316"/>
      <c r="W279" s="274"/>
      <c r="X279" s="274"/>
      <c r="Y279" s="274"/>
      <c r="Z279" s="274">
        <v>15.0</v>
      </c>
      <c r="AA279" s="309">
        <v>2059264.292</v>
      </c>
      <c r="AB279" s="309">
        <v>1675333.662</v>
      </c>
      <c r="AC279" s="309">
        <v>1663699.4</v>
      </c>
      <c r="AD279" s="274"/>
      <c r="AE279" s="274"/>
      <c r="AF279" s="274"/>
      <c r="AG279" s="274"/>
      <c r="AH279" s="274"/>
      <c r="AI279" s="274"/>
      <c r="AJ279" s="274"/>
      <c r="AK279" s="274"/>
      <c r="AL279" s="274"/>
      <c r="AM279" s="274"/>
      <c r="AN279" s="274"/>
      <c r="AO279" s="274"/>
      <c r="AP279" s="274"/>
      <c r="AQ279" s="274"/>
      <c r="AR279" s="274"/>
      <c r="AS279" s="274"/>
      <c r="AT279" s="274"/>
      <c r="AU279" s="274"/>
      <c r="AV279" s="274"/>
      <c r="AW279" s="274"/>
    </row>
    <row r="280" ht="15.75" customHeight="1">
      <c r="A280" s="274"/>
      <c r="B280" s="274"/>
      <c r="C280" s="274"/>
      <c r="D280" s="274"/>
      <c r="E280" s="274"/>
      <c r="F280" s="274"/>
      <c r="G280" s="274"/>
      <c r="H280" s="274"/>
      <c r="I280" s="274"/>
      <c r="J280" s="274"/>
      <c r="K280" s="274"/>
      <c r="L280" s="274"/>
      <c r="M280" s="274"/>
      <c r="N280" s="274"/>
      <c r="O280" s="274"/>
      <c r="P280" s="274"/>
      <c r="Q280" s="274"/>
      <c r="R280" s="316"/>
      <c r="W280" s="274"/>
      <c r="X280" s="274"/>
      <c r="Y280" s="274"/>
      <c r="Z280" s="274">
        <v>15.062</v>
      </c>
      <c r="AA280" s="309">
        <v>2059264.292</v>
      </c>
      <c r="AB280" s="309">
        <v>1675333.662</v>
      </c>
      <c r="AC280" s="309">
        <v>1710236.446</v>
      </c>
      <c r="AD280" s="274"/>
      <c r="AE280" s="274"/>
      <c r="AF280" s="274"/>
      <c r="AG280" s="274"/>
      <c r="AH280" s="274"/>
      <c r="AI280" s="274"/>
      <c r="AJ280" s="274"/>
      <c r="AK280" s="274"/>
      <c r="AL280" s="274"/>
      <c r="AM280" s="274"/>
      <c r="AN280" s="274"/>
      <c r="AO280" s="274"/>
      <c r="AP280" s="274"/>
      <c r="AQ280" s="274"/>
      <c r="AR280" s="274"/>
      <c r="AS280" s="274"/>
      <c r="AT280" s="274"/>
      <c r="AU280" s="274"/>
      <c r="AV280" s="274"/>
      <c r="AW280" s="274"/>
    </row>
    <row r="281" ht="15.75" customHeight="1">
      <c r="A281" s="274"/>
      <c r="B281" s="274"/>
      <c r="C281" s="274"/>
      <c r="D281" s="274"/>
      <c r="E281" s="274"/>
      <c r="F281" s="274"/>
      <c r="G281" s="274"/>
      <c r="H281" s="274"/>
      <c r="I281" s="274"/>
      <c r="J281" s="274"/>
      <c r="K281" s="274"/>
      <c r="L281" s="274"/>
      <c r="M281" s="274"/>
      <c r="N281" s="274"/>
      <c r="O281" s="274"/>
      <c r="P281" s="274"/>
      <c r="Q281" s="274"/>
      <c r="R281" s="316"/>
      <c r="W281" s="274"/>
      <c r="X281" s="274"/>
      <c r="Y281" s="274"/>
      <c r="Z281" s="274">
        <v>15.125</v>
      </c>
      <c r="AA281" s="309">
        <v>2082532.815</v>
      </c>
      <c r="AB281" s="309">
        <v>1675333.662</v>
      </c>
      <c r="AC281" s="309">
        <v>1710236.446</v>
      </c>
      <c r="AD281" s="274"/>
      <c r="AE281" s="274"/>
      <c r="AF281" s="274"/>
      <c r="AG281" s="274"/>
      <c r="AH281" s="274"/>
      <c r="AI281" s="274"/>
      <c r="AJ281" s="274"/>
      <c r="AK281" s="274"/>
      <c r="AL281" s="274"/>
      <c r="AM281" s="274"/>
      <c r="AN281" s="274"/>
      <c r="AO281" s="274"/>
      <c r="AP281" s="274"/>
      <c r="AQ281" s="274"/>
      <c r="AR281" s="274"/>
      <c r="AS281" s="274"/>
      <c r="AT281" s="274"/>
      <c r="AU281" s="274"/>
      <c r="AV281" s="274"/>
      <c r="AW281" s="274"/>
    </row>
    <row r="282" ht="15.75" customHeight="1">
      <c r="A282" s="274"/>
      <c r="B282" s="274"/>
      <c r="C282" s="274"/>
      <c r="D282" s="274"/>
      <c r="E282" s="274"/>
      <c r="F282" s="274"/>
      <c r="G282" s="274"/>
      <c r="H282" s="274"/>
      <c r="I282" s="274"/>
      <c r="J282" s="274"/>
      <c r="K282" s="274"/>
      <c r="L282" s="274"/>
      <c r="M282" s="274"/>
      <c r="N282" s="274"/>
      <c r="O282" s="274"/>
      <c r="P282" s="274"/>
      <c r="Q282" s="274"/>
      <c r="R282" s="316"/>
      <c r="W282" s="274"/>
      <c r="X282" s="274"/>
      <c r="Y282" s="274"/>
      <c r="Z282" s="274">
        <v>15.187</v>
      </c>
      <c r="AA282" s="309">
        <v>2082532.815</v>
      </c>
      <c r="AB282" s="309">
        <v>1675333.662</v>
      </c>
      <c r="AC282" s="309">
        <v>1710236.446</v>
      </c>
      <c r="AD282" s="274"/>
      <c r="AE282" s="274"/>
      <c r="AF282" s="274"/>
      <c r="AG282" s="274"/>
      <c r="AH282" s="274"/>
      <c r="AI282" s="274"/>
      <c r="AJ282" s="274"/>
      <c r="AK282" s="274"/>
      <c r="AL282" s="274"/>
      <c r="AM282" s="274"/>
      <c r="AN282" s="274"/>
      <c r="AO282" s="274"/>
      <c r="AP282" s="274"/>
      <c r="AQ282" s="274"/>
      <c r="AR282" s="274"/>
      <c r="AS282" s="274"/>
      <c r="AT282" s="274"/>
      <c r="AU282" s="274"/>
      <c r="AV282" s="274"/>
      <c r="AW282" s="274"/>
    </row>
    <row r="283" ht="15.75" customHeight="1">
      <c r="A283" s="274"/>
      <c r="B283" s="274"/>
      <c r="C283" s="274"/>
      <c r="D283" s="274"/>
      <c r="E283" s="274"/>
      <c r="F283" s="274"/>
      <c r="G283" s="274"/>
      <c r="H283" s="274"/>
      <c r="I283" s="274"/>
      <c r="J283" s="274"/>
      <c r="K283" s="274"/>
      <c r="L283" s="274"/>
      <c r="M283" s="274"/>
      <c r="N283" s="274"/>
      <c r="O283" s="274"/>
      <c r="P283" s="274"/>
      <c r="Q283" s="274"/>
      <c r="R283" s="316"/>
      <c r="W283" s="274"/>
      <c r="X283" s="274"/>
      <c r="Y283" s="274"/>
      <c r="Z283" s="274">
        <v>15.25</v>
      </c>
      <c r="AA283" s="309">
        <v>2082532.815</v>
      </c>
      <c r="AB283" s="309">
        <v>1675333.662</v>
      </c>
      <c r="AC283" s="309">
        <v>1710236.446</v>
      </c>
      <c r="AD283" s="274"/>
      <c r="AE283" s="274"/>
      <c r="AF283" s="274"/>
      <c r="AG283" s="274"/>
      <c r="AH283" s="274"/>
      <c r="AI283" s="274"/>
      <c r="AJ283" s="274"/>
      <c r="AK283" s="274"/>
      <c r="AL283" s="274"/>
      <c r="AM283" s="274"/>
      <c r="AN283" s="274"/>
      <c r="AO283" s="274"/>
      <c r="AP283" s="274"/>
      <c r="AQ283" s="274"/>
      <c r="AR283" s="274"/>
      <c r="AS283" s="274"/>
      <c r="AT283" s="274"/>
      <c r="AU283" s="274"/>
      <c r="AV283" s="274"/>
      <c r="AW283" s="274"/>
    </row>
    <row r="284" ht="15.75" customHeight="1">
      <c r="A284" s="274"/>
      <c r="B284" s="274"/>
      <c r="C284" s="274"/>
      <c r="D284" s="274"/>
      <c r="E284" s="274"/>
      <c r="F284" s="274"/>
      <c r="G284" s="274"/>
      <c r="H284" s="274"/>
      <c r="I284" s="274"/>
      <c r="J284" s="274"/>
      <c r="K284" s="274"/>
      <c r="L284" s="274"/>
      <c r="M284" s="274"/>
      <c r="N284" s="274"/>
      <c r="O284" s="274"/>
      <c r="P284" s="274"/>
      <c r="Q284" s="274"/>
      <c r="R284" s="316"/>
      <c r="W284" s="274"/>
      <c r="X284" s="274"/>
      <c r="Y284" s="274"/>
      <c r="Z284" s="274">
        <v>15.312</v>
      </c>
      <c r="AA284" s="309">
        <v>2082532.815</v>
      </c>
      <c r="AB284" s="309">
        <v>1675333.662</v>
      </c>
      <c r="AC284" s="309">
        <v>1710236.446</v>
      </c>
      <c r="AD284" s="274"/>
      <c r="AE284" s="274"/>
      <c r="AF284" s="274"/>
      <c r="AG284" s="274"/>
      <c r="AH284" s="274"/>
      <c r="AI284" s="274"/>
      <c r="AJ284" s="274"/>
      <c r="AK284" s="274"/>
      <c r="AL284" s="274"/>
      <c r="AM284" s="274"/>
      <c r="AN284" s="274"/>
      <c r="AO284" s="274"/>
      <c r="AP284" s="274"/>
      <c r="AQ284" s="274"/>
      <c r="AR284" s="274"/>
      <c r="AS284" s="274"/>
      <c r="AT284" s="274"/>
      <c r="AU284" s="274"/>
      <c r="AV284" s="274"/>
      <c r="AW284" s="274"/>
    </row>
    <row r="285" ht="15.75" customHeight="1">
      <c r="A285" s="274"/>
      <c r="B285" s="274"/>
      <c r="C285" s="274"/>
      <c r="D285" s="274"/>
      <c r="E285" s="274"/>
      <c r="F285" s="274"/>
      <c r="G285" s="274"/>
      <c r="H285" s="274"/>
      <c r="I285" s="274"/>
      <c r="J285" s="274"/>
      <c r="K285" s="274"/>
      <c r="L285" s="274"/>
      <c r="M285" s="274"/>
      <c r="N285" s="274"/>
      <c r="O285" s="274"/>
      <c r="P285" s="274"/>
      <c r="Q285" s="274"/>
      <c r="R285" s="316"/>
      <c r="W285" s="274"/>
      <c r="X285" s="274"/>
      <c r="Y285" s="274"/>
      <c r="Z285" s="274">
        <v>15.375</v>
      </c>
      <c r="AA285" s="309">
        <v>2082532.815</v>
      </c>
      <c r="AB285" s="309">
        <v>1675333.662</v>
      </c>
      <c r="AC285" s="309">
        <v>1710236.446</v>
      </c>
      <c r="AD285" s="274"/>
      <c r="AE285" s="274"/>
      <c r="AF285" s="274"/>
      <c r="AG285" s="274"/>
      <c r="AH285" s="274"/>
      <c r="AI285" s="274"/>
      <c r="AJ285" s="274"/>
      <c r="AK285" s="274"/>
      <c r="AL285" s="274"/>
      <c r="AM285" s="274"/>
      <c r="AN285" s="274"/>
      <c r="AO285" s="274"/>
      <c r="AP285" s="274"/>
      <c r="AQ285" s="274"/>
      <c r="AR285" s="274"/>
      <c r="AS285" s="274"/>
      <c r="AT285" s="274"/>
      <c r="AU285" s="274"/>
      <c r="AV285" s="274"/>
      <c r="AW285" s="274"/>
    </row>
    <row r="286" ht="15.75" customHeight="1">
      <c r="A286" s="274"/>
      <c r="B286" s="274"/>
      <c r="C286" s="274"/>
      <c r="D286" s="274"/>
      <c r="E286" s="274"/>
      <c r="F286" s="274"/>
      <c r="G286" s="274"/>
      <c r="H286" s="274"/>
      <c r="I286" s="274"/>
      <c r="J286" s="274"/>
      <c r="K286" s="274"/>
      <c r="L286" s="274"/>
      <c r="M286" s="274"/>
      <c r="N286" s="274"/>
      <c r="O286" s="274"/>
      <c r="P286" s="274"/>
      <c r="Q286" s="274"/>
      <c r="R286" s="316"/>
      <c r="W286" s="274"/>
      <c r="X286" s="274"/>
      <c r="Y286" s="274"/>
      <c r="Z286" s="274">
        <v>15.437</v>
      </c>
      <c r="AA286" s="309">
        <v>2291949.523</v>
      </c>
      <c r="AB286" s="309">
        <v>1675333.662</v>
      </c>
      <c r="AC286" s="309">
        <v>1710236.446</v>
      </c>
      <c r="AD286" s="274"/>
      <c r="AE286" s="274"/>
      <c r="AF286" s="274"/>
      <c r="AG286" s="274"/>
      <c r="AH286" s="274"/>
      <c r="AI286" s="274"/>
      <c r="AJ286" s="274"/>
      <c r="AK286" s="274"/>
      <c r="AL286" s="274"/>
      <c r="AM286" s="274"/>
      <c r="AN286" s="274"/>
      <c r="AO286" s="274"/>
      <c r="AP286" s="274"/>
      <c r="AQ286" s="274"/>
      <c r="AR286" s="274"/>
      <c r="AS286" s="274"/>
      <c r="AT286" s="274"/>
      <c r="AU286" s="274"/>
      <c r="AV286" s="274"/>
      <c r="AW286" s="274"/>
    </row>
    <row r="287" ht="15.75" customHeight="1">
      <c r="A287" s="274"/>
      <c r="B287" s="274"/>
      <c r="C287" s="274"/>
      <c r="D287" s="274"/>
      <c r="E287" s="274"/>
      <c r="F287" s="274"/>
      <c r="G287" s="274"/>
      <c r="H287" s="274"/>
      <c r="I287" s="274"/>
      <c r="J287" s="274"/>
      <c r="K287" s="274"/>
      <c r="L287" s="274"/>
      <c r="M287" s="274"/>
      <c r="N287" s="274"/>
      <c r="O287" s="274"/>
      <c r="P287" s="274"/>
      <c r="Q287" s="274"/>
      <c r="R287" s="316"/>
      <c r="W287" s="274"/>
      <c r="X287" s="274"/>
      <c r="Y287" s="274"/>
      <c r="Z287" s="274">
        <v>15.5</v>
      </c>
      <c r="AA287" s="309">
        <v>2291949.523</v>
      </c>
      <c r="AB287" s="309">
        <v>1675333.662</v>
      </c>
      <c r="AC287" s="309">
        <v>1710236.446</v>
      </c>
      <c r="AD287" s="274"/>
      <c r="AE287" s="274"/>
      <c r="AF287" s="274"/>
      <c r="AG287" s="274"/>
      <c r="AH287" s="274"/>
      <c r="AI287" s="274"/>
      <c r="AJ287" s="274"/>
      <c r="AK287" s="274"/>
      <c r="AL287" s="274"/>
      <c r="AM287" s="274"/>
      <c r="AN287" s="274"/>
      <c r="AO287" s="274"/>
      <c r="AP287" s="274"/>
      <c r="AQ287" s="274"/>
      <c r="AR287" s="274"/>
      <c r="AS287" s="274"/>
      <c r="AT287" s="274"/>
      <c r="AU287" s="274"/>
      <c r="AV287" s="274"/>
      <c r="AW287" s="274"/>
    </row>
    <row r="288" ht="15.75" customHeight="1">
      <c r="A288" s="274"/>
      <c r="B288" s="274"/>
      <c r="C288" s="274"/>
      <c r="D288" s="274"/>
      <c r="E288" s="274"/>
      <c r="F288" s="274"/>
      <c r="G288" s="274"/>
      <c r="H288" s="274"/>
      <c r="I288" s="274"/>
      <c r="J288" s="274"/>
      <c r="K288" s="274"/>
      <c r="L288" s="274"/>
      <c r="M288" s="274"/>
      <c r="N288" s="274"/>
      <c r="O288" s="274"/>
      <c r="P288" s="274"/>
      <c r="Q288" s="274"/>
      <c r="R288" s="316"/>
      <c r="W288" s="274"/>
      <c r="X288" s="274"/>
      <c r="Y288" s="274"/>
      <c r="Z288" s="274">
        <v>15.562</v>
      </c>
      <c r="AA288" s="309">
        <v>2291949.523</v>
      </c>
      <c r="AB288" s="309">
        <v>1675333.662</v>
      </c>
      <c r="AC288" s="309">
        <v>1710236.446</v>
      </c>
      <c r="AD288" s="274"/>
      <c r="AE288" s="274"/>
      <c r="AF288" s="274"/>
      <c r="AG288" s="274"/>
      <c r="AH288" s="274"/>
      <c r="AI288" s="274"/>
      <c r="AJ288" s="274"/>
      <c r="AK288" s="274"/>
      <c r="AL288" s="274"/>
      <c r="AM288" s="274"/>
      <c r="AN288" s="274"/>
      <c r="AO288" s="274"/>
      <c r="AP288" s="274"/>
      <c r="AQ288" s="274"/>
      <c r="AR288" s="274"/>
      <c r="AS288" s="274"/>
      <c r="AT288" s="274"/>
      <c r="AU288" s="274"/>
      <c r="AV288" s="274"/>
      <c r="AW288" s="274"/>
    </row>
    <row r="289" ht="15.75" customHeight="1">
      <c r="A289" s="274"/>
      <c r="B289" s="274"/>
      <c r="C289" s="274"/>
      <c r="D289" s="274"/>
      <c r="E289" s="274"/>
      <c r="F289" s="274"/>
      <c r="G289" s="274"/>
      <c r="H289" s="274"/>
      <c r="I289" s="274"/>
      <c r="J289" s="274"/>
      <c r="K289" s="274"/>
      <c r="L289" s="274"/>
      <c r="M289" s="274"/>
      <c r="N289" s="274"/>
      <c r="O289" s="274"/>
      <c r="P289" s="274"/>
      <c r="Q289" s="274"/>
      <c r="R289" s="316"/>
      <c r="W289" s="274"/>
      <c r="X289" s="274"/>
      <c r="Y289" s="274"/>
      <c r="Z289" s="274">
        <v>15.625</v>
      </c>
      <c r="AA289" s="309">
        <v>2291949.523</v>
      </c>
      <c r="AB289" s="309">
        <v>1675333.662</v>
      </c>
      <c r="AC289" s="309">
        <v>1710236.446</v>
      </c>
      <c r="AD289" s="274"/>
      <c r="AE289" s="274"/>
      <c r="AF289" s="274"/>
      <c r="AG289" s="274"/>
      <c r="AH289" s="274"/>
      <c r="AI289" s="274"/>
      <c r="AJ289" s="274"/>
      <c r="AK289" s="274"/>
      <c r="AL289" s="274"/>
      <c r="AM289" s="274"/>
      <c r="AN289" s="274"/>
      <c r="AO289" s="274"/>
      <c r="AP289" s="274"/>
      <c r="AQ289" s="274"/>
      <c r="AR289" s="274"/>
      <c r="AS289" s="274"/>
      <c r="AT289" s="274"/>
      <c r="AU289" s="274"/>
      <c r="AV289" s="274"/>
      <c r="AW289" s="274"/>
    </row>
    <row r="290" ht="15.75" customHeight="1">
      <c r="A290" s="274"/>
      <c r="B290" s="274"/>
      <c r="C290" s="274"/>
      <c r="D290" s="274"/>
      <c r="E290" s="274"/>
      <c r="F290" s="274"/>
      <c r="G290" s="274"/>
      <c r="H290" s="274"/>
      <c r="I290" s="274"/>
      <c r="J290" s="274"/>
      <c r="K290" s="274"/>
      <c r="L290" s="274"/>
      <c r="M290" s="274"/>
      <c r="N290" s="274"/>
      <c r="O290" s="274"/>
      <c r="P290" s="274"/>
      <c r="Q290" s="274"/>
      <c r="R290" s="316"/>
      <c r="W290" s="274"/>
      <c r="X290" s="274"/>
      <c r="Y290" s="274"/>
      <c r="Z290" s="274">
        <v>15.687</v>
      </c>
      <c r="AA290" s="309">
        <v>2291949.523</v>
      </c>
      <c r="AB290" s="309">
        <v>1675333.662</v>
      </c>
      <c r="AC290" s="309">
        <v>1710236.446</v>
      </c>
      <c r="AD290" s="274"/>
      <c r="AE290" s="274"/>
      <c r="AF290" s="274"/>
      <c r="AG290" s="274"/>
      <c r="AH290" s="274"/>
      <c r="AI290" s="274"/>
      <c r="AJ290" s="274"/>
      <c r="AK290" s="274"/>
      <c r="AL290" s="274"/>
      <c r="AM290" s="274"/>
      <c r="AN290" s="274"/>
      <c r="AO290" s="274"/>
      <c r="AP290" s="274"/>
      <c r="AQ290" s="274"/>
      <c r="AR290" s="274"/>
      <c r="AS290" s="274"/>
      <c r="AT290" s="274"/>
      <c r="AU290" s="274"/>
      <c r="AV290" s="274"/>
      <c r="AW290" s="274"/>
    </row>
    <row r="291" ht="15.75" customHeight="1">
      <c r="A291" s="274"/>
      <c r="B291" s="274"/>
      <c r="C291" s="274"/>
      <c r="D291" s="274"/>
      <c r="E291" s="274"/>
      <c r="F291" s="274"/>
      <c r="G291" s="274"/>
      <c r="H291" s="274"/>
      <c r="I291" s="274"/>
      <c r="J291" s="274"/>
      <c r="K291" s="274"/>
      <c r="L291" s="274"/>
      <c r="M291" s="274"/>
      <c r="N291" s="274"/>
      <c r="O291" s="274"/>
      <c r="P291" s="274"/>
      <c r="Q291" s="274"/>
      <c r="R291" s="316"/>
      <c r="W291" s="274"/>
      <c r="X291" s="274"/>
      <c r="Y291" s="274"/>
      <c r="Z291" s="274">
        <v>15.75</v>
      </c>
      <c r="AA291" s="309">
        <v>2291949.523</v>
      </c>
      <c r="AB291" s="309">
        <v>1675333.662</v>
      </c>
      <c r="AC291" s="309">
        <v>1710236.446</v>
      </c>
      <c r="AD291" s="274"/>
      <c r="AE291" s="274"/>
      <c r="AF291" s="274"/>
      <c r="AG291" s="274"/>
      <c r="AH291" s="274"/>
      <c r="AI291" s="274"/>
      <c r="AJ291" s="274"/>
      <c r="AK291" s="274"/>
      <c r="AL291" s="274"/>
      <c r="AM291" s="274"/>
      <c r="AN291" s="274"/>
      <c r="AO291" s="274"/>
      <c r="AP291" s="274"/>
      <c r="AQ291" s="274"/>
      <c r="AR291" s="274"/>
      <c r="AS291" s="274"/>
      <c r="AT291" s="274"/>
      <c r="AU291" s="274"/>
      <c r="AV291" s="274"/>
      <c r="AW291" s="274"/>
    </row>
    <row r="292" ht="15.75" customHeight="1">
      <c r="A292" s="274"/>
      <c r="B292" s="274"/>
      <c r="C292" s="274"/>
      <c r="D292" s="274"/>
      <c r="E292" s="274"/>
      <c r="F292" s="274"/>
      <c r="G292" s="274"/>
      <c r="H292" s="274"/>
      <c r="I292" s="274"/>
      <c r="J292" s="274"/>
      <c r="K292" s="274"/>
      <c r="L292" s="274"/>
      <c r="M292" s="274"/>
      <c r="N292" s="274"/>
      <c r="O292" s="274"/>
      <c r="P292" s="274"/>
      <c r="Q292" s="274"/>
      <c r="R292" s="316"/>
      <c r="W292" s="274"/>
      <c r="X292" s="274"/>
      <c r="Y292" s="274"/>
      <c r="Z292" s="274">
        <v>15.812</v>
      </c>
      <c r="AA292" s="309">
        <v>2291949.523</v>
      </c>
      <c r="AB292" s="309">
        <v>1675333.662</v>
      </c>
      <c r="AC292" s="309">
        <v>1710236.446</v>
      </c>
      <c r="AD292" s="274"/>
      <c r="AE292" s="274"/>
      <c r="AF292" s="274"/>
      <c r="AG292" s="274"/>
      <c r="AH292" s="274"/>
      <c r="AI292" s="274"/>
      <c r="AJ292" s="274"/>
      <c r="AK292" s="274"/>
      <c r="AL292" s="274"/>
      <c r="AM292" s="274"/>
      <c r="AN292" s="274"/>
      <c r="AO292" s="274"/>
      <c r="AP292" s="274"/>
      <c r="AQ292" s="274"/>
      <c r="AR292" s="274"/>
      <c r="AS292" s="274"/>
      <c r="AT292" s="274"/>
      <c r="AU292" s="274"/>
      <c r="AV292" s="274"/>
      <c r="AW292" s="274"/>
    </row>
    <row r="293" ht="15.75" customHeight="1">
      <c r="A293" s="274"/>
      <c r="B293" s="274"/>
      <c r="C293" s="274"/>
      <c r="D293" s="274"/>
      <c r="E293" s="274"/>
      <c r="F293" s="274"/>
      <c r="G293" s="274"/>
      <c r="H293" s="274"/>
      <c r="I293" s="274"/>
      <c r="J293" s="274"/>
      <c r="K293" s="274"/>
      <c r="L293" s="274"/>
      <c r="M293" s="274"/>
      <c r="N293" s="274"/>
      <c r="O293" s="274"/>
      <c r="P293" s="274"/>
      <c r="Q293" s="274"/>
      <c r="R293" s="316"/>
      <c r="W293" s="274"/>
      <c r="X293" s="274"/>
      <c r="Y293" s="274"/>
      <c r="Z293" s="274">
        <v>15.875</v>
      </c>
      <c r="AA293" s="309">
        <v>2291949.523</v>
      </c>
      <c r="AB293" s="309">
        <v>1675333.662</v>
      </c>
      <c r="AC293" s="309">
        <v>1710236.446</v>
      </c>
      <c r="AD293" s="274"/>
      <c r="AE293" s="274"/>
      <c r="AF293" s="274"/>
      <c r="AG293" s="274"/>
      <c r="AH293" s="274"/>
      <c r="AI293" s="274"/>
      <c r="AJ293" s="274"/>
      <c r="AK293" s="274"/>
      <c r="AL293" s="274"/>
      <c r="AM293" s="274"/>
      <c r="AN293" s="274"/>
      <c r="AO293" s="274"/>
      <c r="AP293" s="274"/>
      <c r="AQ293" s="274"/>
      <c r="AR293" s="274"/>
      <c r="AS293" s="274"/>
      <c r="AT293" s="274"/>
      <c r="AU293" s="274"/>
      <c r="AV293" s="274"/>
      <c r="AW293" s="274"/>
    </row>
    <row r="294" ht="15.75" customHeight="1">
      <c r="A294" s="274"/>
      <c r="B294" s="274"/>
      <c r="C294" s="274"/>
      <c r="D294" s="274"/>
      <c r="E294" s="274"/>
      <c r="F294" s="274"/>
      <c r="G294" s="274"/>
      <c r="H294" s="274"/>
      <c r="I294" s="274"/>
      <c r="J294" s="274"/>
      <c r="K294" s="274"/>
      <c r="L294" s="274"/>
      <c r="M294" s="274"/>
      <c r="N294" s="274"/>
      <c r="O294" s="274"/>
      <c r="P294" s="274"/>
      <c r="Q294" s="274"/>
      <c r="R294" s="316"/>
      <c r="W294" s="274"/>
      <c r="X294" s="274"/>
      <c r="Y294" s="274"/>
      <c r="Z294" s="274">
        <v>15.937</v>
      </c>
      <c r="AA294" s="309">
        <v>2291949.523</v>
      </c>
      <c r="AB294" s="309">
        <v>1675333.662</v>
      </c>
      <c r="AC294" s="309">
        <v>1756773.492</v>
      </c>
      <c r="AD294" s="274"/>
      <c r="AE294" s="274"/>
      <c r="AF294" s="274"/>
      <c r="AG294" s="274"/>
      <c r="AH294" s="274"/>
      <c r="AI294" s="274"/>
      <c r="AJ294" s="274"/>
      <c r="AK294" s="274"/>
      <c r="AL294" s="274"/>
      <c r="AM294" s="274"/>
      <c r="AN294" s="274"/>
      <c r="AO294" s="274"/>
      <c r="AP294" s="274"/>
      <c r="AQ294" s="274"/>
      <c r="AR294" s="274"/>
      <c r="AS294" s="274"/>
      <c r="AT294" s="274"/>
      <c r="AU294" s="274"/>
      <c r="AV294" s="274"/>
      <c r="AW294" s="274"/>
    </row>
    <row r="295" ht="15.75" customHeight="1">
      <c r="A295" s="274"/>
      <c r="B295" s="274"/>
      <c r="C295" s="274"/>
      <c r="D295" s="274"/>
      <c r="E295" s="274"/>
      <c r="F295" s="274"/>
      <c r="G295" s="274"/>
      <c r="H295" s="274"/>
      <c r="I295" s="274"/>
      <c r="J295" s="274"/>
      <c r="K295" s="274"/>
      <c r="L295" s="274"/>
      <c r="M295" s="274"/>
      <c r="N295" s="274"/>
      <c r="O295" s="274"/>
      <c r="P295" s="274"/>
      <c r="Q295" s="274"/>
      <c r="R295" s="316"/>
      <c r="W295" s="274"/>
      <c r="X295" s="274"/>
      <c r="Y295" s="274"/>
      <c r="Z295" s="274">
        <v>16.0</v>
      </c>
      <c r="AA295" s="309">
        <v>2291949.523</v>
      </c>
      <c r="AB295" s="309">
        <v>1780042.015</v>
      </c>
      <c r="AC295" s="309">
        <v>1756773.492</v>
      </c>
      <c r="AD295" s="274"/>
      <c r="AE295" s="274"/>
      <c r="AF295" s="274"/>
      <c r="AG295" s="274"/>
      <c r="AH295" s="274"/>
      <c r="AI295" s="274"/>
      <c r="AJ295" s="274"/>
      <c r="AK295" s="274"/>
      <c r="AL295" s="274"/>
      <c r="AM295" s="274"/>
      <c r="AN295" s="274"/>
      <c r="AO295" s="274"/>
      <c r="AP295" s="274"/>
      <c r="AQ295" s="274"/>
      <c r="AR295" s="274"/>
      <c r="AS295" s="274"/>
      <c r="AT295" s="274"/>
      <c r="AU295" s="274"/>
      <c r="AV295" s="274"/>
      <c r="AW295" s="274"/>
    </row>
    <row r="296" ht="15.75" customHeight="1">
      <c r="A296" s="274"/>
      <c r="B296" s="274"/>
      <c r="C296" s="274"/>
      <c r="D296" s="274"/>
      <c r="E296" s="274"/>
      <c r="F296" s="274"/>
      <c r="G296" s="274"/>
      <c r="H296" s="274"/>
      <c r="I296" s="274"/>
      <c r="J296" s="274"/>
      <c r="K296" s="274"/>
      <c r="L296" s="274"/>
      <c r="M296" s="274"/>
      <c r="N296" s="274"/>
      <c r="O296" s="274"/>
      <c r="P296" s="274"/>
      <c r="Q296" s="274"/>
      <c r="R296" s="316"/>
      <c r="W296" s="274"/>
      <c r="X296" s="274"/>
      <c r="Y296" s="274"/>
      <c r="Z296" s="274">
        <v>16.062</v>
      </c>
      <c r="AA296" s="309">
        <v>2291949.523</v>
      </c>
      <c r="AB296" s="309">
        <v>1814944.8</v>
      </c>
      <c r="AC296" s="309">
        <v>1756773.492</v>
      </c>
      <c r="AD296" s="274"/>
      <c r="AE296" s="274"/>
      <c r="AF296" s="274"/>
      <c r="AG296" s="274"/>
      <c r="AH296" s="274"/>
      <c r="AI296" s="274"/>
      <c r="AJ296" s="274"/>
      <c r="AK296" s="274"/>
      <c r="AL296" s="274"/>
      <c r="AM296" s="274"/>
      <c r="AN296" s="274"/>
      <c r="AO296" s="274"/>
      <c r="AP296" s="274"/>
      <c r="AQ296" s="274"/>
      <c r="AR296" s="274"/>
      <c r="AS296" s="274"/>
      <c r="AT296" s="274"/>
      <c r="AU296" s="274"/>
      <c r="AV296" s="274"/>
      <c r="AW296" s="274"/>
    </row>
    <row r="297" ht="15.75" customHeight="1">
      <c r="A297" s="274"/>
      <c r="B297" s="274"/>
      <c r="C297" s="274"/>
      <c r="D297" s="274"/>
      <c r="E297" s="274"/>
      <c r="F297" s="274"/>
      <c r="G297" s="274"/>
      <c r="H297" s="274"/>
      <c r="I297" s="274"/>
      <c r="J297" s="274"/>
      <c r="K297" s="274"/>
      <c r="L297" s="274"/>
      <c r="M297" s="274"/>
      <c r="N297" s="274"/>
      <c r="O297" s="274"/>
      <c r="P297" s="274"/>
      <c r="Q297" s="274"/>
      <c r="R297" s="316"/>
      <c r="W297" s="274"/>
      <c r="X297" s="274"/>
      <c r="Y297" s="274"/>
      <c r="Z297" s="274">
        <v>16.125</v>
      </c>
      <c r="AA297" s="309">
        <v>2291949.523</v>
      </c>
      <c r="AB297" s="309">
        <v>1814944.8</v>
      </c>
      <c r="AC297" s="309">
        <v>1803310.538</v>
      </c>
      <c r="AD297" s="274"/>
      <c r="AE297" s="274"/>
      <c r="AF297" s="274"/>
      <c r="AG297" s="274"/>
      <c r="AH297" s="274"/>
      <c r="AI297" s="274"/>
      <c r="AJ297" s="274"/>
      <c r="AK297" s="274"/>
      <c r="AL297" s="274"/>
      <c r="AM297" s="274"/>
      <c r="AN297" s="274"/>
      <c r="AO297" s="274"/>
      <c r="AP297" s="274"/>
      <c r="AQ297" s="274"/>
      <c r="AR297" s="274"/>
      <c r="AS297" s="274"/>
      <c r="AT297" s="274"/>
      <c r="AU297" s="274"/>
      <c r="AV297" s="274"/>
      <c r="AW297" s="274"/>
    </row>
    <row r="298" ht="15.75" customHeight="1">
      <c r="A298" s="274"/>
      <c r="B298" s="274"/>
      <c r="C298" s="274"/>
      <c r="D298" s="274"/>
      <c r="E298" s="274"/>
      <c r="F298" s="274"/>
      <c r="G298" s="274"/>
      <c r="H298" s="274"/>
      <c r="I298" s="274"/>
      <c r="J298" s="274"/>
      <c r="K298" s="274"/>
      <c r="L298" s="274"/>
      <c r="M298" s="274"/>
      <c r="N298" s="274"/>
      <c r="O298" s="274"/>
      <c r="P298" s="274"/>
      <c r="Q298" s="274"/>
      <c r="R298" s="316"/>
      <c r="W298" s="274"/>
      <c r="X298" s="274"/>
      <c r="Y298" s="274"/>
      <c r="Z298" s="274">
        <v>16.187</v>
      </c>
      <c r="AA298" s="309">
        <v>2291949.523</v>
      </c>
      <c r="AB298" s="309">
        <v>1814944.8</v>
      </c>
      <c r="AC298" s="309">
        <v>1803310.538</v>
      </c>
      <c r="AD298" s="274"/>
      <c r="AE298" s="274"/>
      <c r="AF298" s="274"/>
      <c r="AG298" s="274"/>
      <c r="AH298" s="274"/>
      <c r="AI298" s="274"/>
      <c r="AJ298" s="274"/>
      <c r="AK298" s="274"/>
      <c r="AL298" s="274"/>
      <c r="AM298" s="274"/>
      <c r="AN298" s="274"/>
      <c r="AO298" s="274"/>
      <c r="AP298" s="274"/>
      <c r="AQ298" s="274"/>
      <c r="AR298" s="274"/>
      <c r="AS298" s="274"/>
      <c r="AT298" s="274"/>
      <c r="AU298" s="274"/>
      <c r="AV298" s="274"/>
      <c r="AW298" s="274"/>
    </row>
    <row r="299" ht="15.75" customHeight="1">
      <c r="A299" s="274"/>
      <c r="B299" s="274"/>
      <c r="C299" s="274"/>
      <c r="D299" s="274"/>
      <c r="E299" s="274"/>
      <c r="F299" s="274"/>
      <c r="G299" s="274"/>
      <c r="H299" s="274"/>
      <c r="I299" s="274"/>
      <c r="J299" s="274"/>
      <c r="K299" s="274"/>
      <c r="L299" s="274"/>
      <c r="M299" s="274"/>
      <c r="N299" s="274"/>
      <c r="O299" s="274"/>
      <c r="P299" s="274"/>
      <c r="Q299" s="274"/>
      <c r="R299" s="316"/>
      <c r="W299" s="274"/>
      <c r="X299" s="274"/>
      <c r="Y299" s="274"/>
      <c r="Z299" s="274">
        <v>16.25</v>
      </c>
      <c r="AA299" s="309">
        <v>2291949.523</v>
      </c>
      <c r="AB299" s="309">
        <v>1814944.8</v>
      </c>
      <c r="AC299" s="309">
        <v>1803310.538</v>
      </c>
      <c r="AD299" s="274"/>
      <c r="AE299" s="274"/>
      <c r="AF299" s="274"/>
      <c r="AG299" s="274"/>
      <c r="AH299" s="274"/>
      <c r="AI299" s="274"/>
      <c r="AJ299" s="274"/>
      <c r="AK299" s="274"/>
      <c r="AL299" s="274"/>
      <c r="AM299" s="274"/>
      <c r="AN299" s="274"/>
      <c r="AO299" s="274"/>
      <c r="AP299" s="274"/>
      <c r="AQ299" s="274"/>
      <c r="AR299" s="274"/>
      <c r="AS299" s="274"/>
      <c r="AT299" s="274"/>
      <c r="AU299" s="274"/>
      <c r="AV299" s="274"/>
      <c r="AW299" s="274"/>
    </row>
    <row r="300" ht="15.75" customHeight="1">
      <c r="A300" s="274"/>
      <c r="B300" s="274"/>
      <c r="C300" s="274"/>
      <c r="D300" s="274"/>
      <c r="E300" s="274"/>
      <c r="F300" s="274"/>
      <c r="G300" s="274"/>
      <c r="H300" s="274"/>
      <c r="I300" s="274"/>
      <c r="J300" s="274"/>
      <c r="K300" s="274"/>
      <c r="L300" s="274"/>
      <c r="M300" s="274"/>
      <c r="N300" s="274"/>
      <c r="O300" s="274"/>
      <c r="P300" s="274"/>
      <c r="Q300" s="274"/>
      <c r="R300" s="316"/>
      <c r="W300" s="274"/>
      <c r="X300" s="274"/>
      <c r="Y300" s="274"/>
      <c r="Z300" s="274">
        <v>16.312</v>
      </c>
      <c r="AA300" s="309">
        <v>2291949.523</v>
      </c>
      <c r="AB300" s="309">
        <v>1814944.8</v>
      </c>
      <c r="AC300" s="309">
        <v>1849847.585</v>
      </c>
      <c r="AD300" s="274"/>
      <c r="AE300" s="274"/>
      <c r="AF300" s="274"/>
      <c r="AG300" s="274"/>
      <c r="AH300" s="274"/>
      <c r="AI300" s="274"/>
      <c r="AJ300" s="274"/>
      <c r="AK300" s="274"/>
      <c r="AL300" s="274"/>
      <c r="AM300" s="274"/>
      <c r="AN300" s="274"/>
      <c r="AO300" s="274"/>
      <c r="AP300" s="274"/>
      <c r="AQ300" s="274"/>
      <c r="AR300" s="274"/>
      <c r="AS300" s="274"/>
      <c r="AT300" s="274"/>
      <c r="AU300" s="274"/>
      <c r="AV300" s="274"/>
      <c r="AW300" s="274"/>
    </row>
    <row r="301" ht="15.75" customHeight="1">
      <c r="A301" s="274"/>
      <c r="B301" s="274"/>
      <c r="C301" s="274"/>
      <c r="D301" s="274"/>
      <c r="E301" s="274"/>
      <c r="F301" s="274"/>
      <c r="G301" s="274"/>
      <c r="H301" s="274"/>
      <c r="I301" s="274"/>
      <c r="J301" s="274"/>
      <c r="K301" s="274"/>
      <c r="L301" s="274"/>
      <c r="M301" s="274"/>
      <c r="N301" s="274"/>
      <c r="O301" s="274"/>
      <c r="P301" s="274"/>
      <c r="Q301" s="274"/>
      <c r="R301" s="316"/>
      <c r="W301" s="274"/>
      <c r="X301" s="274"/>
      <c r="Y301" s="274"/>
      <c r="Z301" s="274">
        <v>16.375</v>
      </c>
      <c r="AA301" s="309">
        <v>2291949.523</v>
      </c>
      <c r="AB301" s="309">
        <v>1814944.8</v>
      </c>
      <c r="AC301" s="309">
        <v>1849847.585</v>
      </c>
      <c r="AD301" s="274"/>
      <c r="AE301" s="274"/>
      <c r="AF301" s="274"/>
      <c r="AG301" s="274"/>
      <c r="AH301" s="274"/>
      <c r="AI301" s="274"/>
      <c r="AJ301" s="274"/>
      <c r="AK301" s="274"/>
      <c r="AL301" s="274"/>
      <c r="AM301" s="274"/>
      <c r="AN301" s="274"/>
      <c r="AO301" s="274"/>
      <c r="AP301" s="274"/>
      <c r="AQ301" s="274"/>
      <c r="AR301" s="274"/>
      <c r="AS301" s="274"/>
      <c r="AT301" s="274"/>
      <c r="AU301" s="274"/>
      <c r="AV301" s="274"/>
      <c r="AW301" s="274"/>
    </row>
    <row r="302" ht="15.75" customHeight="1">
      <c r="A302" s="274"/>
      <c r="B302" s="274"/>
      <c r="C302" s="274"/>
      <c r="D302" s="274"/>
      <c r="E302" s="274"/>
      <c r="F302" s="274"/>
      <c r="G302" s="274"/>
      <c r="H302" s="274"/>
      <c r="I302" s="274"/>
      <c r="J302" s="274"/>
      <c r="K302" s="274"/>
      <c r="L302" s="274"/>
      <c r="M302" s="274"/>
      <c r="N302" s="274"/>
      <c r="O302" s="274"/>
      <c r="P302" s="274"/>
      <c r="Q302" s="274"/>
      <c r="R302" s="316"/>
      <c r="W302" s="274"/>
      <c r="X302" s="274"/>
      <c r="Y302" s="274"/>
      <c r="Z302" s="274">
        <v>16.437</v>
      </c>
      <c r="AA302" s="309">
        <v>2291949.523</v>
      </c>
      <c r="AB302" s="309">
        <v>1814944.8</v>
      </c>
      <c r="AC302" s="309">
        <v>1849847.585</v>
      </c>
      <c r="AD302" s="274"/>
      <c r="AE302" s="274"/>
      <c r="AF302" s="274"/>
      <c r="AG302" s="274"/>
      <c r="AH302" s="274"/>
      <c r="AI302" s="274"/>
      <c r="AJ302" s="274"/>
      <c r="AK302" s="274"/>
      <c r="AL302" s="274"/>
      <c r="AM302" s="274"/>
      <c r="AN302" s="274"/>
      <c r="AO302" s="274"/>
      <c r="AP302" s="274"/>
      <c r="AQ302" s="274"/>
      <c r="AR302" s="274"/>
      <c r="AS302" s="274"/>
      <c r="AT302" s="274"/>
      <c r="AU302" s="274"/>
      <c r="AV302" s="274"/>
      <c r="AW302" s="274"/>
    </row>
    <row r="303" ht="15.75" customHeight="1">
      <c r="A303" s="274"/>
      <c r="B303" s="274"/>
      <c r="C303" s="274"/>
      <c r="D303" s="274"/>
      <c r="E303" s="274"/>
      <c r="F303" s="274"/>
      <c r="G303" s="274"/>
      <c r="H303" s="274"/>
      <c r="I303" s="274"/>
      <c r="J303" s="274"/>
      <c r="K303" s="274"/>
      <c r="L303" s="274"/>
      <c r="M303" s="274"/>
      <c r="N303" s="274"/>
      <c r="O303" s="274"/>
      <c r="P303" s="274"/>
      <c r="Q303" s="274"/>
      <c r="R303" s="316"/>
      <c r="W303" s="274"/>
      <c r="X303" s="274"/>
      <c r="Y303" s="274"/>
      <c r="Z303" s="274">
        <v>16.5</v>
      </c>
      <c r="AA303" s="309">
        <v>2291949.523</v>
      </c>
      <c r="AB303" s="309">
        <v>1814944.8</v>
      </c>
      <c r="AC303" s="309">
        <v>1849847.585</v>
      </c>
      <c r="AD303" s="274"/>
      <c r="AE303" s="274"/>
      <c r="AF303" s="274"/>
      <c r="AG303" s="274"/>
      <c r="AH303" s="274"/>
      <c r="AI303" s="274"/>
      <c r="AJ303" s="274"/>
      <c r="AK303" s="274"/>
      <c r="AL303" s="274"/>
      <c r="AM303" s="274"/>
      <c r="AN303" s="274"/>
      <c r="AO303" s="274"/>
      <c r="AP303" s="274"/>
      <c r="AQ303" s="274"/>
      <c r="AR303" s="274"/>
      <c r="AS303" s="274"/>
      <c r="AT303" s="274"/>
      <c r="AU303" s="274"/>
      <c r="AV303" s="274"/>
      <c r="AW303" s="274"/>
    </row>
    <row r="304" ht="15.75" customHeight="1">
      <c r="A304" s="274"/>
      <c r="B304" s="274"/>
      <c r="C304" s="274"/>
      <c r="D304" s="274"/>
      <c r="E304" s="274"/>
      <c r="F304" s="274"/>
      <c r="G304" s="274"/>
      <c r="H304" s="274"/>
      <c r="I304" s="274"/>
      <c r="J304" s="274"/>
      <c r="K304" s="274"/>
      <c r="L304" s="274"/>
      <c r="M304" s="274"/>
      <c r="N304" s="274"/>
      <c r="O304" s="274"/>
      <c r="P304" s="274"/>
      <c r="Q304" s="274"/>
      <c r="R304" s="316"/>
      <c r="W304" s="274"/>
      <c r="X304" s="274"/>
      <c r="Y304" s="274"/>
      <c r="Z304" s="274">
        <v>16.562</v>
      </c>
      <c r="AA304" s="309">
        <v>2291949.523</v>
      </c>
      <c r="AB304" s="309">
        <v>1814944.8</v>
      </c>
      <c r="AC304" s="309">
        <v>1849847.585</v>
      </c>
      <c r="AD304" s="274"/>
      <c r="AE304" s="274"/>
      <c r="AF304" s="274"/>
      <c r="AG304" s="274"/>
      <c r="AH304" s="274"/>
      <c r="AI304" s="274"/>
      <c r="AJ304" s="274"/>
      <c r="AK304" s="274"/>
      <c r="AL304" s="274"/>
      <c r="AM304" s="274"/>
      <c r="AN304" s="274"/>
      <c r="AO304" s="274"/>
      <c r="AP304" s="274"/>
      <c r="AQ304" s="274"/>
      <c r="AR304" s="274"/>
      <c r="AS304" s="274"/>
      <c r="AT304" s="274"/>
      <c r="AU304" s="274"/>
      <c r="AV304" s="274"/>
      <c r="AW304" s="274"/>
    </row>
    <row r="305" ht="15.75" customHeight="1">
      <c r="A305" s="274"/>
      <c r="B305" s="274"/>
      <c r="C305" s="274"/>
      <c r="D305" s="274"/>
      <c r="E305" s="274"/>
      <c r="F305" s="274"/>
      <c r="G305" s="274"/>
      <c r="H305" s="274"/>
      <c r="I305" s="274"/>
      <c r="J305" s="274"/>
      <c r="K305" s="274"/>
      <c r="L305" s="274"/>
      <c r="M305" s="274"/>
      <c r="N305" s="274"/>
      <c r="O305" s="274"/>
      <c r="P305" s="274"/>
      <c r="Q305" s="274"/>
      <c r="R305" s="316"/>
      <c r="W305" s="274"/>
      <c r="X305" s="274"/>
      <c r="Y305" s="274"/>
      <c r="Z305" s="274">
        <v>16.625</v>
      </c>
      <c r="AA305" s="309">
        <v>2291949.523</v>
      </c>
      <c r="AB305" s="309">
        <v>1814944.8</v>
      </c>
      <c r="AC305" s="309">
        <v>1849847.585</v>
      </c>
      <c r="AD305" s="274"/>
      <c r="AE305" s="274"/>
      <c r="AF305" s="274"/>
      <c r="AG305" s="274"/>
      <c r="AH305" s="274"/>
      <c r="AI305" s="274"/>
      <c r="AJ305" s="274"/>
      <c r="AK305" s="274"/>
      <c r="AL305" s="274"/>
      <c r="AM305" s="274"/>
      <c r="AN305" s="274"/>
      <c r="AO305" s="274"/>
      <c r="AP305" s="274"/>
      <c r="AQ305" s="274"/>
      <c r="AR305" s="274"/>
      <c r="AS305" s="274"/>
      <c r="AT305" s="274"/>
      <c r="AU305" s="274"/>
      <c r="AV305" s="274"/>
      <c r="AW305" s="274"/>
    </row>
    <row r="306" ht="15.75" customHeight="1">
      <c r="A306" s="274"/>
      <c r="B306" s="274"/>
      <c r="C306" s="274"/>
      <c r="D306" s="274"/>
      <c r="E306" s="274"/>
      <c r="F306" s="274"/>
      <c r="G306" s="274"/>
      <c r="H306" s="274"/>
      <c r="I306" s="274"/>
      <c r="J306" s="274"/>
      <c r="K306" s="274"/>
      <c r="L306" s="274"/>
      <c r="M306" s="274"/>
      <c r="N306" s="274"/>
      <c r="O306" s="274"/>
      <c r="P306" s="274"/>
      <c r="Q306" s="274"/>
      <c r="R306" s="316"/>
      <c r="W306" s="274"/>
      <c r="X306" s="274"/>
      <c r="Y306" s="274"/>
      <c r="Z306" s="274">
        <v>16.687</v>
      </c>
      <c r="AA306" s="309">
        <v>2291949.523</v>
      </c>
      <c r="AB306" s="309">
        <v>1814944.8</v>
      </c>
      <c r="AC306" s="309">
        <v>1849847.585</v>
      </c>
      <c r="AD306" s="274"/>
      <c r="AE306" s="274"/>
      <c r="AF306" s="274"/>
      <c r="AG306" s="274"/>
      <c r="AH306" s="274"/>
      <c r="AI306" s="274"/>
      <c r="AJ306" s="274"/>
      <c r="AK306" s="274"/>
      <c r="AL306" s="274"/>
      <c r="AM306" s="274"/>
      <c r="AN306" s="274"/>
      <c r="AO306" s="274"/>
      <c r="AP306" s="274"/>
      <c r="AQ306" s="274"/>
      <c r="AR306" s="274"/>
      <c r="AS306" s="274"/>
      <c r="AT306" s="274"/>
      <c r="AU306" s="274"/>
      <c r="AV306" s="274"/>
      <c r="AW306" s="274"/>
    </row>
    <row r="307" ht="15.75" customHeight="1">
      <c r="A307" s="274"/>
      <c r="B307" s="274"/>
      <c r="C307" s="274"/>
      <c r="D307" s="274"/>
      <c r="E307" s="274"/>
      <c r="F307" s="274"/>
      <c r="G307" s="274"/>
      <c r="H307" s="274"/>
      <c r="I307" s="274"/>
      <c r="J307" s="274"/>
      <c r="K307" s="274"/>
      <c r="L307" s="274"/>
      <c r="M307" s="274"/>
      <c r="N307" s="274"/>
      <c r="O307" s="274"/>
      <c r="P307" s="274"/>
      <c r="Q307" s="274"/>
      <c r="R307" s="316"/>
      <c r="W307" s="274"/>
      <c r="X307" s="274"/>
      <c r="Y307" s="274"/>
      <c r="Z307" s="274">
        <v>16.75</v>
      </c>
      <c r="AA307" s="309">
        <v>2291949.523</v>
      </c>
      <c r="AB307" s="309">
        <v>1814944.8</v>
      </c>
      <c r="AC307" s="309">
        <v>1849847.585</v>
      </c>
      <c r="AD307" s="274"/>
      <c r="AE307" s="274"/>
      <c r="AF307" s="274"/>
      <c r="AG307" s="274"/>
      <c r="AH307" s="274"/>
      <c r="AI307" s="274"/>
      <c r="AJ307" s="274"/>
      <c r="AK307" s="274"/>
      <c r="AL307" s="274"/>
      <c r="AM307" s="274"/>
      <c r="AN307" s="274"/>
      <c r="AO307" s="274"/>
      <c r="AP307" s="274"/>
      <c r="AQ307" s="274"/>
      <c r="AR307" s="274"/>
      <c r="AS307" s="274"/>
      <c r="AT307" s="274"/>
      <c r="AU307" s="274"/>
      <c r="AV307" s="274"/>
      <c r="AW307" s="274"/>
    </row>
    <row r="308" ht="15.75" customHeight="1">
      <c r="A308" s="274"/>
      <c r="B308" s="274"/>
      <c r="C308" s="274"/>
      <c r="D308" s="274"/>
      <c r="E308" s="274"/>
      <c r="F308" s="274"/>
      <c r="G308" s="274"/>
      <c r="H308" s="274"/>
      <c r="I308" s="274"/>
      <c r="J308" s="274"/>
      <c r="K308" s="274"/>
      <c r="L308" s="274"/>
      <c r="M308" s="274"/>
      <c r="N308" s="274"/>
      <c r="O308" s="274"/>
      <c r="P308" s="274"/>
      <c r="Q308" s="274"/>
      <c r="R308" s="316"/>
      <c r="W308" s="274"/>
      <c r="X308" s="274"/>
      <c r="Y308" s="274"/>
      <c r="Z308" s="274">
        <v>16.812</v>
      </c>
      <c r="AA308" s="309">
        <v>2291949.523</v>
      </c>
      <c r="AB308" s="309">
        <v>1814944.8</v>
      </c>
      <c r="AC308" s="309">
        <v>1849847.585</v>
      </c>
      <c r="AD308" s="274"/>
      <c r="AE308" s="274"/>
      <c r="AF308" s="274"/>
      <c r="AG308" s="274"/>
      <c r="AH308" s="274"/>
      <c r="AI308" s="274"/>
      <c r="AJ308" s="274"/>
      <c r="AK308" s="274"/>
      <c r="AL308" s="274"/>
      <c r="AM308" s="274"/>
      <c r="AN308" s="274"/>
      <c r="AO308" s="274"/>
      <c r="AP308" s="274"/>
      <c r="AQ308" s="274"/>
      <c r="AR308" s="274"/>
      <c r="AS308" s="274"/>
      <c r="AT308" s="274"/>
      <c r="AU308" s="274"/>
      <c r="AV308" s="274"/>
      <c r="AW308" s="274"/>
    </row>
    <row r="309" ht="15.75" customHeight="1">
      <c r="A309" s="274"/>
      <c r="B309" s="274"/>
      <c r="C309" s="274"/>
      <c r="D309" s="274"/>
      <c r="E309" s="274"/>
      <c r="F309" s="274"/>
      <c r="G309" s="274"/>
      <c r="H309" s="274"/>
      <c r="I309" s="274"/>
      <c r="J309" s="274"/>
      <c r="K309" s="274"/>
      <c r="L309" s="274"/>
      <c r="M309" s="274"/>
      <c r="N309" s="274"/>
      <c r="O309" s="274"/>
      <c r="P309" s="274"/>
      <c r="Q309" s="274"/>
      <c r="R309" s="316"/>
      <c r="W309" s="274"/>
      <c r="X309" s="274"/>
      <c r="Y309" s="274"/>
      <c r="Z309" s="274">
        <v>16.875</v>
      </c>
      <c r="AA309" s="309">
        <v>2291949.523</v>
      </c>
      <c r="AB309" s="309">
        <v>1814944.8</v>
      </c>
      <c r="AC309" s="309">
        <v>1849847.585</v>
      </c>
      <c r="AD309" s="274"/>
      <c r="AE309" s="274"/>
      <c r="AF309" s="274"/>
      <c r="AG309" s="274"/>
      <c r="AH309" s="274"/>
      <c r="AI309" s="274"/>
      <c r="AJ309" s="274"/>
      <c r="AK309" s="274"/>
      <c r="AL309" s="274"/>
      <c r="AM309" s="274"/>
      <c r="AN309" s="274"/>
      <c r="AO309" s="274"/>
      <c r="AP309" s="274"/>
      <c r="AQ309" s="274"/>
      <c r="AR309" s="274"/>
      <c r="AS309" s="274"/>
      <c r="AT309" s="274"/>
      <c r="AU309" s="274"/>
      <c r="AV309" s="274"/>
      <c r="AW309" s="274"/>
    </row>
    <row r="310" ht="15.75" customHeight="1">
      <c r="A310" s="274"/>
      <c r="B310" s="274"/>
      <c r="C310" s="274"/>
      <c r="D310" s="274"/>
      <c r="E310" s="274"/>
      <c r="F310" s="274"/>
      <c r="G310" s="274"/>
      <c r="H310" s="274"/>
      <c r="I310" s="274"/>
      <c r="J310" s="274"/>
      <c r="K310" s="274"/>
      <c r="L310" s="274"/>
      <c r="M310" s="274"/>
      <c r="N310" s="274"/>
      <c r="O310" s="274"/>
      <c r="P310" s="274"/>
      <c r="Q310" s="274"/>
      <c r="R310" s="316"/>
      <c r="W310" s="274"/>
      <c r="X310" s="274"/>
      <c r="Y310" s="274"/>
      <c r="Z310" s="274">
        <v>16.937</v>
      </c>
      <c r="AA310" s="309">
        <v>2291949.523</v>
      </c>
      <c r="AB310" s="309">
        <v>1814944.8</v>
      </c>
      <c r="AC310" s="309">
        <v>1849847.585</v>
      </c>
      <c r="AD310" s="274"/>
      <c r="AE310" s="274"/>
      <c r="AF310" s="274"/>
      <c r="AG310" s="274"/>
      <c r="AH310" s="274"/>
      <c r="AI310" s="274"/>
      <c r="AJ310" s="274"/>
      <c r="AK310" s="274"/>
      <c r="AL310" s="274"/>
      <c r="AM310" s="274"/>
      <c r="AN310" s="274"/>
      <c r="AO310" s="274"/>
      <c r="AP310" s="274"/>
      <c r="AQ310" s="274"/>
      <c r="AR310" s="274"/>
      <c r="AS310" s="274"/>
      <c r="AT310" s="274"/>
      <c r="AU310" s="274"/>
      <c r="AV310" s="274"/>
      <c r="AW310" s="274"/>
    </row>
    <row r="311" ht="15.75" customHeight="1">
      <c r="A311" s="274"/>
      <c r="B311" s="274"/>
      <c r="C311" s="274"/>
      <c r="D311" s="274"/>
      <c r="E311" s="274"/>
      <c r="F311" s="274"/>
      <c r="G311" s="274"/>
      <c r="H311" s="274"/>
      <c r="I311" s="274"/>
      <c r="J311" s="274"/>
      <c r="K311" s="274"/>
      <c r="L311" s="274"/>
      <c r="M311" s="274"/>
      <c r="N311" s="274"/>
      <c r="O311" s="274"/>
      <c r="P311" s="274"/>
      <c r="Q311" s="274"/>
      <c r="R311" s="316"/>
      <c r="W311" s="274"/>
      <c r="X311" s="274"/>
      <c r="Y311" s="274"/>
      <c r="Z311" s="274">
        <v>17.0</v>
      </c>
      <c r="AA311" s="309">
        <v>2291949.523</v>
      </c>
      <c r="AB311" s="309">
        <v>1814944.8</v>
      </c>
      <c r="AC311" s="309">
        <v>1849847.585</v>
      </c>
      <c r="AD311" s="274"/>
      <c r="AE311" s="274"/>
      <c r="AF311" s="274"/>
      <c r="AG311" s="274"/>
      <c r="AH311" s="274"/>
      <c r="AI311" s="274"/>
      <c r="AJ311" s="274"/>
      <c r="AK311" s="274"/>
      <c r="AL311" s="274"/>
      <c r="AM311" s="274"/>
      <c r="AN311" s="274"/>
      <c r="AO311" s="274"/>
      <c r="AP311" s="274"/>
      <c r="AQ311" s="274"/>
      <c r="AR311" s="274"/>
      <c r="AS311" s="274"/>
      <c r="AT311" s="274"/>
      <c r="AU311" s="274"/>
      <c r="AV311" s="274"/>
      <c r="AW311" s="274"/>
    </row>
    <row r="312" ht="15.75" customHeight="1">
      <c r="A312" s="274"/>
      <c r="B312" s="274"/>
      <c r="C312" s="274"/>
      <c r="D312" s="274"/>
      <c r="E312" s="274"/>
      <c r="F312" s="274"/>
      <c r="G312" s="274"/>
      <c r="H312" s="274"/>
      <c r="I312" s="274"/>
      <c r="J312" s="274"/>
      <c r="K312" s="274"/>
      <c r="L312" s="274"/>
      <c r="M312" s="274"/>
      <c r="N312" s="274"/>
      <c r="O312" s="274"/>
      <c r="P312" s="274"/>
      <c r="Q312" s="274"/>
      <c r="R312" s="316"/>
      <c r="W312" s="274"/>
      <c r="X312" s="274"/>
      <c r="Y312" s="274"/>
      <c r="Z312" s="274">
        <v>17.062</v>
      </c>
      <c r="AA312" s="309">
        <v>2291949.523</v>
      </c>
      <c r="AB312" s="309">
        <v>1814944.8</v>
      </c>
      <c r="AC312" s="309">
        <v>1908018.892</v>
      </c>
      <c r="AD312" s="274"/>
      <c r="AE312" s="274"/>
      <c r="AF312" s="274"/>
      <c r="AG312" s="274"/>
      <c r="AH312" s="274"/>
      <c r="AI312" s="274"/>
      <c r="AJ312" s="274"/>
      <c r="AK312" s="274"/>
      <c r="AL312" s="274"/>
      <c r="AM312" s="274"/>
      <c r="AN312" s="274"/>
      <c r="AO312" s="274"/>
      <c r="AP312" s="274"/>
      <c r="AQ312" s="274"/>
      <c r="AR312" s="274"/>
      <c r="AS312" s="274"/>
      <c r="AT312" s="274"/>
      <c r="AU312" s="274"/>
      <c r="AV312" s="274"/>
      <c r="AW312" s="274"/>
    </row>
    <row r="313" ht="15.75" customHeight="1">
      <c r="A313" s="274"/>
      <c r="B313" s="274"/>
      <c r="C313" s="274"/>
      <c r="D313" s="274"/>
      <c r="E313" s="274"/>
      <c r="F313" s="274"/>
      <c r="G313" s="274"/>
      <c r="H313" s="274"/>
      <c r="I313" s="274"/>
      <c r="J313" s="274"/>
      <c r="K313" s="274"/>
      <c r="L313" s="274"/>
      <c r="M313" s="274"/>
      <c r="N313" s="274"/>
      <c r="O313" s="274"/>
      <c r="P313" s="274"/>
      <c r="Q313" s="274"/>
      <c r="R313" s="316"/>
      <c r="W313" s="274"/>
      <c r="X313" s="274"/>
      <c r="Y313" s="274"/>
      <c r="Z313" s="274">
        <v>17.125</v>
      </c>
      <c r="AA313" s="309">
        <v>2291949.523</v>
      </c>
      <c r="AB313" s="309">
        <v>1814944.8</v>
      </c>
      <c r="AC313" s="309">
        <v>1908018.892</v>
      </c>
      <c r="AD313" s="274"/>
      <c r="AE313" s="274"/>
      <c r="AF313" s="274"/>
      <c r="AG313" s="274"/>
      <c r="AH313" s="274"/>
      <c r="AI313" s="274"/>
      <c r="AJ313" s="274"/>
      <c r="AK313" s="274"/>
      <c r="AL313" s="274"/>
      <c r="AM313" s="274"/>
      <c r="AN313" s="274"/>
      <c r="AO313" s="274"/>
      <c r="AP313" s="274"/>
      <c r="AQ313" s="274"/>
      <c r="AR313" s="274"/>
      <c r="AS313" s="274"/>
      <c r="AT313" s="274"/>
      <c r="AU313" s="274"/>
      <c r="AV313" s="274"/>
      <c r="AW313" s="274"/>
    </row>
    <row r="314" ht="15.75" customHeight="1">
      <c r="A314" s="274"/>
      <c r="B314" s="274"/>
      <c r="C314" s="274"/>
      <c r="D314" s="274"/>
      <c r="E314" s="274"/>
      <c r="F314" s="274"/>
      <c r="G314" s="274"/>
      <c r="H314" s="274"/>
      <c r="I314" s="274"/>
      <c r="J314" s="274"/>
      <c r="K314" s="274"/>
      <c r="L314" s="274"/>
      <c r="M314" s="274"/>
      <c r="N314" s="274"/>
      <c r="O314" s="274"/>
      <c r="P314" s="274"/>
      <c r="Q314" s="274"/>
      <c r="R314" s="316"/>
      <c r="W314" s="274"/>
      <c r="X314" s="274"/>
      <c r="Y314" s="274"/>
      <c r="Z314" s="274">
        <v>17.187</v>
      </c>
      <c r="AA314" s="309">
        <v>2291949.523</v>
      </c>
      <c r="AB314" s="309">
        <v>1814944.8</v>
      </c>
      <c r="AC314" s="309">
        <v>1908018.892</v>
      </c>
      <c r="AD314" s="274"/>
      <c r="AE314" s="274"/>
      <c r="AF314" s="274"/>
      <c r="AG314" s="274"/>
      <c r="AH314" s="274"/>
      <c r="AI314" s="274"/>
      <c r="AJ314" s="274"/>
      <c r="AK314" s="274"/>
      <c r="AL314" s="274"/>
      <c r="AM314" s="274"/>
      <c r="AN314" s="274"/>
      <c r="AO314" s="274"/>
      <c r="AP314" s="274"/>
      <c r="AQ314" s="274"/>
      <c r="AR314" s="274"/>
      <c r="AS314" s="274"/>
      <c r="AT314" s="274"/>
      <c r="AU314" s="274"/>
      <c r="AV314" s="274"/>
      <c r="AW314" s="274"/>
    </row>
    <row r="315" ht="15.75" customHeight="1">
      <c r="A315" s="274"/>
      <c r="B315" s="274"/>
      <c r="C315" s="274"/>
      <c r="D315" s="274"/>
      <c r="E315" s="274"/>
      <c r="F315" s="274"/>
      <c r="G315" s="274"/>
      <c r="H315" s="274"/>
      <c r="I315" s="274"/>
      <c r="J315" s="274"/>
      <c r="K315" s="274"/>
      <c r="L315" s="274"/>
      <c r="M315" s="274"/>
      <c r="N315" s="274"/>
      <c r="O315" s="274"/>
      <c r="P315" s="274"/>
      <c r="Q315" s="274"/>
      <c r="R315" s="316"/>
      <c r="W315" s="274"/>
      <c r="X315" s="274"/>
      <c r="Y315" s="274"/>
      <c r="Z315" s="274">
        <v>17.25</v>
      </c>
      <c r="AA315" s="309">
        <v>2291949.523</v>
      </c>
      <c r="AB315" s="309">
        <v>1814944.8</v>
      </c>
      <c r="AC315" s="309">
        <v>1908018.892</v>
      </c>
      <c r="AD315" s="274"/>
      <c r="AE315" s="274"/>
      <c r="AF315" s="274"/>
      <c r="AG315" s="274"/>
      <c r="AH315" s="274"/>
      <c r="AI315" s="274"/>
      <c r="AJ315" s="274"/>
      <c r="AK315" s="274"/>
      <c r="AL315" s="274"/>
      <c r="AM315" s="274"/>
      <c r="AN315" s="274"/>
      <c r="AO315" s="274"/>
      <c r="AP315" s="274"/>
      <c r="AQ315" s="274"/>
      <c r="AR315" s="274"/>
      <c r="AS315" s="274"/>
      <c r="AT315" s="274"/>
      <c r="AU315" s="274"/>
      <c r="AV315" s="274"/>
      <c r="AW315" s="274"/>
    </row>
    <row r="316" ht="15.75" customHeight="1">
      <c r="A316" s="274"/>
      <c r="B316" s="274"/>
      <c r="C316" s="274"/>
      <c r="D316" s="274"/>
      <c r="E316" s="274"/>
      <c r="F316" s="274"/>
      <c r="G316" s="274"/>
      <c r="H316" s="274"/>
      <c r="I316" s="274"/>
      <c r="J316" s="274"/>
      <c r="K316" s="274"/>
      <c r="L316" s="274"/>
      <c r="M316" s="274"/>
      <c r="N316" s="274"/>
      <c r="O316" s="274"/>
      <c r="P316" s="274"/>
      <c r="Q316" s="274"/>
      <c r="R316" s="316"/>
      <c r="W316" s="274"/>
      <c r="X316" s="274"/>
      <c r="Y316" s="274"/>
      <c r="Z316" s="274">
        <v>17.312</v>
      </c>
      <c r="AA316" s="309">
        <v>2291949.523</v>
      </c>
      <c r="AB316" s="309">
        <v>1814944.8</v>
      </c>
      <c r="AC316" s="309">
        <v>1954555.938</v>
      </c>
      <c r="AD316" s="274"/>
      <c r="AE316" s="274"/>
      <c r="AF316" s="274"/>
      <c r="AG316" s="274"/>
      <c r="AH316" s="274"/>
      <c r="AI316" s="274"/>
      <c r="AJ316" s="274"/>
      <c r="AK316" s="274"/>
      <c r="AL316" s="274"/>
      <c r="AM316" s="274"/>
      <c r="AN316" s="274"/>
      <c r="AO316" s="274"/>
      <c r="AP316" s="274"/>
      <c r="AQ316" s="274"/>
      <c r="AR316" s="274"/>
      <c r="AS316" s="274"/>
      <c r="AT316" s="274"/>
      <c r="AU316" s="274"/>
      <c r="AV316" s="274"/>
      <c r="AW316" s="274"/>
    </row>
    <row r="317" ht="15.75" customHeight="1">
      <c r="A317" s="274"/>
      <c r="B317" s="274"/>
      <c r="C317" s="274"/>
      <c r="D317" s="274"/>
      <c r="E317" s="274"/>
      <c r="F317" s="274"/>
      <c r="G317" s="274"/>
      <c r="H317" s="274"/>
      <c r="I317" s="274"/>
      <c r="J317" s="274"/>
      <c r="K317" s="274"/>
      <c r="L317" s="274"/>
      <c r="M317" s="274"/>
      <c r="N317" s="274"/>
      <c r="O317" s="274"/>
      <c r="P317" s="274"/>
      <c r="Q317" s="274"/>
      <c r="R317" s="316"/>
      <c r="W317" s="274"/>
      <c r="X317" s="274"/>
      <c r="Y317" s="274"/>
      <c r="Z317" s="274">
        <v>17.375</v>
      </c>
      <c r="AA317" s="309">
        <v>2291949.523</v>
      </c>
      <c r="AB317" s="309">
        <v>1814944.8</v>
      </c>
      <c r="AC317" s="309">
        <v>1954555.938</v>
      </c>
      <c r="AD317" s="274"/>
      <c r="AE317" s="274"/>
      <c r="AF317" s="274"/>
      <c r="AG317" s="274"/>
      <c r="AH317" s="274"/>
      <c r="AI317" s="274"/>
      <c r="AJ317" s="274"/>
      <c r="AK317" s="274"/>
      <c r="AL317" s="274"/>
      <c r="AM317" s="274"/>
      <c r="AN317" s="274"/>
      <c r="AO317" s="274"/>
      <c r="AP317" s="274"/>
      <c r="AQ317" s="274"/>
      <c r="AR317" s="274"/>
      <c r="AS317" s="274"/>
      <c r="AT317" s="274"/>
      <c r="AU317" s="274"/>
      <c r="AV317" s="274"/>
      <c r="AW317" s="274"/>
    </row>
    <row r="318" ht="15.75" customHeight="1">
      <c r="A318" s="274"/>
      <c r="B318" s="274"/>
      <c r="C318" s="274"/>
      <c r="D318" s="274"/>
      <c r="E318" s="274"/>
      <c r="F318" s="274"/>
      <c r="G318" s="274"/>
      <c r="H318" s="274"/>
      <c r="I318" s="274"/>
      <c r="J318" s="274"/>
      <c r="K318" s="274"/>
      <c r="L318" s="274"/>
      <c r="M318" s="274"/>
      <c r="N318" s="274"/>
      <c r="O318" s="274"/>
      <c r="P318" s="274"/>
      <c r="Q318" s="274"/>
      <c r="R318" s="316"/>
      <c r="W318" s="274"/>
      <c r="X318" s="274"/>
      <c r="Y318" s="274"/>
      <c r="Z318" s="274">
        <v>17.437</v>
      </c>
      <c r="AA318" s="309">
        <v>2291949.523</v>
      </c>
      <c r="AB318" s="309">
        <v>1814944.8</v>
      </c>
      <c r="AC318" s="309">
        <v>1954555.938</v>
      </c>
      <c r="AD318" s="274"/>
      <c r="AE318" s="274"/>
      <c r="AF318" s="274"/>
      <c r="AG318" s="274"/>
      <c r="AH318" s="274"/>
      <c r="AI318" s="274"/>
      <c r="AJ318" s="274"/>
      <c r="AK318" s="274"/>
      <c r="AL318" s="274"/>
      <c r="AM318" s="274"/>
      <c r="AN318" s="274"/>
      <c r="AO318" s="274"/>
      <c r="AP318" s="274"/>
      <c r="AQ318" s="274"/>
      <c r="AR318" s="274"/>
      <c r="AS318" s="274"/>
      <c r="AT318" s="274"/>
      <c r="AU318" s="274"/>
      <c r="AV318" s="274"/>
      <c r="AW318" s="274"/>
    </row>
    <row r="319" ht="15.75" customHeight="1">
      <c r="A319" s="274"/>
      <c r="B319" s="274"/>
      <c r="C319" s="274"/>
      <c r="D319" s="274"/>
      <c r="E319" s="274"/>
      <c r="F319" s="274"/>
      <c r="G319" s="274"/>
      <c r="H319" s="274"/>
      <c r="I319" s="274"/>
      <c r="J319" s="274"/>
      <c r="K319" s="274"/>
      <c r="L319" s="274"/>
      <c r="M319" s="274"/>
      <c r="N319" s="274"/>
      <c r="O319" s="274"/>
      <c r="P319" s="274"/>
      <c r="Q319" s="274"/>
      <c r="R319" s="316"/>
      <c r="W319" s="274"/>
      <c r="X319" s="274"/>
      <c r="Y319" s="274"/>
      <c r="Z319" s="274">
        <v>17.5</v>
      </c>
      <c r="AA319" s="309">
        <v>2291949.523</v>
      </c>
      <c r="AB319" s="309">
        <v>1814944.8</v>
      </c>
      <c r="AC319" s="309">
        <v>1954555.938</v>
      </c>
      <c r="AD319" s="274"/>
      <c r="AE319" s="274"/>
      <c r="AF319" s="274"/>
      <c r="AG319" s="274"/>
      <c r="AH319" s="274"/>
      <c r="AI319" s="274"/>
      <c r="AJ319" s="274"/>
      <c r="AK319" s="274"/>
      <c r="AL319" s="274"/>
      <c r="AM319" s="274"/>
      <c r="AN319" s="274"/>
      <c r="AO319" s="274"/>
      <c r="AP319" s="274"/>
      <c r="AQ319" s="274"/>
      <c r="AR319" s="274"/>
      <c r="AS319" s="274"/>
      <c r="AT319" s="274"/>
      <c r="AU319" s="274"/>
      <c r="AV319" s="274"/>
      <c r="AW319" s="274"/>
    </row>
    <row r="320" ht="15.75" customHeight="1">
      <c r="A320" s="274"/>
      <c r="B320" s="274"/>
      <c r="C320" s="274"/>
      <c r="D320" s="274"/>
      <c r="E320" s="274"/>
      <c r="F320" s="274"/>
      <c r="G320" s="274"/>
      <c r="H320" s="274"/>
      <c r="I320" s="274"/>
      <c r="J320" s="274"/>
      <c r="K320" s="274"/>
      <c r="L320" s="274"/>
      <c r="M320" s="274"/>
      <c r="N320" s="274"/>
      <c r="O320" s="274"/>
      <c r="P320" s="274"/>
      <c r="Q320" s="274"/>
      <c r="R320" s="316"/>
      <c r="W320" s="274"/>
      <c r="X320" s="274"/>
      <c r="Y320" s="274"/>
      <c r="Z320" s="274">
        <v>17.562</v>
      </c>
      <c r="AA320" s="309">
        <v>2291949.523</v>
      </c>
      <c r="AB320" s="309">
        <v>1814944.8</v>
      </c>
      <c r="AC320" s="309">
        <v>1954555.938</v>
      </c>
      <c r="AD320" s="274"/>
      <c r="AE320" s="274"/>
      <c r="AF320" s="274"/>
      <c r="AG320" s="274"/>
      <c r="AH320" s="274"/>
      <c r="AI320" s="274"/>
      <c r="AJ320" s="274"/>
      <c r="AK320" s="274"/>
      <c r="AL320" s="274"/>
      <c r="AM320" s="274"/>
      <c r="AN320" s="274"/>
      <c r="AO320" s="274"/>
      <c r="AP320" s="274"/>
      <c r="AQ320" s="274"/>
      <c r="AR320" s="274"/>
      <c r="AS320" s="274"/>
      <c r="AT320" s="274"/>
      <c r="AU320" s="274"/>
      <c r="AV320" s="274"/>
      <c r="AW320" s="274"/>
    </row>
    <row r="321" ht="15.75" customHeight="1">
      <c r="A321" s="274"/>
      <c r="B321" s="274"/>
      <c r="C321" s="274"/>
      <c r="D321" s="274"/>
      <c r="E321" s="274"/>
      <c r="F321" s="274"/>
      <c r="G321" s="274"/>
      <c r="H321" s="274"/>
      <c r="I321" s="274"/>
      <c r="J321" s="274"/>
      <c r="K321" s="274"/>
      <c r="L321" s="274"/>
      <c r="M321" s="274"/>
      <c r="N321" s="274"/>
      <c r="O321" s="274"/>
      <c r="P321" s="274"/>
      <c r="Q321" s="274"/>
      <c r="R321" s="316"/>
      <c r="W321" s="274"/>
      <c r="X321" s="274"/>
      <c r="Y321" s="274"/>
      <c r="Z321" s="274">
        <v>17.625</v>
      </c>
      <c r="AA321" s="309">
        <v>2291949.523</v>
      </c>
      <c r="AB321" s="309">
        <v>1814944.8</v>
      </c>
      <c r="AC321" s="309">
        <v>1954555.938</v>
      </c>
      <c r="AD321" s="274"/>
      <c r="AE321" s="274"/>
      <c r="AF321" s="274"/>
      <c r="AG321" s="274"/>
      <c r="AH321" s="274"/>
      <c r="AI321" s="274"/>
      <c r="AJ321" s="274"/>
      <c r="AK321" s="274"/>
      <c r="AL321" s="274"/>
      <c r="AM321" s="274"/>
      <c r="AN321" s="274"/>
      <c r="AO321" s="274"/>
      <c r="AP321" s="274"/>
      <c r="AQ321" s="274"/>
      <c r="AR321" s="274"/>
      <c r="AS321" s="274"/>
      <c r="AT321" s="274"/>
      <c r="AU321" s="274"/>
      <c r="AV321" s="274"/>
      <c r="AW321" s="274"/>
    </row>
    <row r="322" ht="15.75" customHeight="1">
      <c r="A322" s="274"/>
      <c r="B322" s="274"/>
      <c r="C322" s="274"/>
      <c r="D322" s="274"/>
      <c r="E322" s="274"/>
      <c r="F322" s="274"/>
      <c r="G322" s="274"/>
      <c r="H322" s="274"/>
      <c r="I322" s="274"/>
      <c r="J322" s="274"/>
      <c r="K322" s="274"/>
      <c r="L322" s="274"/>
      <c r="M322" s="274"/>
      <c r="N322" s="274"/>
      <c r="O322" s="274"/>
      <c r="P322" s="274"/>
      <c r="Q322" s="274"/>
      <c r="R322" s="316"/>
      <c r="W322" s="274"/>
      <c r="X322" s="274"/>
      <c r="Y322" s="274"/>
      <c r="Z322" s="274">
        <v>17.687</v>
      </c>
      <c r="AA322" s="309">
        <v>2291949.523</v>
      </c>
      <c r="AB322" s="309">
        <v>1814944.8</v>
      </c>
      <c r="AC322" s="309">
        <v>1954555.938</v>
      </c>
      <c r="AD322" s="274"/>
      <c r="AE322" s="274"/>
      <c r="AF322" s="274"/>
      <c r="AG322" s="274"/>
      <c r="AH322" s="274"/>
      <c r="AI322" s="274"/>
      <c r="AJ322" s="274"/>
      <c r="AK322" s="274"/>
      <c r="AL322" s="274"/>
      <c r="AM322" s="274"/>
      <c r="AN322" s="274"/>
      <c r="AO322" s="274"/>
      <c r="AP322" s="274"/>
      <c r="AQ322" s="274"/>
      <c r="AR322" s="274"/>
      <c r="AS322" s="274"/>
      <c r="AT322" s="274"/>
      <c r="AU322" s="274"/>
      <c r="AV322" s="274"/>
      <c r="AW322" s="274"/>
    </row>
    <row r="323" ht="15.75" customHeight="1">
      <c r="A323" s="274"/>
      <c r="B323" s="274"/>
      <c r="C323" s="274"/>
      <c r="D323" s="274"/>
      <c r="E323" s="274"/>
      <c r="F323" s="274"/>
      <c r="G323" s="274"/>
      <c r="H323" s="274"/>
      <c r="I323" s="274"/>
      <c r="J323" s="274"/>
      <c r="K323" s="274"/>
      <c r="L323" s="274"/>
      <c r="M323" s="274"/>
      <c r="N323" s="274"/>
      <c r="O323" s="274"/>
      <c r="P323" s="274"/>
      <c r="Q323" s="274"/>
      <c r="R323" s="316"/>
      <c r="W323" s="274"/>
      <c r="X323" s="274"/>
      <c r="Y323" s="274"/>
      <c r="Z323" s="274">
        <v>17.75</v>
      </c>
      <c r="AA323" s="309">
        <v>2291949.523</v>
      </c>
      <c r="AB323" s="309">
        <v>1814944.8</v>
      </c>
      <c r="AC323" s="309">
        <v>2001092.985</v>
      </c>
      <c r="AD323" s="274"/>
      <c r="AE323" s="274"/>
      <c r="AF323" s="274"/>
      <c r="AG323" s="274"/>
      <c r="AH323" s="274"/>
      <c r="AI323" s="274"/>
      <c r="AJ323" s="274"/>
      <c r="AK323" s="274"/>
      <c r="AL323" s="274"/>
      <c r="AM323" s="274"/>
      <c r="AN323" s="274"/>
      <c r="AO323" s="274"/>
      <c r="AP323" s="274"/>
      <c r="AQ323" s="274"/>
      <c r="AR323" s="274"/>
      <c r="AS323" s="274"/>
      <c r="AT323" s="274"/>
      <c r="AU323" s="274"/>
      <c r="AV323" s="274"/>
      <c r="AW323" s="274"/>
    </row>
    <row r="324" ht="15.75" customHeight="1">
      <c r="A324" s="274"/>
      <c r="B324" s="274"/>
      <c r="C324" s="274"/>
      <c r="D324" s="274"/>
      <c r="E324" s="274"/>
      <c r="F324" s="274"/>
      <c r="G324" s="274"/>
      <c r="H324" s="274"/>
      <c r="I324" s="274"/>
      <c r="J324" s="274"/>
      <c r="K324" s="274"/>
      <c r="L324" s="274"/>
      <c r="M324" s="274"/>
      <c r="N324" s="274"/>
      <c r="O324" s="274"/>
      <c r="P324" s="274"/>
      <c r="Q324" s="274"/>
      <c r="R324" s="316"/>
      <c r="W324" s="274"/>
      <c r="X324" s="274"/>
      <c r="Y324" s="274"/>
      <c r="Z324" s="274">
        <v>17.812</v>
      </c>
      <c r="AA324" s="309">
        <v>2291949.523</v>
      </c>
      <c r="AB324" s="309">
        <v>1814944.8</v>
      </c>
      <c r="AC324" s="309">
        <v>2001092.985</v>
      </c>
      <c r="AD324" s="274"/>
      <c r="AE324" s="274"/>
      <c r="AF324" s="274"/>
      <c r="AG324" s="274"/>
      <c r="AH324" s="274"/>
      <c r="AI324" s="274"/>
      <c r="AJ324" s="274"/>
      <c r="AK324" s="274"/>
      <c r="AL324" s="274"/>
      <c r="AM324" s="274"/>
      <c r="AN324" s="274"/>
      <c r="AO324" s="274"/>
      <c r="AP324" s="274"/>
      <c r="AQ324" s="274"/>
      <c r="AR324" s="274"/>
      <c r="AS324" s="274"/>
      <c r="AT324" s="274"/>
      <c r="AU324" s="274"/>
      <c r="AV324" s="274"/>
      <c r="AW324" s="274"/>
    </row>
    <row r="325" ht="15.75" customHeight="1">
      <c r="A325" s="274"/>
      <c r="B325" s="274"/>
      <c r="C325" s="274"/>
      <c r="D325" s="274"/>
      <c r="E325" s="274"/>
      <c r="F325" s="274"/>
      <c r="G325" s="274"/>
      <c r="H325" s="274"/>
      <c r="I325" s="274"/>
      <c r="J325" s="274"/>
      <c r="K325" s="274"/>
      <c r="L325" s="274"/>
      <c r="M325" s="274"/>
      <c r="N325" s="274"/>
      <c r="O325" s="274"/>
      <c r="P325" s="274"/>
      <c r="Q325" s="274"/>
      <c r="R325" s="316"/>
      <c r="W325" s="274"/>
      <c r="X325" s="274"/>
      <c r="Y325" s="274"/>
      <c r="Z325" s="274">
        <v>17.875</v>
      </c>
      <c r="AA325" s="309">
        <v>2443194.923</v>
      </c>
      <c r="AB325" s="309">
        <v>1814944.8</v>
      </c>
      <c r="AC325" s="309">
        <v>2001092.985</v>
      </c>
      <c r="AD325" s="274"/>
      <c r="AE325" s="274"/>
      <c r="AF325" s="274"/>
      <c r="AG325" s="274"/>
      <c r="AH325" s="274"/>
      <c r="AI325" s="274"/>
      <c r="AJ325" s="274"/>
      <c r="AK325" s="274"/>
      <c r="AL325" s="274"/>
      <c r="AM325" s="274"/>
      <c r="AN325" s="274"/>
      <c r="AO325" s="274"/>
      <c r="AP325" s="274"/>
      <c r="AQ325" s="274"/>
      <c r="AR325" s="274"/>
      <c r="AS325" s="274"/>
      <c r="AT325" s="274"/>
      <c r="AU325" s="274"/>
      <c r="AV325" s="274"/>
      <c r="AW325" s="274"/>
    </row>
    <row r="326" ht="15.75" customHeight="1">
      <c r="A326" s="274"/>
      <c r="B326" s="274"/>
      <c r="C326" s="274"/>
      <c r="D326" s="274"/>
      <c r="E326" s="274"/>
      <c r="F326" s="274"/>
      <c r="G326" s="274"/>
      <c r="H326" s="274"/>
      <c r="I326" s="274"/>
      <c r="J326" s="274"/>
      <c r="K326" s="274"/>
      <c r="L326" s="274"/>
      <c r="M326" s="274"/>
      <c r="N326" s="274"/>
      <c r="O326" s="274"/>
      <c r="P326" s="274"/>
      <c r="Q326" s="274"/>
      <c r="R326" s="316"/>
      <c r="W326" s="274"/>
      <c r="X326" s="274"/>
      <c r="Y326" s="274"/>
      <c r="Z326" s="274">
        <v>17.937</v>
      </c>
      <c r="AA326" s="309">
        <v>2489731.969</v>
      </c>
      <c r="AB326" s="309">
        <v>1814944.8</v>
      </c>
      <c r="AC326" s="309">
        <v>2001092.985</v>
      </c>
      <c r="AD326" s="274"/>
      <c r="AE326" s="274"/>
      <c r="AF326" s="274"/>
      <c r="AG326" s="274"/>
      <c r="AH326" s="274"/>
      <c r="AI326" s="274"/>
      <c r="AJ326" s="274"/>
      <c r="AK326" s="274"/>
      <c r="AL326" s="274"/>
      <c r="AM326" s="274"/>
      <c r="AN326" s="274"/>
      <c r="AO326" s="274"/>
      <c r="AP326" s="274"/>
      <c r="AQ326" s="274"/>
      <c r="AR326" s="274"/>
      <c r="AS326" s="274"/>
      <c r="AT326" s="274"/>
      <c r="AU326" s="274"/>
      <c r="AV326" s="274"/>
      <c r="AW326" s="274"/>
    </row>
    <row r="327" ht="15.75" customHeight="1">
      <c r="A327" s="274"/>
      <c r="B327" s="274"/>
      <c r="C327" s="274"/>
      <c r="D327" s="274"/>
      <c r="E327" s="274"/>
      <c r="F327" s="274"/>
      <c r="G327" s="274"/>
      <c r="H327" s="274"/>
      <c r="I327" s="274"/>
      <c r="J327" s="274"/>
      <c r="K327" s="274"/>
      <c r="L327" s="274"/>
      <c r="M327" s="274"/>
      <c r="N327" s="274"/>
      <c r="O327" s="274"/>
      <c r="P327" s="274"/>
      <c r="Q327" s="274"/>
      <c r="R327" s="316"/>
      <c r="W327" s="274"/>
      <c r="X327" s="274"/>
      <c r="Y327" s="274"/>
      <c r="Z327" s="274">
        <v>18.0</v>
      </c>
      <c r="AA327" s="309">
        <v>2489731.969</v>
      </c>
      <c r="AB327" s="309">
        <v>1814944.8</v>
      </c>
      <c r="AC327" s="309">
        <v>2001092.985</v>
      </c>
      <c r="AD327" s="274"/>
      <c r="AE327" s="274"/>
      <c r="AF327" s="274"/>
      <c r="AG327" s="274"/>
      <c r="AH327" s="274"/>
      <c r="AI327" s="274"/>
      <c r="AJ327" s="274"/>
      <c r="AK327" s="274"/>
      <c r="AL327" s="274"/>
      <c r="AM327" s="274"/>
      <c r="AN327" s="274"/>
      <c r="AO327" s="274"/>
      <c r="AP327" s="274"/>
      <c r="AQ327" s="274"/>
      <c r="AR327" s="274"/>
      <c r="AS327" s="274"/>
      <c r="AT327" s="274"/>
      <c r="AU327" s="274"/>
      <c r="AV327" s="274"/>
      <c r="AW327" s="274"/>
    </row>
    <row r="328" ht="15.75" customHeight="1">
      <c r="A328" s="274"/>
      <c r="B328" s="274"/>
      <c r="C328" s="274"/>
      <c r="D328" s="274"/>
      <c r="E328" s="274"/>
      <c r="F328" s="274"/>
      <c r="G328" s="274"/>
      <c r="H328" s="274"/>
      <c r="I328" s="274"/>
      <c r="J328" s="274"/>
      <c r="K328" s="274"/>
      <c r="L328" s="274"/>
      <c r="M328" s="274"/>
      <c r="N328" s="274"/>
      <c r="O328" s="274"/>
      <c r="P328" s="274"/>
      <c r="Q328" s="274"/>
      <c r="R328" s="316"/>
      <c r="W328" s="274"/>
      <c r="X328" s="274"/>
      <c r="Y328" s="274"/>
      <c r="Z328" s="274">
        <v>18.062</v>
      </c>
      <c r="AA328" s="309">
        <v>2489731.969</v>
      </c>
      <c r="AB328" s="309">
        <v>1814944.8</v>
      </c>
      <c r="AC328" s="309">
        <v>2001092.985</v>
      </c>
      <c r="AD328" s="274"/>
      <c r="AE328" s="274"/>
      <c r="AF328" s="274"/>
      <c r="AG328" s="274"/>
      <c r="AH328" s="274"/>
      <c r="AI328" s="274"/>
      <c r="AJ328" s="274"/>
      <c r="AK328" s="274"/>
      <c r="AL328" s="274"/>
      <c r="AM328" s="274"/>
      <c r="AN328" s="274"/>
      <c r="AO328" s="274"/>
      <c r="AP328" s="274"/>
      <c r="AQ328" s="274"/>
      <c r="AR328" s="274"/>
      <c r="AS328" s="274"/>
      <c r="AT328" s="274"/>
      <c r="AU328" s="274"/>
      <c r="AV328" s="274"/>
      <c r="AW328" s="274"/>
    </row>
    <row r="329" ht="15.75" customHeight="1">
      <c r="A329" s="274"/>
      <c r="B329" s="274"/>
      <c r="C329" s="274"/>
      <c r="D329" s="274"/>
      <c r="E329" s="274"/>
      <c r="F329" s="274"/>
      <c r="G329" s="274"/>
      <c r="H329" s="274"/>
      <c r="I329" s="274"/>
      <c r="J329" s="274"/>
      <c r="K329" s="274"/>
      <c r="L329" s="274"/>
      <c r="M329" s="274"/>
      <c r="N329" s="274"/>
      <c r="O329" s="274"/>
      <c r="P329" s="274"/>
      <c r="Q329" s="274"/>
      <c r="R329" s="316"/>
      <c r="W329" s="274"/>
      <c r="X329" s="274"/>
      <c r="Y329" s="274"/>
      <c r="Z329" s="274">
        <v>18.125</v>
      </c>
      <c r="AA329" s="309">
        <v>2489731.969</v>
      </c>
      <c r="AB329" s="309">
        <v>1814944.8</v>
      </c>
      <c r="AC329" s="309">
        <v>2001092.985</v>
      </c>
      <c r="AD329" s="274"/>
      <c r="AE329" s="274"/>
      <c r="AF329" s="274"/>
      <c r="AG329" s="274"/>
      <c r="AH329" s="274"/>
      <c r="AI329" s="274"/>
      <c r="AJ329" s="274"/>
      <c r="AK329" s="274"/>
      <c r="AL329" s="274"/>
      <c r="AM329" s="274"/>
      <c r="AN329" s="274"/>
      <c r="AO329" s="274"/>
      <c r="AP329" s="274"/>
      <c r="AQ329" s="274"/>
      <c r="AR329" s="274"/>
      <c r="AS329" s="274"/>
      <c r="AT329" s="274"/>
      <c r="AU329" s="274"/>
      <c r="AV329" s="274"/>
      <c r="AW329" s="274"/>
    </row>
    <row r="330" ht="15.75" customHeight="1">
      <c r="A330" s="274"/>
      <c r="B330" s="274"/>
      <c r="C330" s="274"/>
      <c r="D330" s="274"/>
      <c r="E330" s="274"/>
      <c r="F330" s="274"/>
      <c r="G330" s="274"/>
      <c r="H330" s="274"/>
      <c r="I330" s="274"/>
      <c r="J330" s="274"/>
      <c r="K330" s="274"/>
      <c r="L330" s="274"/>
      <c r="M330" s="274"/>
      <c r="N330" s="274"/>
      <c r="O330" s="274"/>
      <c r="P330" s="274"/>
      <c r="Q330" s="274"/>
      <c r="R330" s="316"/>
      <c r="W330" s="274"/>
      <c r="X330" s="274"/>
      <c r="Y330" s="274"/>
      <c r="Z330" s="274">
        <v>18.187</v>
      </c>
      <c r="AA330" s="309">
        <v>2489731.969</v>
      </c>
      <c r="AB330" s="309">
        <v>1814944.8</v>
      </c>
      <c r="AC330" s="309">
        <v>2001092.985</v>
      </c>
      <c r="AD330" s="274"/>
      <c r="AE330" s="274"/>
      <c r="AF330" s="274"/>
      <c r="AG330" s="274"/>
      <c r="AH330" s="274"/>
      <c r="AI330" s="274"/>
      <c r="AJ330" s="274"/>
      <c r="AK330" s="274"/>
      <c r="AL330" s="274"/>
      <c r="AM330" s="274"/>
      <c r="AN330" s="274"/>
      <c r="AO330" s="274"/>
      <c r="AP330" s="274"/>
      <c r="AQ330" s="274"/>
      <c r="AR330" s="274"/>
      <c r="AS330" s="274"/>
      <c r="AT330" s="274"/>
      <c r="AU330" s="274"/>
      <c r="AV330" s="274"/>
      <c r="AW330" s="274"/>
    </row>
    <row r="331" ht="15.75" customHeight="1">
      <c r="A331" s="274"/>
      <c r="B331" s="274"/>
      <c r="C331" s="274"/>
      <c r="D331" s="274"/>
      <c r="E331" s="274"/>
      <c r="F331" s="274"/>
      <c r="G331" s="274"/>
      <c r="H331" s="274"/>
      <c r="I331" s="274"/>
      <c r="J331" s="274"/>
      <c r="K331" s="274"/>
      <c r="L331" s="274"/>
      <c r="M331" s="274"/>
      <c r="N331" s="274"/>
      <c r="O331" s="274"/>
      <c r="P331" s="274"/>
      <c r="Q331" s="274"/>
      <c r="R331" s="316"/>
      <c r="W331" s="274"/>
      <c r="X331" s="274"/>
      <c r="Y331" s="274"/>
      <c r="Z331" s="274">
        <v>18.25</v>
      </c>
      <c r="AA331" s="309">
        <v>2489731.969</v>
      </c>
      <c r="AB331" s="309">
        <v>1814944.8</v>
      </c>
      <c r="AC331" s="309">
        <v>2001092.985</v>
      </c>
      <c r="AD331" s="274"/>
      <c r="AE331" s="274"/>
      <c r="AF331" s="274"/>
      <c r="AG331" s="274"/>
      <c r="AH331" s="274"/>
      <c r="AI331" s="274"/>
      <c r="AJ331" s="274"/>
      <c r="AK331" s="274"/>
      <c r="AL331" s="274"/>
      <c r="AM331" s="274"/>
      <c r="AN331" s="274"/>
      <c r="AO331" s="274"/>
      <c r="AP331" s="274"/>
      <c r="AQ331" s="274"/>
      <c r="AR331" s="274"/>
      <c r="AS331" s="274"/>
      <c r="AT331" s="274"/>
      <c r="AU331" s="274"/>
      <c r="AV331" s="274"/>
      <c r="AW331" s="274"/>
    </row>
    <row r="332" ht="15.75" customHeight="1">
      <c r="A332" s="274"/>
      <c r="B332" s="274"/>
      <c r="C332" s="274"/>
      <c r="D332" s="274"/>
      <c r="E332" s="274"/>
      <c r="F332" s="274"/>
      <c r="G332" s="274"/>
      <c r="H332" s="274"/>
      <c r="I332" s="274"/>
      <c r="J332" s="274"/>
      <c r="K332" s="274"/>
      <c r="L332" s="274"/>
      <c r="M332" s="274"/>
      <c r="N332" s="274"/>
      <c r="O332" s="274"/>
      <c r="P332" s="274"/>
      <c r="Q332" s="274"/>
      <c r="R332" s="316"/>
      <c r="W332" s="274"/>
      <c r="X332" s="274"/>
      <c r="Y332" s="274"/>
      <c r="Z332" s="274">
        <v>18.312</v>
      </c>
      <c r="AA332" s="309">
        <v>2489731.969</v>
      </c>
      <c r="AB332" s="309">
        <v>1814944.8</v>
      </c>
      <c r="AC332" s="309">
        <v>2047630.031</v>
      </c>
      <c r="AD332" s="274"/>
      <c r="AE332" s="274"/>
      <c r="AF332" s="274"/>
      <c r="AG332" s="274"/>
      <c r="AH332" s="274"/>
      <c r="AI332" s="274"/>
      <c r="AJ332" s="274"/>
      <c r="AK332" s="274"/>
      <c r="AL332" s="274"/>
      <c r="AM332" s="274"/>
      <c r="AN332" s="274"/>
      <c r="AO332" s="274"/>
      <c r="AP332" s="274"/>
      <c r="AQ332" s="274"/>
      <c r="AR332" s="274"/>
      <c r="AS332" s="274"/>
      <c r="AT332" s="274"/>
      <c r="AU332" s="274"/>
      <c r="AV332" s="274"/>
      <c r="AW332" s="274"/>
    </row>
    <row r="333" ht="15.75" customHeight="1">
      <c r="A333" s="274"/>
      <c r="B333" s="274"/>
      <c r="C333" s="274"/>
      <c r="D333" s="274"/>
      <c r="E333" s="274"/>
      <c r="F333" s="274"/>
      <c r="G333" s="274"/>
      <c r="H333" s="274"/>
      <c r="I333" s="274"/>
      <c r="J333" s="274"/>
      <c r="K333" s="274"/>
      <c r="L333" s="274"/>
      <c r="M333" s="274"/>
      <c r="N333" s="274"/>
      <c r="O333" s="274"/>
      <c r="P333" s="274"/>
      <c r="Q333" s="274"/>
      <c r="R333" s="316"/>
      <c r="W333" s="274"/>
      <c r="X333" s="274"/>
      <c r="Y333" s="274"/>
      <c r="Z333" s="274">
        <v>18.375</v>
      </c>
      <c r="AA333" s="309">
        <v>2489731.969</v>
      </c>
      <c r="AB333" s="309">
        <v>1814944.8</v>
      </c>
      <c r="AC333" s="309">
        <v>2047630.031</v>
      </c>
      <c r="AD333" s="274"/>
      <c r="AE333" s="274"/>
      <c r="AF333" s="274"/>
      <c r="AG333" s="274"/>
      <c r="AH333" s="274"/>
      <c r="AI333" s="274"/>
      <c r="AJ333" s="274"/>
      <c r="AK333" s="274"/>
      <c r="AL333" s="274"/>
      <c r="AM333" s="274"/>
      <c r="AN333" s="274"/>
      <c r="AO333" s="274"/>
      <c r="AP333" s="274"/>
      <c r="AQ333" s="274"/>
      <c r="AR333" s="274"/>
      <c r="AS333" s="274"/>
      <c r="AT333" s="274"/>
      <c r="AU333" s="274"/>
      <c r="AV333" s="274"/>
      <c r="AW333" s="274"/>
    </row>
    <row r="334" ht="15.75" customHeight="1">
      <c r="A334" s="274"/>
      <c r="B334" s="274"/>
      <c r="C334" s="274"/>
      <c r="D334" s="274"/>
      <c r="E334" s="274"/>
      <c r="F334" s="274"/>
      <c r="G334" s="274"/>
      <c r="H334" s="274"/>
      <c r="I334" s="274"/>
      <c r="J334" s="274"/>
      <c r="K334" s="274"/>
      <c r="L334" s="274"/>
      <c r="M334" s="274"/>
      <c r="N334" s="274"/>
      <c r="O334" s="274"/>
      <c r="P334" s="274"/>
      <c r="Q334" s="274"/>
      <c r="R334" s="316"/>
      <c r="W334" s="274"/>
      <c r="X334" s="274"/>
      <c r="Y334" s="274"/>
      <c r="Z334" s="274">
        <v>18.437</v>
      </c>
      <c r="AA334" s="309">
        <v>2489731.969</v>
      </c>
      <c r="AB334" s="309">
        <v>1814944.8</v>
      </c>
      <c r="AC334" s="309">
        <v>2047630.031</v>
      </c>
      <c r="AD334" s="274"/>
      <c r="AE334" s="274"/>
      <c r="AF334" s="274"/>
      <c r="AG334" s="274"/>
      <c r="AH334" s="274"/>
      <c r="AI334" s="274"/>
      <c r="AJ334" s="274"/>
      <c r="AK334" s="274"/>
      <c r="AL334" s="274"/>
      <c r="AM334" s="274"/>
      <c r="AN334" s="274"/>
      <c r="AO334" s="274"/>
      <c r="AP334" s="274"/>
      <c r="AQ334" s="274"/>
      <c r="AR334" s="274"/>
      <c r="AS334" s="274"/>
      <c r="AT334" s="274"/>
      <c r="AU334" s="274"/>
      <c r="AV334" s="274"/>
      <c r="AW334" s="274"/>
    </row>
    <row r="335" ht="15.75" customHeight="1">
      <c r="A335" s="274"/>
      <c r="B335" s="274"/>
      <c r="C335" s="274"/>
      <c r="D335" s="274"/>
      <c r="E335" s="274"/>
      <c r="F335" s="274"/>
      <c r="G335" s="274"/>
      <c r="H335" s="274"/>
      <c r="I335" s="274"/>
      <c r="J335" s="274"/>
      <c r="K335" s="274"/>
      <c r="L335" s="274"/>
      <c r="M335" s="274"/>
      <c r="N335" s="274"/>
      <c r="O335" s="274"/>
      <c r="P335" s="274"/>
      <c r="Q335" s="274"/>
      <c r="R335" s="316"/>
      <c r="W335" s="274"/>
      <c r="X335" s="274"/>
      <c r="Y335" s="274"/>
      <c r="Z335" s="274">
        <v>18.5</v>
      </c>
      <c r="AA335" s="309">
        <v>2489731.969</v>
      </c>
      <c r="AB335" s="309">
        <v>1814944.8</v>
      </c>
      <c r="AC335" s="309">
        <v>2094167.077</v>
      </c>
      <c r="AD335" s="274"/>
      <c r="AE335" s="274"/>
      <c r="AF335" s="274"/>
      <c r="AG335" s="274"/>
      <c r="AH335" s="274"/>
      <c r="AI335" s="274"/>
      <c r="AJ335" s="274"/>
      <c r="AK335" s="274"/>
      <c r="AL335" s="274"/>
      <c r="AM335" s="274"/>
      <c r="AN335" s="274"/>
      <c r="AO335" s="274"/>
      <c r="AP335" s="274"/>
      <c r="AQ335" s="274"/>
      <c r="AR335" s="274"/>
      <c r="AS335" s="274"/>
      <c r="AT335" s="274"/>
      <c r="AU335" s="274"/>
      <c r="AV335" s="274"/>
      <c r="AW335" s="274"/>
    </row>
    <row r="336" ht="15.75" customHeight="1">
      <c r="A336" s="274"/>
      <c r="B336" s="274"/>
      <c r="C336" s="274"/>
      <c r="D336" s="274"/>
      <c r="E336" s="274"/>
      <c r="F336" s="274"/>
      <c r="G336" s="274"/>
      <c r="H336" s="274"/>
      <c r="I336" s="274"/>
      <c r="J336" s="274"/>
      <c r="K336" s="274"/>
      <c r="L336" s="274"/>
      <c r="M336" s="274"/>
      <c r="N336" s="274"/>
      <c r="O336" s="274"/>
      <c r="P336" s="274"/>
      <c r="Q336" s="274"/>
      <c r="R336" s="316"/>
      <c r="W336" s="274"/>
      <c r="X336" s="274"/>
      <c r="Y336" s="274"/>
      <c r="Z336" s="274">
        <v>18.562</v>
      </c>
      <c r="AA336" s="309">
        <v>2489731.969</v>
      </c>
      <c r="AB336" s="309">
        <v>1814944.8</v>
      </c>
      <c r="AC336" s="309">
        <v>2094167.077</v>
      </c>
      <c r="AD336" s="274"/>
      <c r="AE336" s="274"/>
      <c r="AF336" s="274"/>
      <c r="AG336" s="274"/>
      <c r="AH336" s="274"/>
      <c r="AI336" s="274"/>
      <c r="AJ336" s="274"/>
      <c r="AK336" s="274"/>
      <c r="AL336" s="274"/>
      <c r="AM336" s="274"/>
      <c r="AN336" s="274"/>
      <c r="AO336" s="274"/>
      <c r="AP336" s="274"/>
      <c r="AQ336" s="274"/>
      <c r="AR336" s="274"/>
      <c r="AS336" s="274"/>
      <c r="AT336" s="274"/>
      <c r="AU336" s="274"/>
      <c r="AV336" s="274"/>
      <c r="AW336" s="274"/>
    </row>
    <row r="337" ht="15.75" customHeight="1">
      <c r="A337" s="274"/>
      <c r="B337" s="274"/>
      <c r="C337" s="274"/>
      <c r="D337" s="274"/>
      <c r="E337" s="274"/>
      <c r="F337" s="274"/>
      <c r="G337" s="274"/>
      <c r="H337" s="274"/>
      <c r="I337" s="274"/>
      <c r="J337" s="274"/>
      <c r="K337" s="274"/>
      <c r="L337" s="274"/>
      <c r="M337" s="274"/>
      <c r="N337" s="274"/>
      <c r="O337" s="274"/>
      <c r="P337" s="274"/>
      <c r="Q337" s="274"/>
      <c r="R337" s="316"/>
      <c r="W337" s="274"/>
      <c r="X337" s="274"/>
      <c r="Y337" s="274"/>
      <c r="Z337" s="274">
        <v>18.625</v>
      </c>
      <c r="AA337" s="309">
        <v>2489731.969</v>
      </c>
      <c r="AB337" s="309">
        <v>1814944.8</v>
      </c>
      <c r="AC337" s="309">
        <v>2094167.077</v>
      </c>
      <c r="AD337" s="274"/>
      <c r="AE337" s="274"/>
      <c r="AF337" s="274"/>
      <c r="AG337" s="274"/>
      <c r="AH337" s="274"/>
      <c r="AI337" s="274"/>
      <c r="AJ337" s="274"/>
      <c r="AK337" s="274"/>
      <c r="AL337" s="274"/>
      <c r="AM337" s="274"/>
      <c r="AN337" s="274"/>
      <c r="AO337" s="274"/>
      <c r="AP337" s="274"/>
      <c r="AQ337" s="274"/>
      <c r="AR337" s="274"/>
      <c r="AS337" s="274"/>
      <c r="AT337" s="274"/>
      <c r="AU337" s="274"/>
      <c r="AV337" s="274"/>
      <c r="AW337" s="274"/>
    </row>
    <row r="338" ht="15.75" customHeight="1">
      <c r="A338" s="274"/>
      <c r="B338" s="274"/>
      <c r="C338" s="274"/>
      <c r="D338" s="274"/>
      <c r="E338" s="274"/>
      <c r="F338" s="274"/>
      <c r="G338" s="274"/>
      <c r="H338" s="274"/>
      <c r="I338" s="274"/>
      <c r="J338" s="274"/>
      <c r="K338" s="274"/>
      <c r="L338" s="274"/>
      <c r="M338" s="274"/>
      <c r="N338" s="274"/>
      <c r="O338" s="274"/>
      <c r="P338" s="274"/>
      <c r="Q338" s="274"/>
      <c r="R338" s="316"/>
      <c r="W338" s="274"/>
      <c r="X338" s="274"/>
      <c r="Y338" s="274"/>
      <c r="Z338" s="274">
        <v>18.687</v>
      </c>
      <c r="AA338" s="309">
        <v>2489731.969</v>
      </c>
      <c r="AB338" s="309">
        <v>1966190.2</v>
      </c>
      <c r="AC338" s="309">
        <v>2140704.123</v>
      </c>
      <c r="AD338" s="274"/>
      <c r="AE338" s="274"/>
      <c r="AF338" s="274"/>
      <c r="AG338" s="274"/>
      <c r="AH338" s="274"/>
      <c r="AI338" s="274"/>
      <c r="AJ338" s="274"/>
      <c r="AK338" s="274"/>
      <c r="AL338" s="274"/>
      <c r="AM338" s="274"/>
      <c r="AN338" s="274"/>
      <c r="AO338" s="274"/>
      <c r="AP338" s="274"/>
      <c r="AQ338" s="274"/>
      <c r="AR338" s="274"/>
      <c r="AS338" s="274"/>
      <c r="AT338" s="274"/>
      <c r="AU338" s="274"/>
      <c r="AV338" s="274"/>
      <c r="AW338" s="274"/>
    </row>
    <row r="339" ht="15.75" customHeight="1">
      <c r="A339" s="274"/>
      <c r="B339" s="274"/>
      <c r="C339" s="274"/>
      <c r="D339" s="274"/>
      <c r="E339" s="274"/>
      <c r="F339" s="274"/>
      <c r="G339" s="274"/>
      <c r="H339" s="274"/>
      <c r="I339" s="274"/>
      <c r="J339" s="274"/>
      <c r="K339" s="274"/>
      <c r="L339" s="274"/>
      <c r="M339" s="274"/>
      <c r="N339" s="274"/>
      <c r="O339" s="274"/>
      <c r="P339" s="274"/>
      <c r="Q339" s="274"/>
      <c r="R339" s="316"/>
      <c r="W339" s="274"/>
      <c r="X339" s="274"/>
      <c r="Y339" s="274"/>
      <c r="Z339" s="274">
        <v>18.75</v>
      </c>
      <c r="AA339" s="309">
        <v>2489731.969</v>
      </c>
      <c r="AB339" s="309">
        <v>1966190.2</v>
      </c>
      <c r="AC339" s="309">
        <v>2140704.123</v>
      </c>
      <c r="AD339" s="274"/>
      <c r="AE339" s="274"/>
      <c r="AF339" s="274"/>
      <c r="AG339" s="274"/>
      <c r="AH339" s="274"/>
      <c r="AI339" s="274"/>
      <c r="AJ339" s="274"/>
      <c r="AK339" s="274"/>
      <c r="AL339" s="274"/>
      <c r="AM339" s="274"/>
      <c r="AN339" s="274"/>
      <c r="AO339" s="274"/>
      <c r="AP339" s="274"/>
      <c r="AQ339" s="274"/>
      <c r="AR339" s="274"/>
      <c r="AS339" s="274"/>
      <c r="AT339" s="274"/>
      <c r="AU339" s="274"/>
      <c r="AV339" s="274"/>
      <c r="AW339" s="274"/>
    </row>
    <row r="340" ht="15.75" customHeight="1">
      <c r="A340" s="274"/>
      <c r="B340" s="274"/>
      <c r="C340" s="274"/>
      <c r="D340" s="274"/>
      <c r="E340" s="274"/>
      <c r="F340" s="274"/>
      <c r="G340" s="274"/>
      <c r="H340" s="274"/>
      <c r="I340" s="274"/>
      <c r="J340" s="274"/>
      <c r="K340" s="274"/>
      <c r="L340" s="274"/>
      <c r="M340" s="274"/>
      <c r="N340" s="274"/>
      <c r="O340" s="274"/>
      <c r="P340" s="274"/>
      <c r="Q340" s="274"/>
      <c r="R340" s="316"/>
      <c r="W340" s="274"/>
      <c r="X340" s="274"/>
      <c r="Y340" s="274"/>
      <c r="Z340" s="274">
        <v>18.812</v>
      </c>
      <c r="AA340" s="309">
        <v>2489731.969</v>
      </c>
      <c r="AB340" s="309">
        <v>1989458.723</v>
      </c>
      <c r="AC340" s="309">
        <v>2140704.123</v>
      </c>
      <c r="AD340" s="274"/>
      <c r="AE340" s="274"/>
      <c r="AF340" s="274"/>
      <c r="AG340" s="274"/>
      <c r="AH340" s="274"/>
      <c r="AI340" s="274"/>
      <c r="AJ340" s="274"/>
      <c r="AK340" s="274"/>
      <c r="AL340" s="274"/>
      <c r="AM340" s="274"/>
      <c r="AN340" s="274"/>
      <c r="AO340" s="274"/>
      <c r="AP340" s="274"/>
      <c r="AQ340" s="274"/>
      <c r="AR340" s="274"/>
      <c r="AS340" s="274"/>
      <c r="AT340" s="274"/>
      <c r="AU340" s="274"/>
      <c r="AV340" s="274"/>
      <c r="AW340" s="274"/>
    </row>
    <row r="341" ht="15.75" customHeight="1">
      <c r="A341" s="274"/>
      <c r="B341" s="274"/>
      <c r="C341" s="274"/>
      <c r="D341" s="274"/>
      <c r="E341" s="274"/>
      <c r="F341" s="274"/>
      <c r="G341" s="274"/>
      <c r="H341" s="274"/>
      <c r="I341" s="274"/>
      <c r="J341" s="274"/>
      <c r="K341" s="274"/>
      <c r="L341" s="274"/>
      <c r="M341" s="274"/>
      <c r="N341" s="274"/>
      <c r="O341" s="274"/>
      <c r="P341" s="274"/>
      <c r="Q341" s="274"/>
      <c r="R341" s="316"/>
      <c r="W341" s="274"/>
      <c r="X341" s="274"/>
      <c r="Y341" s="274"/>
      <c r="Z341" s="274">
        <v>18.875</v>
      </c>
      <c r="AA341" s="309">
        <v>2489731.969</v>
      </c>
      <c r="AB341" s="309">
        <v>1989458.723</v>
      </c>
      <c r="AC341" s="309">
        <v>2140704.123</v>
      </c>
      <c r="AD341" s="274"/>
      <c r="AE341" s="274"/>
      <c r="AF341" s="274"/>
      <c r="AG341" s="274"/>
      <c r="AH341" s="274"/>
      <c r="AI341" s="274"/>
      <c r="AJ341" s="274"/>
      <c r="AK341" s="274"/>
      <c r="AL341" s="274"/>
      <c r="AM341" s="274"/>
      <c r="AN341" s="274"/>
      <c r="AO341" s="274"/>
      <c r="AP341" s="274"/>
      <c r="AQ341" s="274"/>
      <c r="AR341" s="274"/>
      <c r="AS341" s="274"/>
      <c r="AT341" s="274"/>
      <c r="AU341" s="274"/>
      <c r="AV341" s="274"/>
      <c r="AW341" s="274"/>
    </row>
    <row r="342" ht="15.75" customHeight="1">
      <c r="A342" s="274"/>
      <c r="B342" s="274"/>
      <c r="C342" s="274"/>
      <c r="D342" s="274"/>
      <c r="E342" s="274"/>
      <c r="F342" s="274"/>
      <c r="G342" s="274"/>
      <c r="H342" s="274"/>
      <c r="I342" s="274"/>
      <c r="J342" s="274"/>
      <c r="K342" s="274"/>
      <c r="L342" s="274"/>
      <c r="M342" s="274"/>
      <c r="N342" s="274"/>
      <c r="O342" s="274"/>
      <c r="P342" s="274"/>
      <c r="Q342" s="274"/>
      <c r="R342" s="316"/>
      <c r="W342" s="274"/>
      <c r="X342" s="274"/>
      <c r="Y342" s="274"/>
      <c r="Z342" s="274">
        <v>18.937</v>
      </c>
      <c r="AA342" s="309">
        <v>2489731.969</v>
      </c>
      <c r="AB342" s="309">
        <v>1989458.723</v>
      </c>
      <c r="AC342" s="309">
        <v>2140704.123</v>
      </c>
      <c r="AD342" s="274"/>
      <c r="AE342" s="274"/>
      <c r="AF342" s="274"/>
      <c r="AG342" s="274"/>
      <c r="AH342" s="274"/>
      <c r="AI342" s="274"/>
      <c r="AJ342" s="274"/>
      <c r="AK342" s="274"/>
      <c r="AL342" s="274"/>
      <c r="AM342" s="274"/>
      <c r="AN342" s="274"/>
      <c r="AO342" s="274"/>
      <c r="AP342" s="274"/>
      <c r="AQ342" s="274"/>
      <c r="AR342" s="274"/>
      <c r="AS342" s="274"/>
      <c r="AT342" s="274"/>
      <c r="AU342" s="274"/>
      <c r="AV342" s="274"/>
      <c r="AW342" s="274"/>
    </row>
    <row r="343" ht="15.75" customHeight="1">
      <c r="A343" s="274"/>
      <c r="B343" s="274"/>
      <c r="C343" s="274"/>
      <c r="D343" s="274"/>
      <c r="E343" s="274"/>
      <c r="F343" s="274"/>
      <c r="G343" s="274"/>
      <c r="H343" s="274"/>
      <c r="I343" s="274"/>
      <c r="J343" s="274"/>
      <c r="K343" s="274"/>
      <c r="L343" s="274"/>
      <c r="M343" s="274"/>
      <c r="N343" s="274"/>
      <c r="O343" s="274"/>
      <c r="P343" s="274"/>
      <c r="Q343" s="274"/>
      <c r="R343" s="316"/>
      <c r="W343" s="274"/>
      <c r="X343" s="274"/>
      <c r="Y343" s="274"/>
      <c r="Z343" s="274">
        <v>19.0</v>
      </c>
      <c r="AA343" s="309">
        <v>2687514.415</v>
      </c>
      <c r="AB343" s="309">
        <v>1989458.723</v>
      </c>
      <c r="AC343" s="309">
        <v>2140704.123</v>
      </c>
      <c r="AD343" s="274"/>
      <c r="AE343" s="274"/>
      <c r="AF343" s="274"/>
      <c r="AG343" s="274"/>
      <c r="AH343" s="274"/>
      <c r="AI343" s="274"/>
      <c r="AJ343" s="274"/>
      <c r="AK343" s="274"/>
      <c r="AL343" s="274"/>
      <c r="AM343" s="274"/>
      <c r="AN343" s="274"/>
      <c r="AO343" s="274"/>
      <c r="AP343" s="274"/>
      <c r="AQ343" s="274"/>
      <c r="AR343" s="274"/>
      <c r="AS343" s="274"/>
      <c r="AT343" s="274"/>
      <c r="AU343" s="274"/>
      <c r="AV343" s="274"/>
      <c r="AW343" s="274"/>
    </row>
    <row r="344" ht="15.75" customHeight="1">
      <c r="A344" s="274"/>
      <c r="B344" s="274"/>
      <c r="C344" s="274"/>
      <c r="D344" s="274"/>
      <c r="E344" s="274"/>
      <c r="F344" s="274"/>
      <c r="G344" s="274"/>
      <c r="H344" s="274"/>
      <c r="I344" s="274"/>
      <c r="J344" s="274"/>
      <c r="K344" s="274"/>
      <c r="L344" s="274"/>
      <c r="M344" s="274"/>
      <c r="N344" s="274"/>
      <c r="O344" s="274"/>
      <c r="P344" s="274"/>
      <c r="Q344" s="274"/>
      <c r="R344" s="316"/>
      <c r="W344" s="274"/>
      <c r="X344" s="274"/>
      <c r="Y344" s="274"/>
      <c r="Z344" s="274">
        <v>19.062</v>
      </c>
      <c r="AA344" s="309">
        <v>2687514.415</v>
      </c>
      <c r="AB344" s="309">
        <v>1989458.723</v>
      </c>
      <c r="AC344" s="309">
        <v>2140704.123</v>
      </c>
      <c r="AD344" s="274"/>
      <c r="AE344" s="274"/>
      <c r="AF344" s="274"/>
      <c r="AG344" s="274"/>
      <c r="AH344" s="274"/>
      <c r="AI344" s="274"/>
      <c r="AJ344" s="274"/>
      <c r="AK344" s="274"/>
      <c r="AL344" s="274"/>
      <c r="AM344" s="274"/>
      <c r="AN344" s="274"/>
      <c r="AO344" s="274"/>
      <c r="AP344" s="274"/>
      <c r="AQ344" s="274"/>
      <c r="AR344" s="274"/>
      <c r="AS344" s="274"/>
      <c r="AT344" s="274"/>
      <c r="AU344" s="274"/>
      <c r="AV344" s="274"/>
      <c r="AW344" s="274"/>
    </row>
    <row r="345" ht="15.75" customHeight="1">
      <c r="A345" s="274"/>
      <c r="B345" s="274"/>
      <c r="C345" s="274"/>
      <c r="D345" s="274"/>
      <c r="E345" s="274"/>
      <c r="F345" s="274"/>
      <c r="G345" s="274"/>
      <c r="H345" s="274"/>
      <c r="I345" s="274"/>
      <c r="J345" s="274"/>
      <c r="K345" s="274"/>
      <c r="L345" s="274"/>
      <c r="M345" s="274"/>
      <c r="N345" s="274"/>
      <c r="O345" s="274"/>
      <c r="P345" s="274"/>
      <c r="Q345" s="274"/>
      <c r="R345" s="316"/>
      <c r="W345" s="274"/>
      <c r="X345" s="274"/>
      <c r="Y345" s="274"/>
      <c r="Z345" s="274">
        <v>19.125</v>
      </c>
      <c r="AA345" s="309">
        <v>2687514.415</v>
      </c>
      <c r="AB345" s="309">
        <v>1989458.723</v>
      </c>
      <c r="AC345" s="309">
        <v>2140704.123</v>
      </c>
      <c r="AD345" s="274"/>
      <c r="AE345" s="274"/>
      <c r="AF345" s="274"/>
      <c r="AG345" s="274"/>
      <c r="AH345" s="274"/>
      <c r="AI345" s="274"/>
      <c r="AJ345" s="274"/>
      <c r="AK345" s="274"/>
      <c r="AL345" s="274"/>
      <c r="AM345" s="274"/>
      <c r="AN345" s="274"/>
      <c r="AO345" s="274"/>
      <c r="AP345" s="274"/>
      <c r="AQ345" s="274"/>
      <c r="AR345" s="274"/>
      <c r="AS345" s="274"/>
      <c r="AT345" s="274"/>
      <c r="AU345" s="274"/>
      <c r="AV345" s="274"/>
      <c r="AW345" s="274"/>
    </row>
    <row r="346" ht="15.75" customHeight="1">
      <c r="A346" s="274"/>
      <c r="B346" s="274"/>
      <c r="C346" s="274"/>
      <c r="D346" s="274"/>
      <c r="E346" s="274"/>
      <c r="F346" s="274"/>
      <c r="G346" s="274"/>
      <c r="H346" s="274"/>
      <c r="I346" s="274"/>
      <c r="J346" s="274"/>
      <c r="K346" s="274"/>
      <c r="L346" s="274"/>
      <c r="M346" s="274"/>
      <c r="N346" s="274"/>
      <c r="O346" s="274"/>
      <c r="P346" s="274"/>
      <c r="Q346" s="274"/>
      <c r="R346" s="316"/>
      <c r="W346" s="274"/>
      <c r="X346" s="274"/>
      <c r="Y346" s="274"/>
      <c r="Z346" s="274">
        <v>19.187</v>
      </c>
      <c r="AA346" s="309">
        <v>2687514.415</v>
      </c>
      <c r="AB346" s="309">
        <v>1989458.723</v>
      </c>
      <c r="AC346" s="309">
        <v>2140704.123</v>
      </c>
      <c r="AD346" s="274"/>
      <c r="AE346" s="274"/>
      <c r="AF346" s="274"/>
      <c r="AG346" s="274"/>
      <c r="AH346" s="274"/>
      <c r="AI346" s="274"/>
      <c r="AJ346" s="274"/>
      <c r="AK346" s="274"/>
      <c r="AL346" s="274"/>
      <c r="AM346" s="274"/>
      <c r="AN346" s="274"/>
      <c r="AO346" s="274"/>
      <c r="AP346" s="274"/>
      <c r="AQ346" s="274"/>
      <c r="AR346" s="274"/>
      <c r="AS346" s="274"/>
      <c r="AT346" s="274"/>
      <c r="AU346" s="274"/>
      <c r="AV346" s="274"/>
      <c r="AW346" s="274"/>
    </row>
    <row r="347" ht="15.75" customHeight="1">
      <c r="A347" s="274"/>
      <c r="B347" s="274"/>
      <c r="C347" s="274"/>
      <c r="D347" s="274"/>
      <c r="E347" s="274"/>
      <c r="F347" s="274"/>
      <c r="G347" s="274"/>
      <c r="H347" s="274"/>
      <c r="I347" s="274"/>
      <c r="J347" s="274"/>
      <c r="K347" s="274"/>
      <c r="L347" s="274"/>
      <c r="M347" s="274"/>
      <c r="N347" s="274"/>
      <c r="O347" s="274"/>
      <c r="P347" s="274"/>
      <c r="Q347" s="274"/>
      <c r="R347" s="316"/>
      <c r="W347" s="274"/>
      <c r="X347" s="274"/>
      <c r="Y347" s="274"/>
      <c r="Z347" s="274">
        <v>19.25</v>
      </c>
      <c r="AA347" s="309">
        <v>2687514.415</v>
      </c>
      <c r="AB347" s="309">
        <v>1989458.723</v>
      </c>
      <c r="AC347" s="309">
        <v>2140704.123</v>
      </c>
      <c r="AD347" s="274"/>
      <c r="AE347" s="274"/>
      <c r="AF347" s="274"/>
      <c r="AG347" s="274"/>
      <c r="AH347" s="274"/>
      <c r="AI347" s="274"/>
      <c r="AJ347" s="274"/>
      <c r="AK347" s="274"/>
      <c r="AL347" s="274"/>
      <c r="AM347" s="274"/>
      <c r="AN347" s="274"/>
      <c r="AO347" s="274"/>
      <c r="AP347" s="274"/>
      <c r="AQ347" s="274"/>
      <c r="AR347" s="274"/>
      <c r="AS347" s="274"/>
      <c r="AT347" s="274"/>
      <c r="AU347" s="274"/>
      <c r="AV347" s="274"/>
      <c r="AW347" s="274"/>
    </row>
    <row r="348" ht="15.75" customHeight="1">
      <c r="A348" s="274"/>
      <c r="B348" s="274"/>
      <c r="C348" s="274"/>
      <c r="D348" s="274"/>
      <c r="E348" s="274"/>
      <c r="F348" s="274"/>
      <c r="G348" s="274"/>
      <c r="H348" s="274"/>
      <c r="I348" s="274"/>
      <c r="J348" s="274"/>
      <c r="K348" s="274"/>
      <c r="L348" s="274"/>
      <c r="M348" s="274"/>
      <c r="N348" s="274"/>
      <c r="O348" s="274"/>
      <c r="P348" s="274"/>
      <c r="Q348" s="274"/>
      <c r="R348" s="316"/>
      <c r="W348" s="274"/>
      <c r="X348" s="274"/>
      <c r="Y348" s="274"/>
      <c r="Z348" s="274">
        <v>19.312</v>
      </c>
      <c r="AA348" s="309">
        <v>2687514.415</v>
      </c>
      <c r="AB348" s="309">
        <v>1989458.723</v>
      </c>
      <c r="AC348" s="309">
        <v>2140704.123</v>
      </c>
      <c r="AD348" s="274"/>
      <c r="AE348" s="274"/>
      <c r="AF348" s="274"/>
      <c r="AG348" s="274"/>
      <c r="AH348" s="274"/>
      <c r="AI348" s="274"/>
      <c r="AJ348" s="274"/>
      <c r="AK348" s="274"/>
      <c r="AL348" s="274"/>
      <c r="AM348" s="274"/>
      <c r="AN348" s="274"/>
      <c r="AO348" s="274"/>
      <c r="AP348" s="274"/>
      <c r="AQ348" s="274"/>
      <c r="AR348" s="274"/>
      <c r="AS348" s="274"/>
      <c r="AT348" s="274"/>
      <c r="AU348" s="274"/>
      <c r="AV348" s="274"/>
      <c r="AW348" s="274"/>
    </row>
    <row r="349" ht="15.75" customHeight="1">
      <c r="A349" s="274"/>
      <c r="B349" s="274"/>
      <c r="C349" s="274"/>
      <c r="D349" s="274"/>
      <c r="E349" s="274"/>
      <c r="F349" s="274"/>
      <c r="G349" s="274"/>
      <c r="H349" s="274"/>
      <c r="I349" s="274"/>
      <c r="J349" s="274"/>
      <c r="K349" s="274"/>
      <c r="L349" s="274"/>
      <c r="M349" s="274"/>
      <c r="N349" s="274"/>
      <c r="O349" s="274"/>
      <c r="P349" s="274"/>
      <c r="Q349" s="274"/>
      <c r="R349" s="316"/>
      <c r="W349" s="274"/>
      <c r="X349" s="274"/>
      <c r="Y349" s="274"/>
      <c r="Z349" s="274">
        <v>19.375</v>
      </c>
      <c r="AA349" s="309">
        <v>2687514.415</v>
      </c>
      <c r="AB349" s="309">
        <v>1989458.723</v>
      </c>
      <c r="AC349" s="309">
        <v>2140704.123</v>
      </c>
      <c r="AD349" s="274"/>
      <c r="AE349" s="274"/>
      <c r="AF349" s="274"/>
      <c r="AG349" s="274"/>
      <c r="AH349" s="274"/>
      <c r="AI349" s="274"/>
      <c r="AJ349" s="274"/>
      <c r="AK349" s="274"/>
      <c r="AL349" s="274"/>
      <c r="AM349" s="274"/>
      <c r="AN349" s="274"/>
      <c r="AO349" s="274"/>
      <c r="AP349" s="274"/>
      <c r="AQ349" s="274"/>
      <c r="AR349" s="274"/>
      <c r="AS349" s="274"/>
      <c r="AT349" s="274"/>
      <c r="AU349" s="274"/>
      <c r="AV349" s="274"/>
      <c r="AW349" s="274"/>
    </row>
    <row r="350" ht="15.75" customHeight="1">
      <c r="A350" s="274"/>
      <c r="B350" s="274"/>
      <c r="C350" s="274"/>
      <c r="D350" s="274"/>
      <c r="E350" s="274"/>
      <c r="F350" s="274"/>
      <c r="G350" s="274"/>
      <c r="H350" s="274"/>
      <c r="I350" s="274"/>
      <c r="J350" s="274"/>
      <c r="K350" s="274"/>
      <c r="L350" s="274"/>
      <c r="M350" s="274"/>
      <c r="N350" s="274"/>
      <c r="O350" s="274"/>
      <c r="P350" s="274"/>
      <c r="Q350" s="274"/>
      <c r="R350" s="316"/>
      <c r="W350" s="274"/>
      <c r="X350" s="274"/>
      <c r="Y350" s="274"/>
      <c r="Z350" s="274">
        <v>19.437</v>
      </c>
      <c r="AA350" s="309">
        <v>2687514.415</v>
      </c>
      <c r="AB350" s="309">
        <v>1989458.723</v>
      </c>
      <c r="AC350" s="309">
        <v>2140704.123</v>
      </c>
      <c r="AD350" s="274"/>
      <c r="AE350" s="274"/>
      <c r="AF350" s="274"/>
      <c r="AG350" s="274"/>
      <c r="AH350" s="274"/>
      <c r="AI350" s="274"/>
      <c r="AJ350" s="274"/>
      <c r="AK350" s="274"/>
      <c r="AL350" s="274"/>
      <c r="AM350" s="274"/>
      <c r="AN350" s="274"/>
      <c r="AO350" s="274"/>
      <c r="AP350" s="274"/>
      <c r="AQ350" s="274"/>
      <c r="AR350" s="274"/>
      <c r="AS350" s="274"/>
      <c r="AT350" s="274"/>
      <c r="AU350" s="274"/>
      <c r="AV350" s="274"/>
      <c r="AW350" s="274"/>
    </row>
    <row r="351" ht="15.75" customHeight="1">
      <c r="A351" s="274"/>
      <c r="B351" s="274"/>
      <c r="C351" s="274"/>
      <c r="D351" s="274"/>
      <c r="E351" s="274"/>
      <c r="F351" s="274"/>
      <c r="G351" s="274"/>
      <c r="H351" s="274"/>
      <c r="I351" s="274"/>
      <c r="J351" s="274"/>
      <c r="K351" s="274"/>
      <c r="L351" s="274"/>
      <c r="M351" s="274"/>
      <c r="N351" s="274"/>
      <c r="O351" s="274"/>
      <c r="P351" s="274"/>
      <c r="Q351" s="274"/>
      <c r="R351" s="316"/>
      <c r="W351" s="274"/>
      <c r="X351" s="274"/>
      <c r="Y351" s="274"/>
      <c r="Z351" s="274">
        <v>19.5</v>
      </c>
      <c r="AA351" s="309">
        <v>2687514.415</v>
      </c>
      <c r="AB351" s="309">
        <v>1989458.723</v>
      </c>
      <c r="AC351" s="309">
        <v>2187241.169</v>
      </c>
      <c r="AD351" s="274"/>
      <c r="AE351" s="274"/>
      <c r="AF351" s="274"/>
      <c r="AG351" s="274"/>
      <c r="AH351" s="274"/>
      <c r="AI351" s="274"/>
      <c r="AJ351" s="274"/>
      <c r="AK351" s="274"/>
      <c r="AL351" s="274"/>
      <c r="AM351" s="274"/>
      <c r="AN351" s="274"/>
      <c r="AO351" s="274"/>
      <c r="AP351" s="274"/>
      <c r="AQ351" s="274"/>
      <c r="AR351" s="274"/>
      <c r="AS351" s="274"/>
      <c r="AT351" s="274"/>
      <c r="AU351" s="274"/>
      <c r="AV351" s="274"/>
      <c r="AW351" s="274"/>
    </row>
    <row r="352" ht="15.75" customHeight="1">
      <c r="A352" s="274"/>
      <c r="B352" s="274"/>
      <c r="C352" s="274"/>
      <c r="D352" s="274"/>
      <c r="E352" s="274"/>
      <c r="F352" s="274"/>
      <c r="G352" s="274"/>
      <c r="H352" s="274"/>
      <c r="I352" s="274"/>
      <c r="J352" s="274"/>
      <c r="K352" s="274"/>
      <c r="L352" s="274"/>
      <c r="M352" s="274"/>
      <c r="N352" s="274"/>
      <c r="O352" s="274"/>
      <c r="P352" s="274"/>
      <c r="Q352" s="274"/>
      <c r="R352" s="316"/>
      <c r="W352" s="274"/>
      <c r="X352" s="274"/>
      <c r="Y352" s="274"/>
      <c r="Z352" s="274">
        <v>19.562</v>
      </c>
      <c r="AA352" s="309">
        <v>2757319.985</v>
      </c>
      <c r="AB352" s="309">
        <v>1989458.723</v>
      </c>
      <c r="AC352" s="309">
        <v>2187241.169</v>
      </c>
      <c r="AD352" s="274"/>
      <c r="AE352" s="274"/>
      <c r="AF352" s="274"/>
      <c r="AG352" s="274"/>
      <c r="AH352" s="274"/>
      <c r="AI352" s="274"/>
      <c r="AJ352" s="274"/>
      <c r="AK352" s="274"/>
      <c r="AL352" s="274"/>
      <c r="AM352" s="274"/>
      <c r="AN352" s="274"/>
      <c r="AO352" s="274"/>
      <c r="AP352" s="274"/>
      <c r="AQ352" s="274"/>
      <c r="AR352" s="274"/>
      <c r="AS352" s="274"/>
      <c r="AT352" s="274"/>
      <c r="AU352" s="274"/>
      <c r="AV352" s="274"/>
      <c r="AW352" s="274"/>
    </row>
    <row r="353" ht="15.75" customHeight="1">
      <c r="A353" s="274"/>
      <c r="B353" s="274"/>
      <c r="C353" s="274"/>
      <c r="D353" s="274"/>
      <c r="E353" s="274"/>
      <c r="F353" s="274"/>
      <c r="G353" s="274"/>
      <c r="H353" s="274"/>
      <c r="I353" s="274"/>
      <c r="J353" s="274"/>
      <c r="K353" s="274"/>
      <c r="L353" s="274"/>
      <c r="M353" s="274"/>
      <c r="N353" s="274"/>
      <c r="O353" s="274"/>
      <c r="P353" s="274"/>
      <c r="Q353" s="274"/>
      <c r="R353" s="316"/>
      <c r="W353" s="274"/>
      <c r="X353" s="274"/>
      <c r="Y353" s="274"/>
      <c r="Z353" s="274">
        <v>19.625</v>
      </c>
      <c r="AA353" s="309">
        <v>2757319.985</v>
      </c>
      <c r="AB353" s="309">
        <v>1989458.723</v>
      </c>
      <c r="AC353" s="309">
        <v>2187241.169</v>
      </c>
      <c r="AD353" s="274"/>
      <c r="AE353" s="274"/>
      <c r="AF353" s="274"/>
      <c r="AG353" s="274"/>
      <c r="AH353" s="274"/>
      <c r="AI353" s="274"/>
      <c r="AJ353" s="274"/>
      <c r="AK353" s="274"/>
      <c r="AL353" s="274"/>
      <c r="AM353" s="274"/>
      <c r="AN353" s="274"/>
      <c r="AO353" s="274"/>
      <c r="AP353" s="274"/>
      <c r="AQ353" s="274"/>
      <c r="AR353" s="274"/>
      <c r="AS353" s="274"/>
      <c r="AT353" s="274"/>
      <c r="AU353" s="274"/>
      <c r="AV353" s="274"/>
      <c r="AW353" s="274"/>
    </row>
    <row r="354" ht="15.75" customHeight="1">
      <c r="A354" s="274"/>
      <c r="B354" s="274"/>
      <c r="C354" s="274"/>
      <c r="D354" s="274"/>
      <c r="E354" s="274"/>
      <c r="F354" s="274"/>
      <c r="G354" s="274"/>
      <c r="H354" s="274"/>
      <c r="I354" s="274"/>
      <c r="J354" s="274"/>
      <c r="K354" s="274"/>
      <c r="L354" s="274"/>
      <c r="M354" s="274"/>
      <c r="N354" s="274"/>
      <c r="O354" s="274"/>
      <c r="P354" s="274"/>
      <c r="Q354" s="274"/>
      <c r="R354" s="316"/>
      <c r="W354" s="274"/>
      <c r="X354" s="274"/>
      <c r="Y354" s="274"/>
      <c r="Z354" s="274">
        <v>19.687</v>
      </c>
      <c r="AA354" s="309">
        <v>2757319.985</v>
      </c>
      <c r="AB354" s="309">
        <v>1989458.723</v>
      </c>
      <c r="AC354" s="309">
        <v>2187241.169</v>
      </c>
      <c r="AD354" s="274"/>
      <c r="AE354" s="274"/>
      <c r="AF354" s="274"/>
      <c r="AG354" s="274"/>
      <c r="AH354" s="274"/>
      <c r="AI354" s="274"/>
      <c r="AJ354" s="274"/>
      <c r="AK354" s="274"/>
      <c r="AL354" s="274"/>
      <c r="AM354" s="274"/>
      <c r="AN354" s="274"/>
      <c r="AO354" s="274"/>
      <c r="AP354" s="274"/>
      <c r="AQ354" s="274"/>
      <c r="AR354" s="274"/>
      <c r="AS354" s="274"/>
      <c r="AT354" s="274"/>
      <c r="AU354" s="274"/>
      <c r="AV354" s="274"/>
      <c r="AW354" s="274"/>
    </row>
    <row r="355" ht="15.75" customHeight="1">
      <c r="A355" s="274"/>
      <c r="B355" s="274"/>
      <c r="C355" s="274"/>
      <c r="D355" s="274"/>
      <c r="E355" s="274"/>
      <c r="F355" s="274"/>
      <c r="G355" s="274"/>
      <c r="H355" s="274"/>
      <c r="I355" s="274"/>
      <c r="J355" s="274"/>
      <c r="K355" s="274"/>
      <c r="L355" s="274"/>
      <c r="M355" s="274"/>
      <c r="N355" s="274"/>
      <c r="O355" s="274"/>
      <c r="P355" s="274"/>
      <c r="Q355" s="274"/>
      <c r="R355" s="316"/>
      <c r="W355" s="274"/>
      <c r="X355" s="274"/>
      <c r="Y355" s="274"/>
      <c r="Z355" s="274">
        <v>19.75</v>
      </c>
      <c r="AA355" s="309">
        <v>2757319.985</v>
      </c>
      <c r="AB355" s="309">
        <v>1989458.723</v>
      </c>
      <c r="AC355" s="309">
        <v>2245412.477</v>
      </c>
      <c r="AD355" s="274"/>
      <c r="AE355" s="274"/>
      <c r="AF355" s="274"/>
      <c r="AG355" s="274"/>
      <c r="AH355" s="274"/>
      <c r="AI355" s="274"/>
      <c r="AJ355" s="274"/>
      <c r="AK355" s="274"/>
      <c r="AL355" s="274"/>
      <c r="AM355" s="274"/>
      <c r="AN355" s="274"/>
      <c r="AO355" s="274"/>
      <c r="AP355" s="274"/>
      <c r="AQ355" s="274"/>
      <c r="AR355" s="274"/>
      <c r="AS355" s="274"/>
      <c r="AT355" s="274"/>
      <c r="AU355" s="274"/>
      <c r="AV355" s="274"/>
      <c r="AW355" s="274"/>
    </row>
    <row r="356" ht="15.75" customHeight="1">
      <c r="A356" s="274"/>
      <c r="B356" s="274"/>
      <c r="C356" s="274"/>
      <c r="D356" s="274"/>
      <c r="E356" s="274"/>
      <c r="F356" s="274"/>
      <c r="G356" s="274"/>
      <c r="H356" s="274"/>
      <c r="I356" s="274"/>
      <c r="J356" s="274"/>
      <c r="K356" s="274"/>
      <c r="L356" s="274"/>
      <c r="M356" s="274"/>
      <c r="N356" s="274"/>
      <c r="O356" s="274"/>
      <c r="P356" s="274"/>
      <c r="Q356" s="274"/>
      <c r="R356" s="316"/>
      <c r="W356" s="274"/>
      <c r="X356" s="274"/>
      <c r="Y356" s="274"/>
      <c r="Z356" s="274">
        <v>19.812</v>
      </c>
      <c r="AA356" s="309">
        <v>2757319.985</v>
      </c>
      <c r="AB356" s="309">
        <v>1989458.723</v>
      </c>
      <c r="AC356" s="309">
        <v>2245412.477</v>
      </c>
      <c r="AD356" s="274"/>
      <c r="AE356" s="274"/>
      <c r="AF356" s="274"/>
      <c r="AG356" s="274"/>
      <c r="AH356" s="274"/>
      <c r="AI356" s="274"/>
      <c r="AJ356" s="274"/>
      <c r="AK356" s="274"/>
      <c r="AL356" s="274"/>
      <c r="AM356" s="274"/>
      <c r="AN356" s="274"/>
      <c r="AO356" s="274"/>
      <c r="AP356" s="274"/>
      <c r="AQ356" s="274"/>
      <c r="AR356" s="274"/>
      <c r="AS356" s="274"/>
      <c r="AT356" s="274"/>
      <c r="AU356" s="274"/>
      <c r="AV356" s="274"/>
      <c r="AW356" s="274"/>
    </row>
    <row r="357" ht="15.75" customHeight="1">
      <c r="A357" s="274"/>
      <c r="B357" s="274"/>
      <c r="C357" s="274"/>
      <c r="D357" s="274"/>
      <c r="E357" s="274"/>
      <c r="F357" s="274"/>
      <c r="G357" s="274"/>
      <c r="H357" s="274"/>
      <c r="I357" s="274"/>
      <c r="J357" s="274"/>
      <c r="K357" s="274"/>
      <c r="L357" s="274"/>
      <c r="M357" s="274"/>
      <c r="N357" s="274"/>
      <c r="O357" s="274"/>
      <c r="P357" s="274"/>
      <c r="Q357" s="274"/>
      <c r="R357" s="316"/>
      <c r="W357" s="274"/>
      <c r="X357" s="274"/>
      <c r="Y357" s="274"/>
      <c r="Z357" s="274">
        <v>19.875</v>
      </c>
      <c r="AA357" s="309">
        <v>2757319.985</v>
      </c>
      <c r="AB357" s="309">
        <v>1989458.723</v>
      </c>
      <c r="AC357" s="309">
        <v>2291949.523</v>
      </c>
      <c r="AD357" s="274"/>
      <c r="AE357" s="274"/>
      <c r="AF357" s="274"/>
      <c r="AG357" s="274"/>
      <c r="AH357" s="274"/>
      <c r="AI357" s="274"/>
      <c r="AJ357" s="274"/>
      <c r="AK357" s="274"/>
      <c r="AL357" s="274"/>
      <c r="AM357" s="274"/>
      <c r="AN357" s="274"/>
      <c r="AO357" s="274"/>
      <c r="AP357" s="274"/>
      <c r="AQ357" s="274"/>
      <c r="AR357" s="274"/>
      <c r="AS357" s="274"/>
      <c r="AT357" s="274"/>
      <c r="AU357" s="274"/>
      <c r="AV357" s="274"/>
      <c r="AW357" s="274"/>
    </row>
    <row r="358" ht="15.75" customHeight="1">
      <c r="A358" s="274"/>
      <c r="B358" s="274"/>
      <c r="C358" s="274"/>
      <c r="D358" s="274"/>
      <c r="E358" s="274"/>
      <c r="F358" s="274"/>
      <c r="G358" s="274"/>
      <c r="H358" s="274"/>
      <c r="I358" s="274"/>
      <c r="J358" s="274"/>
      <c r="K358" s="274"/>
      <c r="L358" s="274"/>
      <c r="M358" s="274"/>
      <c r="N358" s="274"/>
      <c r="O358" s="274"/>
      <c r="P358" s="274"/>
      <c r="Q358" s="274"/>
      <c r="R358" s="316"/>
      <c r="W358" s="274"/>
      <c r="X358" s="274"/>
      <c r="Y358" s="274"/>
      <c r="Z358" s="274">
        <v>19.937</v>
      </c>
      <c r="AA358" s="309">
        <v>2757319.985</v>
      </c>
      <c r="AB358" s="309">
        <v>1989458.723</v>
      </c>
      <c r="AC358" s="309">
        <v>2291949.523</v>
      </c>
      <c r="AD358" s="274"/>
      <c r="AE358" s="274"/>
      <c r="AF358" s="274"/>
      <c r="AG358" s="274"/>
      <c r="AH358" s="274"/>
      <c r="AI358" s="274"/>
      <c r="AJ358" s="274"/>
      <c r="AK358" s="274"/>
      <c r="AL358" s="274"/>
      <c r="AM358" s="274"/>
      <c r="AN358" s="274"/>
      <c r="AO358" s="274"/>
      <c r="AP358" s="274"/>
      <c r="AQ358" s="274"/>
      <c r="AR358" s="274"/>
      <c r="AS358" s="274"/>
      <c r="AT358" s="274"/>
      <c r="AU358" s="274"/>
      <c r="AV358" s="274"/>
      <c r="AW358" s="274"/>
    </row>
    <row r="359" ht="15.75" customHeight="1">
      <c r="A359" s="274"/>
      <c r="B359" s="274"/>
      <c r="C359" s="274"/>
      <c r="D359" s="274"/>
      <c r="E359" s="274"/>
      <c r="F359" s="274"/>
      <c r="G359" s="274"/>
      <c r="H359" s="274"/>
      <c r="I359" s="274"/>
      <c r="J359" s="274"/>
      <c r="K359" s="274"/>
      <c r="L359" s="274"/>
      <c r="M359" s="274"/>
      <c r="N359" s="274"/>
      <c r="O359" s="274"/>
      <c r="P359" s="274"/>
      <c r="Q359" s="274"/>
      <c r="R359" s="316"/>
      <c r="W359" s="274"/>
      <c r="X359" s="274"/>
      <c r="Y359" s="274"/>
      <c r="Z359" s="274">
        <v>20.0</v>
      </c>
      <c r="AA359" s="309">
        <v>2757319.985</v>
      </c>
      <c r="AB359" s="309">
        <v>2198875.431</v>
      </c>
      <c r="AC359" s="309">
        <v>2291949.523</v>
      </c>
      <c r="AD359" s="274"/>
      <c r="AE359" s="274"/>
      <c r="AF359" s="274"/>
      <c r="AG359" s="274"/>
      <c r="AH359" s="274"/>
      <c r="AI359" s="274"/>
      <c r="AJ359" s="274"/>
      <c r="AK359" s="274"/>
      <c r="AL359" s="274"/>
      <c r="AM359" s="274"/>
      <c r="AN359" s="274"/>
      <c r="AO359" s="274"/>
      <c r="AP359" s="274"/>
      <c r="AQ359" s="274"/>
      <c r="AR359" s="274"/>
      <c r="AS359" s="274"/>
      <c r="AT359" s="274"/>
      <c r="AU359" s="274"/>
      <c r="AV359" s="274"/>
      <c r="AW359" s="274"/>
    </row>
    <row r="360" ht="15.75" customHeight="1">
      <c r="A360" s="274"/>
      <c r="B360" s="274"/>
      <c r="C360" s="274"/>
      <c r="D360" s="274"/>
      <c r="E360" s="274"/>
      <c r="F360" s="274"/>
      <c r="G360" s="274"/>
      <c r="H360" s="274"/>
      <c r="I360" s="274"/>
      <c r="J360" s="274"/>
      <c r="K360" s="274"/>
      <c r="L360" s="274"/>
      <c r="M360" s="274"/>
      <c r="N360" s="274"/>
      <c r="O360" s="274"/>
      <c r="P360" s="274"/>
      <c r="Q360" s="274"/>
      <c r="R360" s="316"/>
      <c r="W360" s="274"/>
      <c r="X360" s="274"/>
      <c r="Y360" s="274"/>
      <c r="Z360" s="274">
        <v>20.062</v>
      </c>
      <c r="AA360" s="309">
        <v>2757319.985</v>
      </c>
      <c r="AB360" s="309">
        <v>2198875.431</v>
      </c>
      <c r="AC360" s="309">
        <v>2291949.523</v>
      </c>
      <c r="AD360" s="274"/>
      <c r="AE360" s="274"/>
      <c r="AF360" s="274"/>
      <c r="AG360" s="274"/>
      <c r="AH360" s="274"/>
      <c r="AI360" s="274"/>
      <c r="AJ360" s="274"/>
      <c r="AK360" s="274"/>
      <c r="AL360" s="274"/>
      <c r="AM360" s="274"/>
      <c r="AN360" s="274"/>
      <c r="AO360" s="274"/>
      <c r="AP360" s="274"/>
      <c r="AQ360" s="274"/>
      <c r="AR360" s="274"/>
      <c r="AS360" s="274"/>
      <c r="AT360" s="274"/>
      <c r="AU360" s="274"/>
      <c r="AV360" s="274"/>
      <c r="AW360" s="274"/>
    </row>
    <row r="361" ht="15.75" customHeight="1">
      <c r="A361" s="274"/>
      <c r="B361" s="274"/>
      <c r="C361" s="274"/>
      <c r="D361" s="274"/>
      <c r="E361" s="274"/>
      <c r="F361" s="274"/>
      <c r="G361" s="274"/>
      <c r="H361" s="274"/>
      <c r="I361" s="274"/>
      <c r="J361" s="274"/>
      <c r="K361" s="274"/>
      <c r="L361" s="274"/>
      <c r="M361" s="274"/>
      <c r="N361" s="274"/>
      <c r="O361" s="274"/>
      <c r="P361" s="274"/>
      <c r="Q361" s="274"/>
      <c r="R361" s="316"/>
      <c r="W361" s="274"/>
      <c r="X361" s="274"/>
      <c r="Y361" s="274"/>
      <c r="Z361" s="274">
        <v>20.125</v>
      </c>
      <c r="AA361" s="309">
        <v>2757319.985</v>
      </c>
      <c r="AB361" s="309">
        <v>2198875.431</v>
      </c>
      <c r="AC361" s="309">
        <v>2291949.523</v>
      </c>
      <c r="AD361" s="274"/>
      <c r="AE361" s="274"/>
      <c r="AF361" s="274"/>
      <c r="AG361" s="274"/>
      <c r="AH361" s="274"/>
      <c r="AI361" s="274"/>
      <c r="AJ361" s="274"/>
      <c r="AK361" s="274"/>
      <c r="AL361" s="274"/>
      <c r="AM361" s="274"/>
      <c r="AN361" s="274"/>
      <c r="AO361" s="274"/>
      <c r="AP361" s="274"/>
      <c r="AQ361" s="274"/>
      <c r="AR361" s="274"/>
      <c r="AS361" s="274"/>
      <c r="AT361" s="274"/>
      <c r="AU361" s="274"/>
      <c r="AV361" s="274"/>
      <c r="AW361" s="274"/>
    </row>
    <row r="362" ht="15.75" customHeight="1">
      <c r="A362" s="274"/>
      <c r="B362" s="274"/>
      <c r="C362" s="274"/>
      <c r="D362" s="274"/>
      <c r="E362" s="274"/>
      <c r="F362" s="274"/>
      <c r="G362" s="274"/>
      <c r="H362" s="274"/>
      <c r="I362" s="274"/>
      <c r="J362" s="274"/>
      <c r="K362" s="274"/>
      <c r="L362" s="274"/>
      <c r="M362" s="274"/>
      <c r="N362" s="274"/>
      <c r="O362" s="274"/>
      <c r="P362" s="274"/>
      <c r="Q362" s="274"/>
      <c r="R362" s="316"/>
      <c r="W362" s="274"/>
      <c r="X362" s="274"/>
      <c r="Y362" s="274"/>
      <c r="Z362" s="274">
        <v>20.187</v>
      </c>
      <c r="AA362" s="309">
        <v>2757319.985</v>
      </c>
      <c r="AB362" s="309">
        <v>2198875.431</v>
      </c>
      <c r="AC362" s="309">
        <v>2291949.523</v>
      </c>
      <c r="AD362" s="274"/>
      <c r="AE362" s="274"/>
      <c r="AF362" s="274"/>
      <c r="AG362" s="274"/>
      <c r="AH362" s="274"/>
      <c r="AI362" s="274"/>
      <c r="AJ362" s="274"/>
      <c r="AK362" s="274"/>
      <c r="AL362" s="274"/>
      <c r="AM362" s="274"/>
      <c r="AN362" s="274"/>
      <c r="AO362" s="274"/>
      <c r="AP362" s="274"/>
      <c r="AQ362" s="274"/>
      <c r="AR362" s="274"/>
      <c r="AS362" s="274"/>
      <c r="AT362" s="274"/>
      <c r="AU362" s="274"/>
      <c r="AV362" s="274"/>
      <c r="AW362" s="274"/>
    </row>
    <row r="363" ht="15.75" customHeight="1">
      <c r="A363" s="274"/>
      <c r="B363" s="274"/>
      <c r="C363" s="274"/>
      <c r="D363" s="274"/>
      <c r="E363" s="274"/>
      <c r="F363" s="274"/>
      <c r="G363" s="274"/>
      <c r="H363" s="274"/>
      <c r="I363" s="274"/>
      <c r="J363" s="274"/>
      <c r="K363" s="274"/>
      <c r="L363" s="274"/>
      <c r="M363" s="274"/>
      <c r="N363" s="274"/>
      <c r="O363" s="274"/>
      <c r="P363" s="274"/>
      <c r="Q363" s="274"/>
      <c r="R363" s="316"/>
      <c r="W363" s="274"/>
      <c r="X363" s="274"/>
      <c r="Y363" s="274"/>
      <c r="Z363" s="274">
        <v>20.25</v>
      </c>
      <c r="AA363" s="309">
        <v>2966736.692</v>
      </c>
      <c r="AB363" s="309">
        <v>2198875.431</v>
      </c>
      <c r="AC363" s="309">
        <v>2291949.523</v>
      </c>
      <c r="AD363" s="274"/>
      <c r="AE363" s="274"/>
      <c r="AF363" s="274"/>
      <c r="AG363" s="274"/>
      <c r="AH363" s="274"/>
      <c r="AI363" s="274"/>
      <c r="AJ363" s="274"/>
      <c r="AK363" s="274"/>
      <c r="AL363" s="274"/>
      <c r="AM363" s="274"/>
      <c r="AN363" s="274"/>
      <c r="AO363" s="274"/>
      <c r="AP363" s="274"/>
      <c r="AQ363" s="274"/>
      <c r="AR363" s="274"/>
      <c r="AS363" s="274"/>
      <c r="AT363" s="274"/>
      <c r="AU363" s="274"/>
      <c r="AV363" s="274"/>
      <c r="AW363" s="274"/>
    </row>
    <row r="364" ht="15.75" customHeight="1">
      <c r="A364" s="274"/>
      <c r="B364" s="274"/>
      <c r="C364" s="274"/>
      <c r="D364" s="274"/>
      <c r="E364" s="274"/>
      <c r="F364" s="274"/>
      <c r="G364" s="274"/>
      <c r="H364" s="274"/>
      <c r="I364" s="274"/>
      <c r="J364" s="274"/>
      <c r="K364" s="274"/>
      <c r="L364" s="274"/>
      <c r="M364" s="274"/>
      <c r="N364" s="274"/>
      <c r="O364" s="274"/>
      <c r="P364" s="274"/>
      <c r="Q364" s="274"/>
      <c r="R364" s="316"/>
      <c r="W364" s="274"/>
      <c r="X364" s="274"/>
      <c r="Y364" s="274"/>
      <c r="Z364" s="274">
        <v>20.312</v>
      </c>
      <c r="AA364" s="309">
        <v>2966736.692</v>
      </c>
      <c r="AB364" s="309">
        <v>2198875.431</v>
      </c>
      <c r="AC364" s="309">
        <v>2291949.523</v>
      </c>
      <c r="AD364" s="274"/>
      <c r="AE364" s="274"/>
      <c r="AF364" s="274"/>
      <c r="AG364" s="274"/>
      <c r="AH364" s="274"/>
      <c r="AI364" s="274"/>
      <c r="AJ364" s="274"/>
      <c r="AK364" s="274"/>
      <c r="AL364" s="274"/>
      <c r="AM364" s="274"/>
      <c r="AN364" s="274"/>
      <c r="AO364" s="274"/>
      <c r="AP364" s="274"/>
      <c r="AQ364" s="274"/>
      <c r="AR364" s="274"/>
      <c r="AS364" s="274"/>
      <c r="AT364" s="274"/>
      <c r="AU364" s="274"/>
      <c r="AV364" s="274"/>
      <c r="AW364" s="274"/>
    </row>
    <row r="365" ht="15.75" customHeight="1">
      <c r="A365" s="274"/>
      <c r="B365" s="274"/>
      <c r="C365" s="274"/>
      <c r="D365" s="274"/>
      <c r="E365" s="274"/>
      <c r="F365" s="274"/>
      <c r="G365" s="274"/>
      <c r="H365" s="274"/>
      <c r="I365" s="274"/>
      <c r="J365" s="274"/>
      <c r="K365" s="274"/>
      <c r="L365" s="274"/>
      <c r="M365" s="274"/>
      <c r="N365" s="274"/>
      <c r="O365" s="274"/>
      <c r="P365" s="274"/>
      <c r="Q365" s="274"/>
      <c r="R365" s="316"/>
      <c r="W365" s="274"/>
      <c r="X365" s="274"/>
      <c r="Y365" s="274"/>
      <c r="Z365" s="274">
        <v>20.375</v>
      </c>
      <c r="AA365" s="309">
        <v>2966736.692</v>
      </c>
      <c r="AB365" s="309">
        <v>2198875.431</v>
      </c>
      <c r="AC365" s="309">
        <v>2291949.523</v>
      </c>
      <c r="AD365" s="274"/>
      <c r="AE365" s="274"/>
      <c r="AF365" s="274"/>
      <c r="AG365" s="274"/>
      <c r="AH365" s="274"/>
      <c r="AI365" s="274"/>
      <c r="AJ365" s="274"/>
      <c r="AK365" s="274"/>
      <c r="AL365" s="274"/>
      <c r="AM365" s="274"/>
      <c r="AN365" s="274"/>
      <c r="AO365" s="274"/>
      <c r="AP365" s="274"/>
      <c r="AQ365" s="274"/>
      <c r="AR365" s="274"/>
      <c r="AS365" s="274"/>
      <c r="AT365" s="274"/>
      <c r="AU365" s="274"/>
      <c r="AV365" s="274"/>
      <c r="AW365" s="274"/>
    </row>
    <row r="366" ht="15.75" customHeight="1">
      <c r="A366" s="274"/>
      <c r="B366" s="274"/>
      <c r="C366" s="274"/>
      <c r="D366" s="274"/>
      <c r="E366" s="274"/>
      <c r="F366" s="274"/>
      <c r="G366" s="274"/>
      <c r="H366" s="274"/>
      <c r="I366" s="274"/>
      <c r="J366" s="274"/>
      <c r="K366" s="274"/>
      <c r="L366" s="274"/>
      <c r="M366" s="274"/>
      <c r="N366" s="274"/>
      <c r="O366" s="274"/>
      <c r="P366" s="274"/>
      <c r="Q366" s="274"/>
      <c r="R366" s="316"/>
      <c r="W366" s="274"/>
      <c r="X366" s="274"/>
      <c r="Y366" s="274"/>
      <c r="Z366" s="274">
        <v>20.437</v>
      </c>
      <c r="AA366" s="309">
        <v>2966736.692</v>
      </c>
      <c r="AB366" s="309">
        <v>2198875.431</v>
      </c>
      <c r="AC366" s="309">
        <v>2291949.523</v>
      </c>
      <c r="AD366" s="274"/>
      <c r="AE366" s="274"/>
      <c r="AF366" s="274"/>
      <c r="AG366" s="274"/>
      <c r="AH366" s="274"/>
      <c r="AI366" s="274"/>
      <c r="AJ366" s="274"/>
      <c r="AK366" s="274"/>
      <c r="AL366" s="274"/>
      <c r="AM366" s="274"/>
      <c r="AN366" s="274"/>
      <c r="AO366" s="274"/>
      <c r="AP366" s="274"/>
      <c r="AQ366" s="274"/>
      <c r="AR366" s="274"/>
      <c r="AS366" s="274"/>
      <c r="AT366" s="274"/>
      <c r="AU366" s="274"/>
      <c r="AV366" s="274"/>
      <c r="AW366" s="274"/>
    </row>
    <row r="367" ht="15.75" customHeight="1">
      <c r="A367" s="274"/>
      <c r="B367" s="274"/>
      <c r="C367" s="274"/>
      <c r="D367" s="274"/>
      <c r="E367" s="274"/>
      <c r="F367" s="274"/>
      <c r="G367" s="274"/>
      <c r="H367" s="274"/>
      <c r="I367" s="274"/>
      <c r="J367" s="274"/>
      <c r="K367" s="274"/>
      <c r="L367" s="274"/>
      <c r="M367" s="274"/>
      <c r="N367" s="274"/>
      <c r="O367" s="274"/>
      <c r="P367" s="274"/>
      <c r="Q367" s="274"/>
      <c r="R367" s="316"/>
      <c r="W367" s="274"/>
      <c r="X367" s="274"/>
      <c r="Y367" s="274"/>
      <c r="Z367" s="274">
        <v>20.5</v>
      </c>
      <c r="AA367" s="309">
        <v>2966736.692</v>
      </c>
      <c r="AB367" s="309">
        <v>2198875.431</v>
      </c>
      <c r="AC367" s="309">
        <v>2291949.523</v>
      </c>
      <c r="AD367" s="274"/>
      <c r="AE367" s="274"/>
      <c r="AF367" s="274"/>
      <c r="AG367" s="274"/>
      <c r="AH367" s="274"/>
      <c r="AI367" s="274"/>
      <c r="AJ367" s="274"/>
      <c r="AK367" s="274"/>
      <c r="AL367" s="274"/>
      <c r="AM367" s="274"/>
      <c r="AN367" s="274"/>
      <c r="AO367" s="274"/>
      <c r="AP367" s="274"/>
      <c r="AQ367" s="274"/>
      <c r="AR367" s="274"/>
      <c r="AS367" s="274"/>
      <c r="AT367" s="274"/>
      <c r="AU367" s="274"/>
      <c r="AV367" s="274"/>
      <c r="AW367" s="274"/>
    </row>
    <row r="368" ht="15.75" customHeight="1">
      <c r="A368" s="274"/>
      <c r="B368" s="274"/>
      <c r="C368" s="274"/>
      <c r="D368" s="274"/>
      <c r="E368" s="274"/>
      <c r="F368" s="274"/>
      <c r="G368" s="274"/>
      <c r="H368" s="274"/>
      <c r="I368" s="274"/>
      <c r="J368" s="274"/>
      <c r="K368" s="274"/>
      <c r="L368" s="274"/>
      <c r="M368" s="274"/>
      <c r="N368" s="274"/>
      <c r="O368" s="274"/>
      <c r="P368" s="274"/>
      <c r="Q368" s="274"/>
      <c r="R368" s="316"/>
      <c r="W368" s="274"/>
      <c r="X368" s="274"/>
      <c r="Y368" s="274"/>
      <c r="Z368" s="274">
        <v>20.562</v>
      </c>
      <c r="AA368" s="309">
        <v>2966736.692</v>
      </c>
      <c r="AB368" s="309">
        <v>2198875.431</v>
      </c>
      <c r="AC368" s="309">
        <v>2291949.523</v>
      </c>
      <c r="AD368" s="274"/>
      <c r="AE368" s="274"/>
      <c r="AF368" s="274"/>
      <c r="AG368" s="274"/>
      <c r="AH368" s="274"/>
      <c r="AI368" s="274"/>
      <c r="AJ368" s="274"/>
      <c r="AK368" s="274"/>
      <c r="AL368" s="274"/>
      <c r="AM368" s="274"/>
      <c r="AN368" s="274"/>
      <c r="AO368" s="274"/>
      <c r="AP368" s="274"/>
      <c r="AQ368" s="274"/>
      <c r="AR368" s="274"/>
      <c r="AS368" s="274"/>
      <c r="AT368" s="274"/>
      <c r="AU368" s="274"/>
      <c r="AV368" s="274"/>
      <c r="AW368" s="274"/>
    </row>
    <row r="369" ht="15.75" customHeight="1">
      <c r="A369" s="274"/>
      <c r="B369" s="274"/>
      <c r="C369" s="274"/>
      <c r="D369" s="274"/>
      <c r="E369" s="274"/>
      <c r="F369" s="274"/>
      <c r="G369" s="274"/>
      <c r="H369" s="274"/>
      <c r="I369" s="274"/>
      <c r="J369" s="274"/>
      <c r="K369" s="274"/>
      <c r="L369" s="274"/>
      <c r="M369" s="274"/>
      <c r="N369" s="274"/>
      <c r="O369" s="274"/>
      <c r="P369" s="274"/>
      <c r="Q369" s="274"/>
      <c r="R369" s="316"/>
      <c r="W369" s="274"/>
      <c r="X369" s="274"/>
      <c r="Y369" s="274"/>
      <c r="Z369" s="274">
        <v>20.625</v>
      </c>
      <c r="AA369" s="309">
        <v>2966736.692</v>
      </c>
      <c r="AB369" s="309">
        <v>2198875.431</v>
      </c>
      <c r="AC369" s="309">
        <v>2291949.523</v>
      </c>
      <c r="AD369" s="274"/>
      <c r="AE369" s="274"/>
      <c r="AF369" s="274"/>
      <c r="AG369" s="274"/>
      <c r="AH369" s="274"/>
      <c r="AI369" s="274"/>
      <c r="AJ369" s="274"/>
      <c r="AK369" s="274"/>
      <c r="AL369" s="274"/>
      <c r="AM369" s="274"/>
      <c r="AN369" s="274"/>
      <c r="AO369" s="274"/>
      <c r="AP369" s="274"/>
      <c r="AQ369" s="274"/>
      <c r="AR369" s="274"/>
      <c r="AS369" s="274"/>
      <c r="AT369" s="274"/>
      <c r="AU369" s="274"/>
      <c r="AV369" s="274"/>
      <c r="AW369" s="274"/>
    </row>
    <row r="370" ht="15.75" customHeight="1">
      <c r="A370" s="274"/>
      <c r="B370" s="274"/>
      <c r="C370" s="274"/>
      <c r="D370" s="274"/>
      <c r="E370" s="274"/>
      <c r="F370" s="274"/>
      <c r="G370" s="274"/>
      <c r="H370" s="274"/>
      <c r="I370" s="274"/>
      <c r="J370" s="274"/>
      <c r="K370" s="274"/>
      <c r="L370" s="274"/>
      <c r="M370" s="274"/>
      <c r="N370" s="274"/>
      <c r="O370" s="274"/>
      <c r="P370" s="274"/>
      <c r="Q370" s="274"/>
      <c r="R370" s="316"/>
      <c r="W370" s="274"/>
      <c r="X370" s="274"/>
      <c r="Y370" s="274"/>
      <c r="Z370" s="274">
        <v>20.687</v>
      </c>
      <c r="AA370" s="309">
        <v>2966736.692</v>
      </c>
      <c r="AB370" s="309">
        <v>2198875.431</v>
      </c>
      <c r="AC370" s="309">
        <v>2350120.831</v>
      </c>
      <c r="AD370" s="274"/>
      <c r="AE370" s="274"/>
      <c r="AF370" s="274"/>
      <c r="AG370" s="274"/>
      <c r="AH370" s="274"/>
      <c r="AI370" s="274"/>
      <c r="AJ370" s="274"/>
      <c r="AK370" s="274"/>
      <c r="AL370" s="274"/>
      <c r="AM370" s="274"/>
      <c r="AN370" s="274"/>
      <c r="AO370" s="274"/>
      <c r="AP370" s="274"/>
      <c r="AQ370" s="274"/>
      <c r="AR370" s="274"/>
      <c r="AS370" s="274"/>
      <c r="AT370" s="274"/>
      <c r="AU370" s="274"/>
      <c r="AV370" s="274"/>
      <c r="AW370" s="274"/>
    </row>
    <row r="371" ht="15.75" customHeight="1">
      <c r="A371" s="274"/>
      <c r="B371" s="274"/>
      <c r="C371" s="274"/>
      <c r="D371" s="274"/>
      <c r="E371" s="274"/>
      <c r="F371" s="274"/>
      <c r="G371" s="274"/>
      <c r="H371" s="274"/>
      <c r="I371" s="274"/>
      <c r="J371" s="274"/>
      <c r="K371" s="274"/>
      <c r="L371" s="274"/>
      <c r="M371" s="274"/>
      <c r="N371" s="274"/>
      <c r="O371" s="274"/>
      <c r="P371" s="274"/>
      <c r="Q371" s="274"/>
      <c r="R371" s="316"/>
      <c r="W371" s="274"/>
      <c r="X371" s="274"/>
      <c r="Y371" s="274"/>
      <c r="Z371" s="274">
        <v>20.75</v>
      </c>
      <c r="AA371" s="309">
        <v>2966736.692</v>
      </c>
      <c r="AB371" s="309">
        <v>2198875.431</v>
      </c>
      <c r="AC371" s="309">
        <v>2350120.831</v>
      </c>
      <c r="AD371" s="274"/>
      <c r="AE371" s="274"/>
      <c r="AF371" s="274"/>
      <c r="AG371" s="274"/>
      <c r="AH371" s="274"/>
      <c r="AI371" s="274"/>
      <c r="AJ371" s="274"/>
      <c r="AK371" s="274"/>
      <c r="AL371" s="274"/>
      <c r="AM371" s="274"/>
      <c r="AN371" s="274"/>
      <c r="AO371" s="274"/>
      <c r="AP371" s="274"/>
      <c r="AQ371" s="274"/>
      <c r="AR371" s="274"/>
      <c r="AS371" s="274"/>
      <c r="AT371" s="274"/>
      <c r="AU371" s="274"/>
      <c r="AV371" s="274"/>
      <c r="AW371" s="274"/>
    </row>
    <row r="372" ht="15.75" customHeight="1">
      <c r="A372" s="274"/>
      <c r="B372" s="274"/>
      <c r="C372" s="274"/>
      <c r="D372" s="274"/>
      <c r="E372" s="274"/>
      <c r="F372" s="274"/>
      <c r="G372" s="274"/>
      <c r="H372" s="274"/>
      <c r="I372" s="274"/>
      <c r="J372" s="274"/>
      <c r="K372" s="274"/>
      <c r="L372" s="274"/>
      <c r="M372" s="274"/>
      <c r="N372" s="274"/>
      <c r="O372" s="274"/>
      <c r="P372" s="274"/>
      <c r="Q372" s="274"/>
      <c r="R372" s="316"/>
      <c r="W372" s="274"/>
      <c r="X372" s="274"/>
      <c r="Y372" s="274"/>
      <c r="Z372" s="274">
        <v>20.812</v>
      </c>
      <c r="AA372" s="309">
        <v>2966736.692</v>
      </c>
      <c r="AB372" s="309">
        <v>2198875.431</v>
      </c>
      <c r="AC372" s="309">
        <v>2350120.831</v>
      </c>
      <c r="AD372" s="274"/>
      <c r="AE372" s="274"/>
      <c r="AF372" s="274"/>
      <c r="AG372" s="274"/>
      <c r="AH372" s="274"/>
      <c r="AI372" s="274"/>
      <c r="AJ372" s="274"/>
      <c r="AK372" s="274"/>
      <c r="AL372" s="274"/>
      <c r="AM372" s="274"/>
      <c r="AN372" s="274"/>
      <c r="AO372" s="274"/>
      <c r="AP372" s="274"/>
      <c r="AQ372" s="274"/>
      <c r="AR372" s="274"/>
      <c r="AS372" s="274"/>
      <c r="AT372" s="274"/>
      <c r="AU372" s="274"/>
      <c r="AV372" s="274"/>
      <c r="AW372" s="274"/>
    </row>
    <row r="373" ht="15.75" customHeight="1">
      <c r="A373" s="274"/>
      <c r="B373" s="274"/>
      <c r="C373" s="274"/>
      <c r="D373" s="274"/>
      <c r="E373" s="274"/>
      <c r="F373" s="274"/>
      <c r="G373" s="274"/>
      <c r="H373" s="274"/>
      <c r="I373" s="274"/>
      <c r="J373" s="274"/>
      <c r="K373" s="274"/>
      <c r="L373" s="274"/>
      <c r="M373" s="274"/>
      <c r="N373" s="274"/>
      <c r="O373" s="274"/>
      <c r="P373" s="274"/>
      <c r="Q373" s="274"/>
      <c r="R373" s="316"/>
      <c r="W373" s="274"/>
      <c r="X373" s="274"/>
      <c r="Y373" s="274"/>
      <c r="Z373" s="274">
        <v>20.875</v>
      </c>
      <c r="AA373" s="309">
        <v>2966736.692</v>
      </c>
      <c r="AB373" s="309">
        <v>2198875.431</v>
      </c>
      <c r="AC373" s="309">
        <v>2396657.877</v>
      </c>
      <c r="AD373" s="274"/>
      <c r="AE373" s="274"/>
      <c r="AF373" s="274"/>
      <c r="AG373" s="274"/>
      <c r="AH373" s="274"/>
      <c r="AI373" s="274"/>
      <c r="AJ373" s="274"/>
      <c r="AK373" s="274"/>
      <c r="AL373" s="274"/>
      <c r="AM373" s="274"/>
      <c r="AN373" s="274"/>
      <c r="AO373" s="274"/>
      <c r="AP373" s="274"/>
      <c r="AQ373" s="274"/>
      <c r="AR373" s="274"/>
      <c r="AS373" s="274"/>
      <c r="AT373" s="274"/>
      <c r="AU373" s="274"/>
      <c r="AV373" s="274"/>
      <c r="AW373" s="274"/>
    </row>
    <row r="374" ht="15.75" customHeight="1">
      <c r="A374" s="274"/>
      <c r="B374" s="274"/>
      <c r="C374" s="274"/>
      <c r="D374" s="274"/>
      <c r="E374" s="274"/>
      <c r="F374" s="274"/>
      <c r="G374" s="274"/>
      <c r="H374" s="274"/>
      <c r="I374" s="274"/>
      <c r="J374" s="274"/>
      <c r="K374" s="274"/>
      <c r="L374" s="274"/>
      <c r="M374" s="274"/>
      <c r="N374" s="274"/>
      <c r="O374" s="274"/>
      <c r="P374" s="274"/>
      <c r="Q374" s="274"/>
      <c r="R374" s="316"/>
      <c r="W374" s="274"/>
      <c r="X374" s="274"/>
      <c r="Y374" s="274"/>
      <c r="Z374" s="274">
        <v>20.937</v>
      </c>
      <c r="AA374" s="309">
        <v>2966736.692</v>
      </c>
      <c r="AB374" s="309">
        <v>2198875.431</v>
      </c>
      <c r="AC374" s="309">
        <v>2396657.877</v>
      </c>
      <c r="AD374" s="274"/>
      <c r="AE374" s="274"/>
      <c r="AF374" s="274"/>
      <c r="AG374" s="274"/>
      <c r="AH374" s="274"/>
      <c r="AI374" s="274"/>
      <c r="AJ374" s="274"/>
      <c r="AK374" s="274"/>
      <c r="AL374" s="274"/>
      <c r="AM374" s="274"/>
      <c r="AN374" s="274"/>
      <c r="AO374" s="274"/>
      <c r="AP374" s="274"/>
      <c r="AQ374" s="274"/>
      <c r="AR374" s="274"/>
      <c r="AS374" s="274"/>
      <c r="AT374" s="274"/>
      <c r="AU374" s="274"/>
      <c r="AV374" s="274"/>
      <c r="AW374" s="274"/>
    </row>
    <row r="375" ht="15.75" customHeight="1">
      <c r="A375" s="274"/>
      <c r="B375" s="274"/>
      <c r="C375" s="274"/>
      <c r="D375" s="274"/>
      <c r="E375" s="274"/>
      <c r="F375" s="274"/>
      <c r="G375" s="274"/>
      <c r="H375" s="274"/>
      <c r="I375" s="274"/>
      <c r="J375" s="274"/>
      <c r="K375" s="274"/>
      <c r="L375" s="274"/>
      <c r="M375" s="274"/>
      <c r="N375" s="274"/>
      <c r="O375" s="274"/>
      <c r="P375" s="274"/>
      <c r="Q375" s="274"/>
      <c r="R375" s="316"/>
      <c r="W375" s="274"/>
      <c r="X375" s="274"/>
      <c r="Y375" s="274"/>
      <c r="Z375" s="274">
        <v>21.0</v>
      </c>
      <c r="AA375" s="309">
        <v>2966736.692</v>
      </c>
      <c r="AB375" s="309">
        <v>2303583.785</v>
      </c>
      <c r="AC375" s="309">
        <v>2396657.877</v>
      </c>
      <c r="AD375" s="274"/>
      <c r="AE375" s="274"/>
      <c r="AF375" s="274"/>
      <c r="AG375" s="274"/>
      <c r="AH375" s="274"/>
      <c r="AI375" s="274"/>
      <c r="AJ375" s="274"/>
      <c r="AK375" s="274"/>
      <c r="AL375" s="274"/>
      <c r="AM375" s="274"/>
      <c r="AN375" s="274"/>
      <c r="AO375" s="274"/>
      <c r="AP375" s="274"/>
      <c r="AQ375" s="274"/>
      <c r="AR375" s="274"/>
      <c r="AS375" s="274"/>
      <c r="AT375" s="274"/>
      <c r="AU375" s="274"/>
      <c r="AV375" s="274"/>
      <c r="AW375" s="274"/>
    </row>
    <row r="376" ht="15.75" customHeight="1">
      <c r="A376" s="274"/>
      <c r="B376" s="274"/>
      <c r="C376" s="274"/>
      <c r="D376" s="274"/>
      <c r="E376" s="274"/>
      <c r="F376" s="274"/>
      <c r="G376" s="274"/>
      <c r="H376" s="274"/>
      <c r="I376" s="274"/>
      <c r="J376" s="274"/>
      <c r="K376" s="274"/>
      <c r="L376" s="274"/>
      <c r="M376" s="274"/>
      <c r="N376" s="274"/>
      <c r="O376" s="274"/>
      <c r="P376" s="274"/>
      <c r="Q376" s="274"/>
      <c r="R376" s="316"/>
      <c r="W376" s="274"/>
      <c r="X376" s="274"/>
      <c r="Y376" s="274"/>
      <c r="Z376" s="274">
        <v>21.062</v>
      </c>
      <c r="AA376" s="309">
        <v>2966736.692</v>
      </c>
      <c r="AB376" s="309">
        <v>2303583.785</v>
      </c>
      <c r="AC376" s="309">
        <v>2396657.877</v>
      </c>
      <c r="AD376" s="274"/>
      <c r="AE376" s="274"/>
      <c r="AF376" s="274"/>
      <c r="AG376" s="274"/>
      <c r="AH376" s="274"/>
      <c r="AI376" s="274"/>
      <c r="AJ376" s="274"/>
      <c r="AK376" s="274"/>
      <c r="AL376" s="274"/>
      <c r="AM376" s="274"/>
      <c r="AN376" s="274"/>
      <c r="AO376" s="274"/>
      <c r="AP376" s="274"/>
      <c r="AQ376" s="274"/>
      <c r="AR376" s="274"/>
      <c r="AS376" s="274"/>
      <c r="AT376" s="274"/>
      <c r="AU376" s="274"/>
      <c r="AV376" s="274"/>
      <c r="AW376" s="274"/>
    </row>
    <row r="377" ht="15.75" customHeight="1">
      <c r="A377" s="274"/>
      <c r="B377" s="274"/>
      <c r="C377" s="274"/>
      <c r="D377" s="274"/>
      <c r="E377" s="274"/>
      <c r="F377" s="274"/>
      <c r="G377" s="274"/>
      <c r="H377" s="274"/>
      <c r="I377" s="274"/>
      <c r="J377" s="274"/>
      <c r="K377" s="274"/>
      <c r="L377" s="274"/>
      <c r="M377" s="274"/>
      <c r="N377" s="274"/>
      <c r="O377" s="274"/>
      <c r="P377" s="274"/>
      <c r="Q377" s="274"/>
      <c r="R377" s="316"/>
      <c r="W377" s="274"/>
      <c r="X377" s="274"/>
      <c r="Y377" s="274"/>
      <c r="Z377" s="274">
        <v>21.125</v>
      </c>
      <c r="AA377" s="309">
        <v>2966736.692</v>
      </c>
      <c r="AB377" s="309">
        <v>2350120.831</v>
      </c>
      <c r="AC377" s="309">
        <v>2443194.923</v>
      </c>
      <c r="AD377" s="274"/>
      <c r="AE377" s="274"/>
      <c r="AF377" s="274"/>
      <c r="AG377" s="274"/>
      <c r="AH377" s="274"/>
      <c r="AI377" s="274"/>
      <c r="AJ377" s="274"/>
      <c r="AK377" s="274"/>
      <c r="AL377" s="274"/>
      <c r="AM377" s="274"/>
      <c r="AN377" s="274"/>
      <c r="AO377" s="274"/>
      <c r="AP377" s="274"/>
      <c r="AQ377" s="274"/>
      <c r="AR377" s="274"/>
      <c r="AS377" s="274"/>
      <c r="AT377" s="274"/>
      <c r="AU377" s="274"/>
      <c r="AV377" s="274"/>
      <c r="AW377" s="274"/>
    </row>
    <row r="378" ht="15.75" customHeight="1">
      <c r="A378" s="274"/>
      <c r="B378" s="274"/>
      <c r="C378" s="274"/>
      <c r="D378" s="274"/>
      <c r="E378" s="274"/>
      <c r="F378" s="274"/>
      <c r="G378" s="274"/>
      <c r="H378" s="274"/>
      <c r="I378" s="274"/>
      <c r="J378" s="274"/>
      <c r="K378" s="274"/>
      <c r="L378" s="274"/>
      <c r="M378" s="274"/>
      <c r="N378" s="274"/>
      <c r="O378" s="274"/>
      <c r="P378" s="274"/>
      <c r="Q378" s="274"/>
      <c r="R378" s="316"/>
      <c r="W378" s="274"/>
      <c r="X378" s="274"/>
      <c r="Y378" s="274"/>
      <c r="Z378" s="274">
        <v>21.187</v>
      </c>
      <c r="AA378" s="309">
        <v>2966736.692</v>
      </c>
      <c r="AB378" s="309">
        <v>2350120.831</v>
      </c>
      <c r="AC378" s="309">
        <v>2443194.923</v>
      </c>
      <c r="AD378" s="274"/>
      <c r="AE378" s="274"/>
      <c r="AF378" s="274"/>
      <c r="AG378" s="274"/>
      <c r="AH378" s="274"/>
      <c r="AI378" s="274"/>
      <c r="AJ378" s="274"/>
      <c r="AK378" s="274"/>
      <c r="AL378" s="274"/>
      <c r="AM378" s="274"/>
      <c r="AN378" s="274"/>
      <c r="AO378" s="274"/>
      <c r="AP378" s="274"/>
      <c r="AQ378" s="274"/>
      <c r="AR378" s="274"/>
      <c r="AS378" s="274"/>
      <c r="AT378" s="274"/>
      <c r="AU378" s="274"/>
      <c r="AV378" s="274"/>
      <c r="AW378" s="274"/>
    </row>
    <row r="379" ht="15.75" customHeight="1">
      <c r="A379" s="274"/>
      <c r="B379" s="274"/>
      <c r="C379" s="274"/>
      <c r="D379" s="274"/>
      <c r="E379" s="274"/>
      <c r="F379" s="274"/>
      <c r="G379" s="274"/>
      <c r="H379" s="274"/>
      <c r="I379" s="274"/>
      <c r="J379" s="274"/>
      <c r="K379" s="274"/>
      <c r="L379" s="274"/>
      <c r="M379" s="274"/>
      <c r="N379" s="274"/>
      <c r="O379" s="274"/>
      <c r="P379" s="274"/>
      <c r="Q379" s="274"/>
      <c r="R379" s="316"/>
      <c r="W379" s="274"/>
      <c r="X379" s="274"/>
      <c r="Y379" s="274"/>
      <c r="Z379" s="274">
        <v>21.25</v>
      </c>
      <c r="AA379" s="309">
        <v>2966736.692</v>
      </c>
      <c r="AB379" s="309">
        <v>2350120.831</v>
      </c>
      <c r="AC379" s="309">
        <v>2443194.923</v>
      </c>
      <c r="AD379" s="274"/>
      <c r="AE379" s="274"/>
      <c r="AF379" s="274"/>
      <c r="AG379" s="274"/>
      <c r="AH379" s="274"/>
      <c r="AI379" s="274"/>
      <c r="AJ379" s="274"/>
      <c r="AK379" s="274"/>
      <c r="AL379" s="274"/>
      <c r="AM379" s="274"/>
      <c r="AN379" s="274"/>
      <c r="AO379" s="274"/>
      <c r="AP379" s="274"/>
      <c r="AQ379" s="274"/>
      <c r="AR379" s="274"/>
      <c r="AS379" s="274"/>
      <c r="AT379" s="274"/>
      <c r="AU379" s="274"/>
      <c r="AV379" s="274"/>
      <c r="AW379" s="274"/>
    </row>
    <row r="380" ht="15.75" customHeight="1">
      <c r="A380" s="274"/>
      <c r="B380" s="274"/>
      <c r="C380" s="274"/>
      <c r="D380" s="274"/>
      <c r="E380" s="274"/>
      <c r="F380" s="274"/>
      <c r="G380" s="274"/>
      <c r="H380" s="274"/>
      <c r="I380" s="274"/>
      <c r="J380" s="274"/>
      <c r="K380" s="274"/>
      <c r="L380" s="274"/>
      <c r="M380" s="274"/>
      <c r="N380" s="274"/>
      <c r="O380" s="274"/>
      <c r="P380" s="274"/>
      <c r="Q380" s="274"/>
      <c r="R380" s="316"/>
      <c r="W380" s="274"/>
      <c r="X380" s="274"/>
      <c r="Y380" s="274"/>
      <c r="Z380" s="274">
        <v>21.312</v>
      </c>
      <c r="AA380" s="309">
        <v>2966736.692</v>
      </c>
      <c r="AB380" s="309">
        <v>2350120.831</v>
      </c>
      <c r="AC380" s="309">
        <v>2443194.923</v>
      </c>
      <c r="AD380" s="274"/>
      <c r="AE380" s="274"/>
      <c r="AF380" s="274"/>
      <c r="AG380" s="274"/>
      <c r="AH380" s="274"/>
      <c r="AI380" s="274"/>
      <c r="AJ380" s="274"/>
      <c r="AK380" s="274"/>
      <c r="AL380" s="274"/>
      <c r="AM380" s="274"/>
      <c r="AN380" s="274"/>
      <c r="AO380" s="274"/>
      <c r="AP380" s="274"/>
      <c r="AQ380" s="274"/>
      <c r="AR380" s="274"/>
      <c r="AS380" s="274"/>
      <c r="AT380" s="274"/>
      <c r="AU380" s="274"/>
      <c r="AV380" s="274"/>
      <c r="AW380" s="274"/>
    </row>
    <row r="381" ht="15.75" customHeight="1">
      <c r="A381" s="274"/>
      <c r="B381" s="274"/>
      <c r="C381" s="274"/>
      <c r="D381" s="274"/>
      <c r="E381" s="274"/>
      <c r="F381" s="274"/>
      <c r="G381" s="274"/>
      <c r="H381" s="274"/>
      <c r="I381" s="274"/>
      <c r="J381" s="274"/>
      <c r="K381" s="274"/>
      <c r="L381" s="274"/>
      <c r="M381" s="274"/>
      <c r="N381" s="274"/>
      <c r="O381" s="274"/>
      <c r="P381" s="274"/>
      <c r="Q381" s="274"/>
      <c r="R381" s="316"/>
      <c r="W381" s="274"/>
      <c r="X381" s="274"/>
      <c r="Y381" s="274"/>
      <c r="Z381" s="274">
        <v>21.375</v>
      </c>
      <c r="AA381" s="309">
        <v>2966736.692</v>
      </c>
      <c r="AB381" s="309">
        <v>2350120.831</v>
      </c>
      <c r="AC381" s="309">
        <v>2443194.923</v>
      </c>
      <c r="AD381" s="274"/>
      <c r="AE381" s="274"/>
      <c r="AF381" s="274"/>
      <c r="AG381" s="274"/>
      <c r="AH381" s="274"/>
      <c r="AI381" s="274"/>
      <c r="AJ381" s="274"/>
      <c r="AK381" s="274"/>
      <c r="AL381" s="274"/>
      <c r="AM381" s="274"/>
      <c r="AN381" s="274"/>
      <c r="AO381" s="274"/>
      <c r="AP381" s="274"/>
      <c r="AQ381" s="274"/>
      <c r="AR381" s="274"/>
      <c r="AS381" s="274"/>
      <c r="AT381" s="274"/>
      <c r="AU381" s="274"/>
      <c r="AV381" s="274"/>
      <c r="AW381" s="274"/>
    </row>
    <row r="382" ht="15.75" customHeight="1">
      <c r="A382" s="274"/>
      <c r="B382" s="274"/>
      <c r="C382" s="274"/>
      <c r="D382" s="274"/>
      <c r="E382" s="274"/>
      <c r="F382" s="274"/>
      <c r="G382" s="274"/>
      <c r="H382" s="274"/>
      <c r="I382" s="274"/>
      <c r="J382" s="274"/>
      <c r="K382" s="274"/>
      <c r="L382" s="274"/>
      <c r="M382" s="274"/>
      <c r="N382" s="274"/>
      <c r="O382" s="274"/>
      <c r="P382" s="274"/>
      <c r="Q382" s="274"/>
      <c r="R382" s="316"/>
      <c r="W382" s="274"/>
      <c r="X382" s="274"/>
      <c r="Y382" s="274"/>
      <c r="Z382" s="274">
        <v>21.437</v>
      </c>
      <c r="AA382" s="309">
        <v>2966736.692</v>
      </c>
      <c r="AB382" s="309">
        <v>2350120.831</v>
      </c>
      <c r="AC382" s="309">
        <v>2443194.923</v>
      </c>
      <c r="AD382" s="274"/>
      <c r="AE382" s="274"/>
      <c r="AF382" s="274"/>
      <c r="AG382" s="274"/>
      <c r="AH382" s="274"/>
      <c r="AI382" s="274"/>
      <c r="AJ382" s="274"/>
      <c r="AK382" s="274"/>
      <c r="AL382" s="274"/>
      <c r="AM382" s="274"/>
      <c r="AN382" s="274"/>
      <c r="AO382" s="274"/>
      <c r="AP382" s="274"/>
      <c r="AQ382" s="274"/>
      <c r="AR382" s="274"/>
      <c r="AS382" s="274"/>
      <c r="AT382" s="274"/>
      <c r="AU382" s="274"/>
      <c r="AV382" s="274"/>
      <c r="AW382" s="274"/>
    </row>
    <row r="383" ht="15.75" customHeight="1">
      <c r="A383" s="274"/>
      <c r="B383" s="274"/>
      <c r="C383" s="274"/>
      <c r="D383" s="274"/>
      <c r="E383" s="274"/>
      <c r="F383" s="274"/>
      <c r="G383" s="274"/>
      <c r="H383" s="274"/>
      <c r="I383" s="274"/>
      <c r="J383" s="274"/>
      <c r="K383" s="274"/>
      <c r="L383" s="274"/>
      <c r="M383" s="274"/>
      <c r="N383" s="274"/>
      <c r="O383" s="274"/>
      <c r="P383" s="274"/>
      <c r="Q383" s="274"/>
      <c r="R383" s="316"/>
      <c r="W383" s="274"/>
      <c r="X383" s="274"/>
      <c r="Y383" s="274"/>
      <c r="Z383" s="274">
        <v>21.5</v>
      </c>
      <c r="AA383" s="309">
        <v>2966736.692</v>
      </c>
      <c r="AB383" s="309">
        <v>2350120.831</v>
      </c>
      <c r="AC383" s="309">
        <v>2443194.923</v>
      </c>
      <c r="AD383" s="274"/>
      <c r="AE383" s="274"/>
      <c r="AF383" s="274"/>
      <c r="AG383" s="274"/>
      <c r="AH383" s="274"/>
      <c r="AI383" s="274"/>
      <c r="AJ383" s="274"/>
      <c r="AK383" s="274"/>
      <c r="AL383" s="274"/>
      <c r="AM383" s="274"/>
      <c r="AN383" s="274"/>
      <c r="AO383" s="274"/>
      <c r="AP383" s="274"/>
      <c r="AQ383" s="274"/>
      <c r="AR383" s="274"/>
      <c r="AS383" s="274"/>
      <c r="AT383" s="274"/>
      <c r="AU383" s="274"/>
      <c r="AV383" s="274"/>
      <c r="AW383" s="274"/>
    </row>
    <row r="384" ht="15.75" customHeight="1">
      <c r="A384" s="274"/>
      <c r="B384" s="274"/>
      <c r="C384" s="274"/>
      <c r="D384" s="274"/>
      <c r="E384" s="274"/>
      <c r="F384" s="274"/>
      <c r="G384" s="274"/>
      <c r="H384" s="274"/>
      <c r="I384" s="274"/>
      <c r="J384" s="274"/>
      <c r="K384" s="274"/>
      <c r="L384" s="274"/>
      <c r="M384" s="274"/>
      <c r="N384" s="274"/>
      <c r="O384" s="274"/>
      <c r="P384" s="274"/>
      <c r="Q384" s="274"/>
      <c r="R384" s="316"/>
      <c r="W384" s="274"/>
      <c r="X384" s="274"/>
      <c r="Y384" s="274"/>
      <c r="Z384" s="274">
        <v>21.562</v>
      </c>
      <c r="AA384" s="309">
        <v>2966736.692</v>
      </c>
      <c r="AB384" s="309">
        <v>2350120.831</v>
      </c>
      <c r="AC384" s="309">
        <v>2443194.923</v>
      </c>
      <c r="AD384" s="274"/>
      <c r="AE384" s="274"/>
      <c r="AF384" s="274"/>
      <c r="AG384" s="274"/>
      <c r="AH384" s="274"/>
      <c r="AI384" s="274"/>
      <c r="AJ384" s="274"/>
      <c r="AK384" s="274"/>
      <c r="AL384" s="274"/>
      <c r="AM384" s="274"/>
      <c r="AN384" s="274"/>
      <c r="AO384" s="274"/>
      <c r="AP384" s="274"/>
      <c r="AQ384" s="274"/>
      <c r="AR384" s="274"/>
      <c r="AS384" s="274"/>
      <c r="AT384" s="274"/>
      <c r="AU384" s="274"/>
      <c r="AV384" s="274"/>
      <c r="AW384" s="274"/>
    </row>
    <row r="385" ht="15.75" customHeight="1">
      <c r="A385" s="274"/>
      <c r="B385" s="274"/>
      <c r="C385" s="274"/>
      <c r="D385" s="274"/>
      <c r="E385" s="274"/>
      <c r="F385" s="274"/>
      <c r="G385" s="274"/>
      <c r="H385" s="274"/>
      <c r="I385" s="274"/>
      <c r="J385" s="274"/>
      <c r="K385" s="274"/>
      <c r="L385" s="274"/>
      <c r="M385" s="274"/>
      <c r="N385" s="274"/>
      <c r="O385" s="274"/>
      <c r="P385" s="274"/>
      <c r="Q385" s="274"/>
      <c r="R385" s="316"/>
      <c r="W385" s="274"/>
      <c r="X385" s="274"/>
      <c r="Y385" s="274"/>
      <c r="Z385" s="274">
        <v>21.625</v>
      </c>
      <c r="AA385" s="309">
        <v>2966736.692</v>
      </c>
      <c r="AB385" s="309">
        <v>2350120.831</v>
      </c>
      <c r="AC385" s="309">
        <v>2443194.923</v>
      </c>
      <c r="AD385" s="274"/>
      <c r="AE385" s="274"/>
      <c r="AF385" s="274"/>
      <c r="AG385" s="274"/>
      <c r="AH385" s="274"/>
      <c r="AI385" s="274"/>
      <c r="AJ385" s="274"/>
      <c r="AK385" s="274"/>
      <c r="AL385" s="274"/>
      <c r="AM385" s="274"/>
      <c r="AN385" s="274"/>
      <c r="AO385" s="274"/>
      <c r="AP385" s="274"/>
      <c r="AQ385" s="274"/>
      <c r="AR385" s="274"/>
      <c r="AS385" s="274"/>
      <c r="AT385" s="274"/>
      <c r="AU385" s="274"/>
      <c r="AV385" s="274"/>
      <c r="AW385" s="274"/>
    </row>
    <row r="386" ht="15.75" customHeight="1">
      <c r="A386" s="274"/>
      <c r="B386" s="274"/>
      <c r="C386" s="274"/>
      <c r="D386" s="274"/>
      <c r="E386" s="274"/>
      <c r="F386" s="274"/>
      <c r="G386" s="274"/>
      <c r="H386" s="274"/>
      <c r="I386" s="274"/>
      <c r="J386" s="274"/>
      <c r="K386" s="274"/>
      <c r="L386" s="274"/>
      <c r="M386" s="274"/>
      <c r="N386" s="274"/>
      <c r="O386" s="274"/>
      <c r="P386" s="274"/>
      <c r="Q386" s="274"/>
      <c r="R386" s="316"/>
      <c r="W386" s="274"/>
      <c r="X386" s="274"/>
      <c r="Y386" s="274"/>
      <c r="Z386" s="274">
        <v>21.687</v>
      </c>
      <c r="AA386" s="309">
        <v>2966736.692</v>
      </c>
      <c r="AB386" s="309">
        <v>2350120.831</v>
      </c>
      <c r="AC386" s="309">
        <v>2443194.923</v>
      </c>
      <c r="AD386" s="274"/>
      <c r="AE386" s="274"/>
      <c r="AF386" s="274"/>
      <c r="AG386" s="274"/>
      <c r="AH386" s="274"/>
      <c r="AI386" s="274"/>
      <c r="AJ386" s="274"/>
      <c r="AK386" s="274"/>
      <c r="AL386" s="274"/>
      <c r="AM386" s="274"/>
      <c r="AN386" s="274"/>
      <c r="AO386" s="274"/>
      <c r="AP386" s="274"/>
      <c r="AQ386" s="274"/>
      <c r="AR386" s="274"/>
      <c r="AS386" s="274"/>
      <c r="AT386" s="274"/>
      <c r="AU386" s="274"/>
      <c r="AV386" s="274"/>
      <c r="AW386" s="274"/>
    </row>
    <row r="387" ht="15.75" customHeight="1">
      <c r="A387" s="274"/>
      <c r="B387" s="274"/>
      <c r="C387" s="274"/>
      <c r="D387" s="274"/>
      <c r="E387" s="274"/>
      <c r="F387" s="274"/>
      <c r="G387" s="274"/>
      <c r="H387" s="274"/>
      <c r="I387" s="274"/>
      <c r="J387" s="274"/>
      <c r="K387" s="274"/>
      <c r="L387" s="274"/>
      <c r="M387" s="274"/>
      <c r="N387" s="274"/>
      <c r="O387" s="274"/>
      <c r="P387" s="274"/>
      <c r="Q387" s="274"/>
      <c r="R387" s="316"/>
      <c r="W387" s="274"/>
      <c r="X387" s="274"/>
      <c r="Y387" s="274"/>
      <c r="Z387" s="274">
        <v>21.75</v>
      </c>
      <c r="AA387" s="309">
        <v>2966736.692</v>
      </c>
      <c r="AB387" s="309">
        <v>2350120.831</v>
      </c>
      <c r="AC387" s="309">
        <v>2443194.923</v>
      </c>
      <c r="AD387" s="274"/>
      <c r="AE387" s="274"/>
      <c r="AF387" s="274"/>
      <c r="AG387" s="274"/>
      <c r="AH387" s="274"/>
      <c r="AI387" s="274"/>
      <c r="AJ387" s="274"/>
      <c r="AK387" s="274"/>
      <c r="AL387" s="274"/>
      <c r="AM387" s="274"/>
      <c r="AN387" s="274"/>
      <c r="AO387" s="274"/>
      <c r="AP387" s="274"/>
      <c r="AQ387" s="274"/>
      <c r="AR387" s="274"/>
      <c r="AS387" s="274"/>
      <c r="AT387" s="274"/>
      <c r="AU387" s="274"/>
      <c r="AV387" s="274"/>
      <c r="AW387" s="274"/>
    </row>
    <row r="388" ht="15.75" customHeight="1">
      <c r="A388" s="274"/>
      <c r="B388" s="274"/>
      <c r="C388" s="274"/>
      <c r="D388" s="274"/>
      <c r="E388" s="274"/>
      <c r="F388" s="274"/>
      <c r="G388" s="274"/>
      <c r="H388" s="274"/>
      <c r="I388" s="274"/>
      <c r="J388" s="274"/>
      <c r="K388" s="274"/>
      <c r="L388" s="274"/>
      <c r="M388" s="274"/>
      <c r="N388" s="274"/>
      <c r="O388" s="274"/>
      <c r="P388" s="274"/>
      <c r="Q388" s="274"/>
      <c r="R388" s="316"/>
      <c r="W388" s="274"/>
      <c r="X388" s="274"/>
      <c r="Y388" s="274"/>
      <c r="Z388" s="274">
        <v>21.812</v>
      </c>
      <c r="AA388" s="309">
        <v>2966736.692</v>
      </c>
      <c r="AB388" s="309">
        <v>2350120.831</v>
      </c>
      <c r="AC388" s="309">
        <v>2443194.923</v>
      </c>
      <c r="AD388" s="274"/>
      <c r="AE388" s="274"/>
      <c r="AF388" s="274"/>
      <c r="AG388" s="274"/>
      <c r="AH388" s="274"/>
      <c r="AI388" s="274"/>
      <c r="AJ388" s="274"/>
      <c r="AK388" s="274"/>
      <c r="AL388" s="274"/>
      <c r="AM388" s="274"/>
      <c r="AN388" s="274"/>
      <c r="AO388" s="274"/>
      <c r="AP388" s="274"/>
      <c r="AQ388" s="274"/>
      <c r="AR388" s="274"/>
      <c r="AS388" s="274"/>
      <c r="AT388" s="274"/>
      <c r="AU388" s="274"/>
      <c r="AV388" s="274"/>
      <c r="AW388" s="274"/>
    </row>
    <row r="389" ht="15.75" customHeight="1">
      <c r="A389" s="274"/>
      <c r="B389" s="274"/>
      <c r="C389" s="274"/>
      <c r="D389" s="274"/>
      <c r="E389" s="274"/>
      <c r="F389" s="274"/>
      <c r="G389" s="274"/>
      <c r="H389" s="274"/>
      <c r="I389" s="274"/>
      <c r="J389" s="274"/>
      <c r="K389" s="274"/>
      <c r="L389" s="274"/>
      <c r="M389" s="274"/>
      <c r="N389" s="274"/>
      <c r="O389" s="274"/>
      <c r="P389" s="274"/>
      <c r="Q389" s="274"/>
      <c r="R389" s="316"/>
      <c r="W389" s="274"/>
      <c r="X389" s="274"/>
      <c r="Y389" s="274"/>
      <c r="Z389" s="274">
        <v>21.875</v>
      </c>
      <c r="AA389" s="309">
        <v>2966736.692</v>
      </c>
      <c r="AB389" s="309">
        <v>2350120.831</v>
      </c>
      <c r="AC389" s="309">
        <v>2443194.923</v>
      </c>
      <c r="AD389" s="274"/>
      <c r="AE389" s="274"/>
      <c r="AF389" s="274"/>
      <c r="AG389" s="274"/>
      <c r="AH389" s="274"/>
      <c r="AI389" s="274"/>
      <c r="AJ389" s="274"/>
      <c r="AK389" s="274"/>
      <c r="AL389" s="274"/>
      <c r="AM389" s="274"/>
      <c r="AN389" s="274"/>
      <c r="AO389" s="274"/>
      <c r="AP389" s="274"/>
      <c r="AQ389" s="274"/>
      <c r="AR389" s="274"/>
      <c r="AS389" s="274"/>
      <c r="AT389" s="274"/>
      <c r="AU389" s="274"/>
      <c r="AV389" s="274"/>
      <c r="AW389" s="274"/>
    </row>
    <row r="390" ht="15.75" customHeight="1">
      <c r="A390" s="274"/>
      <c r="B390" s="274"/>
      <c r="C390" s="274"/>
      <c r="D390" s="274"/>
      <c r="E390" s="274"/>
      <c r="F390" s="274"/>
      <c r="G390" s="274"/>
      <c r="H390" s="274"/>
      <c r="I390" s="274"/>
      <c r="J390" s="274"/>
      <c r="K390" s="274"/>
      <c r="L390" s="274"/>
      <c r="M390" s="274"/>
      <c r="N390" s="274"/>
      <c r="O390" s="274"/>
      <c r="P390" s="274"/>
      <c r="Q390" s="274"/>
      <c r="R390" s="316"/>
      <c r="W390" s="274"/>
      <c r="X390" s="274"/>
      <c r="Y390" s="274"/>
      <c r="Z390" s="274">
        <v>21.937</v>
      </c>
      <c r="AA390" s="309">
        <v>2966736.692</v>
      </c>
      <c r="AB390" s="309">
        <v>2350120.831</v>
      </c>
      <c r="AC390" s="309">
        <v>2443194.923</v>
      </c>
      <c r="AD390" s="274"/>
      <c r="AE390" s="274"/>
      <c r="AF390" s="274"/>
      <c r="AG390" s="274"/>
      <c r="AH390" s="274"/>
      <c r="AI390" s="274"/>
      <c r="AJ390" s="274"/>
      <c r="AK390" s="274"/>
      <c r="AL390" s="274"/>
      <c r="AM390" s="274"/>
      <c r="AN390" s="274"/>
      <c r="AO390" s="274"/>
      <c r="AP390" s="274"/>
      <c r="AQ390" s="274"/>
      <c r="AR390" s="274"/>
      <c r="AS390" s="274"/>
      <c r="AT390" s="274"/>
      <c r="AU390" s="274"/>
      <c r="AV390" s="274"/>
      <c r="AW390" s="274"/>
    </row>
    <row r="391" ht="15.75" customHeight="1">
      <c r="A391" s="274"/>
      <c r="B391" s="274"/>
      <c r="C391" s="274"/>
      <c r="D391" s="274"/>
      <c r="E391" s="274"/>
      <c r="F391" s="274"/>
      <c r="G391" s="274"/>
      <c r="H391" s="274"/>
      <c r="I391" s="274"/>
      <c r="J391" s="274"/>
      <c r="K391" s="274"/>
      <c r="L391" s="274"/>
      <c r="M391" s="274"/>
      <c r="N391" s="274"/>
      <c r="O391" s="274"/>
      <c r="P391" s="274"/>
      <c r="Q391" s="274"/>
      <c r="R391" s="316"/>
      <c r="W391" s="274"/>
      <c r="X391" s="274"/>
      <c r="Y391" s="274"/>
      <c r="Z391" s="274">
        <v>22.0</v>
      </c>
      <c r="AA391" s="309">
        <v>2966736.692</v>
      </c>
      <c r="AB391" s="309">
        <v>2350120.831</v>
      </c>
      <c r="AC391" s="309">
        <v>2489731.969</v>
      </c>
      <c r="AD391" s="274"/>
      <c r="AE391" s="274"/>
      <c r="AF391" s="274"/>
      <c r="AG391" s="274"/>
      <c r="AH391" s="274"/>
      <c r="AI391" s="274"/>
      <c r="AJ391" s="274"/>
      <c r="AK391" s="274"/>
      <c r="AL391" s="274"/>
      <c r="AM391" s="274"/>
      <c r="AN391" s="274"/>
      <c r="AO391" s="274"/>
      <c r="AP391" s="274"/>
      <c r="AQ391" s="274"/>
      <c r="AR391" s="274"/>
      <c r="AS391" s="274"/>
      <c r="AT391" s="274"/>
      <c r="AU391" s="274"/>
      <c r="AV391" s="274"/>
      <c r="AW391" s="274"/>
    </row>
    <row r="392" ht="15.75" customHeight="1">
      <c r="A392" s="274"/>
      <c r="B392" s="274"/>
      <c r="C392" s="274"/>
      <c r="D392" s="274"/>
      <c r="E392" s="274"/>
      <c r="F392" s="274"/>
      <c r="G392" s="274"/>
      <c r="H392" s="274"/>
      <c r="I392" s="274"/>
      <c r="J392" s="274"/>
      <c r="K392" s="274"/>
      <c r="L392" s="274"/>
      <c r="M392" s="274"/>
      <c r="N392" s="274"/>
      <c r="O392" s="274"/>
      <c r="P392" s="274"/>
      <c r="Q392" s="274"/>
      <c r="R392" s="316"/>
      <c r="W392" s="274"/>
      <c r="X392" s="274"/>
      <c r="Y392" s="274"/>
      <c r="Z392" s="274">
        <v>22.062</v>
      </c>
      <c r="AA392" s="309">
        <v>2966736.692</v>
      </c>
      <c r="AB392" s="309">
        <v>2350120.831</v>
      </c>
      <c r="AC392" s="309">
        <v>2489731.969</v>
      </c>
      <c r="AD392" s="274"/>
      <c r="AE392" s="274"/>
      <c r="AF392" s="274"/>
      <c r="AG392" s="274"/>
      <c r="AH392" s="274"/>
      <c r="AI392" s="274"/>
      <c r="AJ392" s="274"/>
      <c r="AK392" s="274"/>
      <c r="AL392" s="274"/>
      <c r="AM392" s="274"/>
      <c r="AN392" s="274"/>
      <c r="AO392" s="274"/>
      <c r="AP392" s="274"/>
      <c r="AQ392" s="274"/>
      <c r="AR392" s="274"/>
      <c r="AS392" s="274"/>
      <c r="AT392" s="274"/>
      <c r="AU392" s="274"/>
      <c r="AV392" s="274"/>
      <c r="AW392" s="274"/>
    </row>
    <row r="393" ht="15.75" customHeight="1">
      <c r="A393" s="274"/>
      <c r="B393" s="274"/>
      <c r="C393" s="274"/>
      <c r="D393" s="274"/>
      <c r="E393" s="274"/>
      <c r="F393" s="274"/>
      <c r="G393" s="274"/>
      <c r="H393" s="274"/>
      <c r="I393" s="274"/>
      <c r="J393" s="274"/>
      <c r="K393" s="274"/>
      <c r="L393" s="274"/>
      <c r="M393" s="274"/>
      <c r="N393" s="274"/>
      <c r="O393" s="274"/>
      <c r="P393" s="274"/>
      <c r="Q393" s="274"/>
      <c r="R393" s="316"/>
      <c r="W393" s="274"/>
      <c r="X393" s="274"/>
      <c r="Y393" s="274"/>
      <c r="Z393" s="274">
        <v>22.125</v>
      </c>
      <c r="AA393" s="309">
        <v>2966736.692</v>
      </c>
      <c r="AB393" s="309">
        <v>2350120.831</v>
      </c>
      <c r="AC393" s="309">
        <v>2489731.969</v>
      </c>
      <c r="AD393" s="274"/>
      <c r="AE393" s="274"/>
      <c r="AF393" s="274"/>
      <c r="AG393" s="274"/>
      <c r="AH393" s="274"/>
      <c r="AI393" s="274"/>
      <c r="AJ393" s="274"/>
      <c r="AK393" s="274"/>
      <c r="AL393" s="274"/>
      <c r="AM393" s="274"/>
      <c r="AN393" s="274"/>
      <c r="AO393" s="274"/>
      <c r="AP393" s="274"/>
      <c r="AQ393" s="274"/>
      <c r="AR393" s="274"/>
      <c r="AS393" s="274"/>
      <c r="AT393" s="274"/>
      <c r="AU393" s="274"/>
      <c r="AV393" s="274"/>
      <c r="AW393" s="274"/>
    </row>
    <row r="394" ht="15.75" customHeight="1">
      <c r="A394" s="274"/>
      <c r="B394" s="274"/>
      <c r="C394" s="274"/>
      <c r="D394" s="274"/>
      <c r="E394" s="274"/>
      <c r="F394" s="274"/>
      <c r="G394" s="274"/>
      <c r="H394" s="274"/>
      <c r="I394" s="274"/>
      <c r="J394" s="274"/>
      <c r="K394" s="274"/>
      <c r="L394" s="274"/>
      <c r="M394" s="274"/>
      <c r="N394" s="274"/>
      <c r="O394" s="274"/>
      <c r="P394" s="274"/>
      <c r="Q394" s="274"/>
      <c r="R394" s="316"/>
      <c r="W394" s="274"/>
      <c r="X394" s="274"/>
      <c r="Y394" s="274"/>
      <c r="Z394" s="274">
        <v>22.187</v>
      </c>
      <c r="AA394" s="309">
        <v>2966736.692</v>
      </c>
      <c r="AB394" s="309">
        <v>2350120.831</v>
      </c>
      <c r="AC394" s="309">
        <v>2489731.969</v>
      </c>
      <c r="AD394" s="274"/>
      <c r="AE394" s="274"/>
      <c r="AF394" s="274"/>
      <c r="AG394" s="274"/>
      <c r="AH394" s="274"/>
      <c r="AI394" s="274"/>
      <c r="AJ394" s="274"/>
      <c r="AK394" s="274"/>
      <c r="AL394" s="274"/>
      <c r="AM394" s="274"/>
      <c r="AN394" s="274"/>
      <c r="AO394" s="274"/>
      <c r="AP394" s="274"/>
      <c r="AQ394" s="274"/>
      <c r="AR394" s="274"/>
      <c r="AS394" s="274"/>
      <c r="AT394" s="274"/>
      <c r="AU394" s="274"/>
      <c r="AV394" s="274"/>
      <c r="AW394" s="274"/>
    </row>
    <row r="395" ht="15.75" customHeight="1">
      <c r="A395" s="274"/>
      <c r="B395" s="274"/>
      <c r="C395" s="274"/>
      <c r="D395" s="274"/>
      <c r="E395" s="274"/>
      <c r="F395" s="274"/>
      <c r="G395" s="274"/>
      <c r="H395" s="274"/>
      <c r="I395" s="274"/>
      <c r="J395" s="274"/>
      <c r="K395" s="274"/>
      <c r="L395" s="274"/>
      <c r="M395" s="274"/>
      <c r="N395" s="274"/>
      <c r="O395" s="274"/>
      <c r="P395" s="274"/>
      <c r="Q395" s="274"/>
      <c r="R395" s="316"/>
      <c r="W395" s="274"/>
      <c r="X395" s="274"/>
      <c r="Y395" s="274"/>
      <c r="Z395" s="274">
        <v>22.25</v>
      </c>
      <c r="AA395" s="309">
        <v>2966736.692</v>
      </c>
      <c r="AB395" s="309">
        <v>2350120.831</v>
      </c>
      <c r="AC395" s="309">
        <v>2489731.969</v>
      </c>
      <c r="AD395" s="274"/>
      <c r="AE395" s="274"/>
      <c r="AF395" s="274"/>
      <c r="AG395" s="274"/>
      <c r="AH395" s="274"/>
      <c r="AI395" s="274"/>
      <c r="AJ395" s="274"/>
      <c r="AK395" s="274"/>
      <c r="AL395" s="274"/>
      <c r="AM395" s="274"/>
      <c r="AN395" s="274"/>
      <c r="AO395" s="274"/>
      <c r="AP395" s="274"/>
      <c r="AQ395" s="274"/>
      <c r="AR395" s="274"/>
      <c r="AS395" s="274"/>
      <c r="AT395" s="274"/>
      <c r="AU395" s="274"/>
      <c r="AV395" s="274"/>
      <c r="AW395" s="274"/>
    </row>
    <row r="396" ht="15.75" customHeight="1">
      <c r="A396" s="274"/>
      <c r="B396" s="274"/>
      <c r="C396" s="274"/>
      <c r="D396" s="274"/>
      <c r="E396" s="274"/>
      <c r="F396" s="274"/>
      <c r="G396" s="274"/>
      <c r="H396" s="274"/>
      <c r="I396" s="274"/>
      <c r="J396" s="274"/>
      <c r="K396" s="274"/>
      <c r="L396" s="274"/>
      <c r="M396" s="274"/>
      <c r="N396" s="274"/>
      <c r="O396" s="274"/>
      <c r="P396" s="274"/>
      <c r="Q396" s="274"/>
      <c r="R396" s="316"/>
      <c r="W396" s="274"/>
      <c r="X396" s="274"/>
      <c r="Y396" s="274"/>
      <c r="Z396" s="274">
        <v>22.312</v>
      </c>
      <c r="AA396" s="309">
        <v>2966736.692</v>
      </c>
      <c r="AB396" s="309">
        <v>2350120.831</v>
      </c>
      <c r="AC396" s="309">
        <v>2582806.062</v>
      </c>
      <c r="AD396" s="274"/>
      <c r="AE396" s="274"/>
      <c r="AF396" s="274"/>
      <c r="AG396" s="274"/>
      <c r="AH396" s="274"/>
      <c r="AI396" s="274"/>
      <c r="AJ396" s="274"/>
      <c r="AK396" s="274"/>
      <c r="AL396" s="274"/>
      <c r="AM396" s="274"/>
      <c r="AN396" s="274"/>
      <c r="AO396" s="274"/>
      <c r="AP396" s="274"/>
      <c r="AQ396" s="274"/>
      <c r="AR396" s="274"/>
      <c r="AS396" s="274"/>
      <c r="AT396" s="274"/>
      <c r="AU396" s="274"/>
      <c r="AV396" s="274"/>
      <c r="AW396" s="274"/>
    </row>
    <row r="397" ht="15.75" customHeight="1">
      <c r="A397" s="274"/>
      <c r="B397" s="274"/>
      <c r="C397" s="274"/>
      <c r="D397" s="274"/>
      <c r="E397" s="274"/>
      <c r="F397" s="274"/>
      <c r="G397" s="274"/>
      <c r="H397" s="274"/>
      <c r="I397" s="274"/>
      <c r="J397" s="274"/>
      <c r="K397" s="274"/>
      <c r="L397" s="274"/>
      <c r="M397" s="274"/>
      <c r="N397" s="274"/>
      <c r="O397" s="274"/>
      <c r="P397" s="274"/>
      <c r="Q397" s="274"/>
      <c r="R397" s="316"/>
      <c r="W397" s="274"/>
      <c r="X397" s="274"/>
      <c r="Y397" s="274"/>
      <c r="Z397" s="274">
        <v>22.375</v>
      </c>
      <c r="AA397" s="309">
        <v>2966736.692</v>
      </c>
      <c r="AB397" s="309">
        <v>2350120.831</v>
      </c>
      <c r="AC397" s="309">
        <v>2582806.062</v>
      </c>
      <c r="AD397" s="274"/>
      <c r="AE397" s="274"/>
      <c r="AF397" s="274"/>
      <c r="AG397" s="274"/>
      <c r="AH397" s="274"/>
      <c r="AI397" s="274"/>
      <c r="AJ397" s="274"/>
      <c r="AK397" s="274"/>
      <c r="AL397" s="274"/>
      <c r="AM397" s="274"/>
      <c r="AN397" s="274"/>
      <c r="AO397" s="274"/>
      <c r="AP397" s="274"/>
      <c r="AQ397" s="274"/>
      <c r="AR397" s="274"/>
      <c r="AS397" s="274"/>
      <c r="AT397" s="274"/>
      <c r="AU397" s="274"/>
      <c r="AV397" s="274"/>
      <c r="AW397" s="274"/>
    </row>
    <row r="398" ht="15.75" customHeight="1">
      <c r="A398" s="274"/>
      <c r="B398" s="274"/>
      <c r="C398" s="274"/>
      <c r="D398" s="274"/>
      <c r="E398" s="274"/>
      <c r="F398" s="274"/>
      <c r="G398" s="274"/>
      <c r="H398" s="274"/>
      <c r="I398" s="274"/>
      <c r="J398" s="274"/>
      <c r="K398" s="274"/>
      <c r="L398" s="274"/>
      <c r="M398" s="274"/>
      <c r="N398" s="274"/>
      <c r="O398" s="274"/>
      <c r="P398" s="274"/>
      <c r="Q398" s="274"/>
      <c r="R398" s="316"/>
      <c r="W398" s="274"/>
      <c r="X398" s="274"/>
      <c r="Y398" s="274"/>
      <c r="Z398" s="274">
        <v>22.437</v>
      </c>
      <c r="AA398" s="309">
        <v>2966736.692</v>
      </c>
      <c r="AB398" s="309">
        <v>2350120.831</v>
      </c>
      <c r="AC398" s="309">
        <v>2582806.062</v>
      </c>
      <c r="AD398" s="274"/>
      <c r="AE398" s="274"/>
      <c r="AF398" s="274"/>
      <c r="AG398" s="274"/>
      <c r="AH398" s="274"/>
      <c r="AI398" s="274"/>
      <c r="AJ398" s="274"/>
      <c r="AK398" s="274"/>
      <c r="AL398" s="274"/>
      <c r="AM398" s="274"/>
      <c r="AN398" s="274"/>
      <c r="AO398" s="274"/>
      <c r="AP398" s="274"/>
      <c r="AQ398" s="274"/>
      <c r="AR398" s="274"/>
      <c r="AS398" s="274"/>
      <c r="AT398" s="274"/>
      <c r="AU398" s="274"/>
      <c r="AV398" s="274"/>
      <c r="AW398" s="274"/>
    </row>
    <row r="399" ht="15.75" customHeight="1">
      <c r="A399" s="274"/>
      <c r="B399" s="274"/>
      <c r="C399" s="274"/>
      <c r="D399" s="274"/>
      <c r="E399" s="274"/>
      <c r="F399" s="274"/>
      <c r="G399" s="274"/>
      <c r="H399" s="274"/>
      <c r="I399" s="274"/>
      <c r="J399" s="274"/>
      <c r="K399" s="274"/>
      <c r="L399" s="274"/>
      <c r="M399" s="274"/>
      <c r="N399" s="274"/>
      <c r="O399" s="274"/>
      <c r="P399" s="274"/>
      <c r="Q399" s="274"/>
      <c r="R399" s="316"/>
      <c r="W399" s="274"/>
      <c r="X399" s="274"/>
      <c r="Y399" s="274"/>
      <c r="Z399" s="274">
        <v>22.5</v>
      </c>
      <c r="AA399" s="309">
        <v>2966736.692</v>
      </c>
      <c r="AB399" s="309">
        <v>2350120.831</v>
      </c>
      <c r="AC399" s="309">
        <v>2582806.062</v>
      </c>
      <c r="AD399" s="274"/>
      <c r="AE399" s="274"/>
      <c r="AF399" s="274"/>
      <c r="AG399" s="274"/>
      <c r="AH399" s="274"/>
      <c r="AI399" s="274"/>
      <c r="AJ399" s="274"/>
      <c r="AK399" s="274"/>
      <c r="AL399" s="274"/>
      <c r="AM399" s="274"/>
      <c r="AN399" s="274"/>
      <c r="AO399" s="274"/>
      <c r="AP399" s="274"/>
      <c r="AQ399" s="274"/>
      <c r="AR399" s="274"/>
      <c r="AS399" s="274"/>
      <c r="AT399" s="274"/>
      <c r="AU399" s="274"/>
      <c r="AV399" s="274"/>
      <c r="AW399" s="274"/>
    </row>
    <row r="400" ht="15.75" customHeight="1">
      <c r="A400" s="274"/>
      <c r="B400" s="274"/>
      <c r="C400" s="274"/>
      <c r="D400" s="274"/>
      <c r="E400" s="274"/>
      <c r="F400" s="274"/>
      <c r="G400" s="274"/>
      <c r="H400" s="274"/>
      <c r="I400" s="274"/>
      <c r="J400" s="274"/>
      <c r="K400" s="274"/>
      <c r="L400" s="274"/>
      <c r="M400" s="274"/>
      <c r="N400" s="274"/>
      <c r="O400" s="274"/>
      <c r="P400" s="274"/>
      <c r="Q400" s="274"/>
      <c r="R400" s="316"/>
      <c r="W400" s="274"/>
      <c r="X400" s="274"/>
      <c r="Y400" s="274"/>
      <c r="Z400" s="274">
        <v>22.562</v>
      </c>
      <c r="AA400" s="309">
        <v>2966736.692</v>
      </c>
      <c r="AB400" s="309">
        <v>2350120.831</v>
      </c>
      <c r="AC400" s="309">
        <v>2582806.062</v>
      </c>
      <c r="AD400" s="274"/>
      <c r="AE400" s="274"/>
      <c r="AF400" s="274"/>
      <c r="AG400" s="274"/>
      <c r="AH400" s="274"/>
      <c r="AI400" s="274"/>
      <c r="AJ400" s="274"/>
      <c r="AK400" s="274"/>
      <c r="AL400" s="274"/>
      <c r="AM400" s="274"/>
      <c r="AN400" s="274"/>
      <c r="AO400" s="274"/>
      <c r="AP400" s="274"/>
      <c r="AQ400" s="274"/>
      <c r="AR400" s="274"/>
      <c r="AS400" s="274"/>
      <c r="AT400" s="274"/>
      <c r="AU400" s="274"/>
      <c r="AV400" s="274"/>
      <c r="AW400" s="274"/>
    </row>
    <row r="401" ht="15.75" customHeight="1">
      <c r="A401" s="274"/>
      <c r="B401" s="274"/>
      <c r="C401" s="274"/>
      <c r="D401" s="274"/>
      <c r="E401" s="274"/>
      <c r="F401" s="274"/>
      <c r="G401" s="274"/>
      <c r="H401" s="274"/>
      <c r="I401" s="274"/>
      <c r="J401" s="274"/>
      <c r="K401" s="274"/>
      <c r="L401" s="274"/>
      <c r="M401" s="274"/>
      <c r="N401" s="274"/>
      <c r="O401" s="274"/>
      <c r="P401" s="274"/>
      <c r="Q401" s="274"/>
      <c r="R401" s="316"/>
      <c r="W401" s="274"/>
      <c r="X401" s="274"/>
      <c r="Y401" s="274"/>
      <c r="Z401" s="274">
        <v>22.625</v>
      </c>
      <c r="AA401" s="309">
        <v>3152884.877</v>
      </c>
      <c r="AB401" s="309">
        <v>2350120.831</v>
      </c>
      <c r="AC401" s="309">
        <v>2582806.062</v>
      </c>
      <c r="AD401" s="274"/>
      <c r="AE401" s="274"/>
      <c r="AF401" s="274"/>
      <c r="AG401" s="274"/>
      <c r="AH401" s="274"/>
      <c r="AI401" s="274"/>
      <c r="AJ401" s="274"/>
      <c r="AK401" s="274"/>
      <c r="AL401" s="274"/>
      <c r="AM401" s="274"/>
      <c r="AN401" s="274"/>
      <c r="AO401" s="274"/>
      <c r="AP401" s="274"/>
      <c r="AQ401" s="274"/>
      <c r="AR401" s="274"/>
      <c r="AS401" s="274"/>
      <c r="AT401" s="274"/>
      <c r="AU401" s="274"/>
      <c r="AV401" s="274"/>
      <c r="AW401" s="274"/>
    </row>
    <row r="402" ht="15.75" customHeight="1">
      <c r="A402" s="274"/>
      <c r="B402" s="274"/>
      <c r="C402" s="274"/>
      <c r="D402" s="274"/>
      <c r="E402" s="274"/>
      <c r="F402" s="274"/>
      <c r="G402" s="274"/>
      <c r="H402" s="274"/>
      <c r="I402" s="274"/>
      <c r="J402" s="274"/>
      <c r="K402" s="274"/>
      <c r="L402" s="274"/>
      <c r="M402" s="274"/>
      <c r="N402" s="274"/>
      <c r="O402" s="274"/>
      <c r="P402" s="274"/>
      <c r="Q402" s="274"/>
      <c r="R402" s="316"/>
      <c r="W402" s="274"/>
      <c r="X402" s="274"/>
      <c r="Y402" s="274"/>
      <c r="Z402" s="274">
        <v>22.687</v>
      </c>
      <c r="AA402" s="309">
        <v>3152884.877</v>
      </c>
      <c r="AB402" s="309">
        <v>2350120.831</v>
      </c>
      <c r="AC402" s="309">
        <v>2582806.062</v>
      </c>
      <c r="AD402" s="274"/>
      <c r="AE402" s="274"/>
      <c r="AF402" s="274"/>
      <c r="AG402" s="274"/>
      <c r="AH402" s="274"/>
      <c r="AI402" s="274"/>
      <c r="AJ402" s="274"/>
      <c r="AK402" s="274"/>
      <c r="AL402" s="274"/>
      <c r="AM402" s="274"/>
      <c r="AN402" s="274"/>
      <c r="AO402" s="274"/>
      <c r="AP402" s="274"/>
      <c r="AQ402" s="274"/>
      <c r="AR402" s="274"/>
      <c r="AS402" s="274"/>
      <c r="AT402" s="274"/>
      <c r="AU402" s="274"/>
      <c r="AV402" s="274"/>
      <c r="AW402" s="274"/>
    </row>
    <row r="403" ht="15.75" customHeight="1">
      <c r="A403" s="274"/>
      <c r="B403" s="274"/>
      <c r="C403" s="274"/>
      <c r="D403" s="274"/>
      <c r="E403" s="274"/>
      <c r="F403" s="274"/>
      <c r="G403" s="274"/>
      <c r="H403" s="274"/>
      <c r="I403" s="274"/>
      <c r="J403" s="274"/>
      <c r="K403" s="274"/>
      <c r="L403" s="274"/>
      <c r="M403" s="274"/>
      <c r="N403" s="274"/>
      <c r="O403" s="274"/>
      <c r="P403" s="274"/>
      <c r="Q403" s="274"/>
      <c r="R403" s="316"/>
      <c r="W403" s="274"/>
      <c r="X403" s="274"/>
      <c r="Y403" s="274"/>
      <c r="Z403" s="274">
        <v>22.75</v>
      </c>
      <c r="AA403" s="309">
        <v>3152884.877</v>
      </c>
      <c r="AB403" s="309">
        <v>2350120.831</v>
      </c>
      <c r="AC403" s="309">
        <v>2582806.062</v>
      </c>
      <c r="AD403" s="274"/>
      <c r="AE403" s="274"/>
      <c r="AF403" s="274"/>
      <c r="AG403" s="274"/>
      <c r="AH403" s="274"/>
      <c r="AI403" s="274"/>
      <c r="AJ403" s="274"/>
      <c r="AK403" s="274"/>
      <c r="AL403" s="274"/>
      <c r="AM403" s="274"/>
      <c r="AN403" s="274"/>
      <c r="AO403" s="274"/>
      <c r="AP403" s="274"/>
      <c r="AQ403" s="274"/>
      <c r="AR403" s="274"/>
      <c r="AS403" s="274"/>
      <c r="AT403" s="274"/>
      <c r="AU403" s="274"/>
      <c r="AV403" s="274"/>
      <c r="AW403" s="274"/>
    </row>
    <row r="404" ht="15.75" customHeight="1">
      <c r="A404" s="274"/>
      <c r="B404" s="274"/>
      <c r="C404" s="274"/>
      <c r="D404" s="274"/>
      <c r="E404" s="274"/>
      <c r="F404" s="274"/>
      <c r="G404" s="274"/>
      <c r="H404" s="274"/>
      <c r="I404" s="274"/>
      <c r="J404" s="274"/>
      <c r="K404" s="274"/>
      <c r="L404" s="274"/>
      <c r="M404" s="274"/>
      <c r="N404" s="274"/>
      <c r="O404" s="274"/>
      <c r="P404" s="274"/>
      <c r="Q404" s="274"/>
      <c r="R404" s="316"/>
      <c r="W404" s="274"/>
      <c r="X404" s="274"/>
      <c r="Y404" s="274"/>
      <c r="Z404" s="274">
        <v>22.812</v>
      </c>
      <c r="AA404" s="309">
        <v>3152884.877</v>
      </c>
      <c r="AB404" s="309">
        <v>2350120.831</v>
      </c>
      <c r="AC404" s="309">
        <v>2582806.062</v>
      </c>
      <c r="AD404" s="274"/>
      <c r="AE404" s="274"/>
      <c r="AF404" s="274"/>
      <c r="AG404" s="274"/>
      <c r="AH404" s="274"/>
      <c r="AI404" s="274"/>
      <c r="AJ404" s="274"/>
      <c r="AK404" s="274"/>
      <c r="AL404" s="274"/>
      <c r="AM404" s="274"/>
      <c r="AN404" s="274"/>
      <c r="AO404" s="274"/>
      <c r="AP404" s="274"/>
      <c r="AQ404" s="274"/>
      <c r="AR404" s="274"/>
      <c r="AS404" s="274"/>
      <c r="AT404" s="274"/>
      <c r="AU404" s="274"/>
      <c r="AV404" s="274"/>
      <c r="AW404" s="274"/>
    </row>
    <row r="405" ht="15.75" customHeight="1">
      <c r="A405" s="274"/>
      <c r="B405" s="274"/>
      <c r="C405" s="274"/>
      <c r="D405" s="274"/>
      <c r="E405" s="274"/>
      <c r="F405" s="274"/>
      <c r="G405" s="274"/>
      <c r="H405" s="274"/>
      <c r="I405" s="274"/>
      <c r="J405" s="274"/>
      <c r="K405" s="274"/>
      <c r="L405" s="274"/>
      <c r="M405" s="274"/>
      <c r="N405" s="274"/>
      <c r="O405" s="274"/>
      <c r="P405" s="274"/>
      <c r="Q405" s="274"/>
      <c r="R405" s="316"/>
      <c r="W405" s="274"/>
      <c r="X405" s="274"/>
      <c r="Y405" s="274"/>
      <c r="Z405" s="274">
        <v>22.875</v>
      </c>
      <c r="AA405" s="309">
        <v>3152884.877</v>
      </c>
      <c r="AB405" s="309">
        <v>2350120.831</v>
      </c>
      <c r="AC405" s="309">
        <v>2582806.062</v>
      </c>
      <c r="AD405" s="274"/>
      <c r="AE405" s="274"/>
      <c r="AF405" s="274"/>
      <c r="AG405" s="274"/>
      <c r="AH405" s="274"/>
      <c r="AI405" s="274"/>
      <c r="AJ405" s="274"/>
      <c r="AK405" s="274"/>
      <c r="AL405" s="274"/>
      <c r="AM405" s="274"/>
      <c r="AN405" s="274"/>
      <c r="AO405" s="274"/>
      <c r="AP405" s="274"/>
      <c r="AQ405" s="274"/>
      <c r="AR405" s="274"/>
      <c r="AS405" s="274"/>
      <c r="AT405" s="274"/>
      <c r="AU405" s="274"/>
      <c r="AV405" s="274"/>
      <c r="AW405" s="274"/>
    </row>
    <row r="406" ht="15.75" customHeight="1">
      <c r="A406" s="274"/>
      <c r="B406" s="274"/>
      <c r="C406" s="274"/>
      <c r="D406" s="274"/>
      <c r="E406" s="274"/>
      <c r="F406" s="274"/>
      <c r="G406" s="274"/>
      <c r="H406" s="274"/>
      <c r="I406" s="274"/>
      <c r="J406" s="274"/>
      <c r="K406" s="274"/>
      <c r="L406" s="274"/>
      <c r="M406" s="274"/>
      <c r="N406" s="274"/>
      <c r="O406" s="274"/>
      <c r="P406" s="274"/>
      <c r="Q406" s="274"/>
      <c r="R406" s="316"/>
      <c r="W406" s="274"/>
      <c r="X406" s="274"/>
      <c r="Y406" s="274"/>
      <c r="Z406" s="274">
        <v>22.937</v>
      </c>
      <c r="AA406" s="309">
        <v>3152884.877</v>
      </c>
      <c r="AB406" s="309">
        <v>2350120.831</v>
      </c>
      <c r="AC406" s="309">
        <v>2582806.062</v>
      </c>
      <c r="AD406" s="274"/>
      <c r="AE406" s="274"/>
      <c r="AF406" s="274"/>
      <c r="AG406" s="274"/>
      <c r="AH406" s="274"/>
      <c r="AI406" s="274"/>
      <c r="AJ406" s="274"/>
      <c r="AK406" s="274"/>
      <c r="AL406" s="274"/>
      <c r="AM406" s="274"/>
      <c r="AN406" s="274"/>
      <c r="AO406" s="274"/>
      <c r="AP406" s="274"/>
      <c r="AQ406" s="274"/>
      <c r="AR406" s="274"/>
      <c r="AS406" s="274"/>
      <c r="AT406" s="274"/>
      <c r="AU406" s="274"/>
      <c r="AV406" s="274"/>
      <c r="AW406" s="274"/>
    </row>
    <row r="407" ht="15.75" customHeight="1">
      <c r="A407" s="274"/>
      <c r="B407" s="274"/>
      <c r="C407" s="274"/>
      <c r="D407" s="274"/>
      <c r="E407" s="274"/>
      <c r="F407" s="274"/>
      <c r="G407" s="274"/>
      <c r="H407" s="274"/>
      <c r="I407" s="274"/>
      <c r="J407" s="274"/>
      <c r="K407" s="274"/>
      <c r="L407" s="274"/>
      <c r="M407" s="274"/>
      <c r="N407" s="274"/>
      <c r="O407" s="274"/>
      <c r="P407" s="274"/>
      <c r="Q407" s="274"/>
      <c r="R407" s="316"/>
      <c r="W407" s="274"/>
      <c r="X407" s="274"/>
      <c r="Y407" s="274"/>
      <c r="Z407" s="274">
        <v>23.0</v>
      </c>
      <c r="AA407" s="309">
        <v>3152884.877</v>
      </c>
      <c r="AB407" s="309">
        <v>2350120.831</v>
      </c>
      <c r="AC407" s="309">
        <v>2582806.062</v>
      </c>
      <c r="AD407" s="274"/>
      <c r="AE407" s="274"/>
      <c r="AF407" s="274"/>
      <c r="AG407" s="274"/>
      <c r="AH407" s="274"/>
      <c r="AI407" s="274"/>
      <c r="AJ407" s="274"/>
      <c r="AK407" s="274"/>
      <c r="AL407" s="274"/>
      <c r="AM407" s="274"/>
      <c r="AN407" s="274"/>
      <c r="AO407" s="274"/>
      <c r="AP407" s="274"/>
      <c r="AQ407" s="274"/>
      <c r="AR407" s="274"/>
      <c r="AS407" s="274"/>
      <c r="AT407" s="274"/>
      <c r="AU407" s="274"/>
      <c r="AV407" s="274"/>
      <c r="AW407" s="274"/>
    </row>
    <row r="408" ht="15.75" customHeight="1">
      <c r="A408" s="274"/>
      <c r="B408" s="274"/>
      <c r="C408" s="274"/>
      <c r="D408" s="274"/>
      <c r="E408" s="274"/>
      <c r="F408" s="274"/>
      <c r="G408" s="274"/>
      <c r="H408" s="274"/>
      <c r="I408" s="274"/>
      <c r="J408" s="274"/>
      <c r="K408" s="274"/>
      <c r="L408" s="274"/>
      <c r="M408" s="274"/>
      <c r="N408" s="274"/>
      <c r="O408" s="274"/>
      <c r="P408" s="274"/>
      <c r="Q408" s="274"/>
      <c r="R408" s="316"/>
      <c r="W408" s="274"/>
      <c r="X408" s="274"/>
      <c r="Y408" s="274"/>
      <c r="Z408" s="274">
        <v>23.062</v>
      </c>
      <c r="AA408" s="309">
        <v>3152884.877</v>
      </c>
      <c r="AB408" s="309">
        <v>2350120.831</v>
      </c>
      <c r="AC408" s="309">
        <v>2582806.062</v>
      </c>
      <c r="AD408" s="274"/>
      <c r="AE408" s="274"/>
      <c r="AF408" s="274"/>
      <c r="AG408" s="274"/>
      <c r="AH408" s="274"/>
      <c r="AI408" s="274"/>
      <c r="AJ408" s="274"/>
      <c r="AK408" s="274"/>
      <c r="AL408" s="274"/>
      <c r="AM408" s="274"/>
      <c r="AN408" s="274"/>
      <c r="AO408" s="274"/>
      <c r="AP408" s="274"/>
      <c r="AQ408" s="274"/>
      <c r="AR408" s="274"/>
      <c r="AS408" s="274"/>
      <c r="AT408" s="274"/>
      <c r="AU408" s="274"/>
      <c r="AV408" s="274"/>
      <c r="AW408" s="274"/>
    </row>
    <row r="409" ht="15.75" customHeight="1">
      <c r="A409" s="274"/>
      <c r="B409" s="274"/>
      <c r="C409" s="274"/>
      <c r="D409" s="274"/>
      <c r="E409" s="274"/>
      <c r="F409" s="274"/>
      <c r="G409" s="274"/>
      <c r="H409" s="274"/>
      <c r="I409" s="274"/>
      <c r="J409" s="274"/>
      <c r="K409" s="274"/>
      <c r="L409" s="274"/>
      <c r="M409" s="274"/>
      <c r="N409" s="274"/>
      <c r="O409" s="274"/>
      <c r="P409" s="274"/>
      <c r="Q409" s="274"/>
      <c r="R409" s="316"/>
      <c r="W409" s="274"/>
      <c r="X409" s="274"/>
      <c r="Y409" s="274"/>
      <c r="Z409" s="274">
        <v>23.125</v>
      </c>
      <c r="AA409" s="309">
        <v>3152884.877</v>
      </c>
      <c r="AB409" s="309">
        <v>2350120.831</v>
      </c>
      <c r="AC409" s="309">
        <v>2582806.062</v>
      </c>
      <c r="AD409" s="274"/>
      <c r="AE409" s="274"/>
      <c r="AF409" s="274"/>
      <c r="AG409" s="274"/>
      <c r="AH409" s="274"/>
      <c r="AI409" s="274"/>
      <c r="AJ409" s="274"/>
      <c r="AK409" s="274"/>
      <c r="AL409" s="274"/>
      <c r="AM409" s="274"/>
      <c r="AN409" s="274"/>
      <c r="AO409" s="274"/>
      <c r="AP409" s="274"/>
      <c r="AQ409" s="274"/>
      <c r="AR409" s="274"/>
      <c r="AS409" s="274"/>
      <c r="AT409" s="274"/>
      <c r="AU409" s="274"/>
      <c r="AV409" s="274"/>
      <c r="AW409" s="274"/>
    </row>
    <row r="410" ht="15.75" customHeight="1">
      <c r="A410" s="274"/>
      <c r="B410" s="274"/>
      <c r="C410" s="274"/>
      <c r="D410" s="274"/>
      <c r="E410" s="274"/>
      <c r="F410" s="274"/>
      <c r="G410" s="274"/>
      <c r="H410" s="274"/>
      <c r="I410" s="274"/>
      <c r="J410" s="274"/>
      <c r="K410" s="274"/>
      <c r="L410" s="274"/>
      <c r="M410" s="274"/>
      <c r="N410" s="274"/>
      <c r="O410" s="274"/>
      <c r="P410" s="274"/>
      <c r="Q410" s="274"/>
      <c r="R410" s="316"/>
      <c r="W410" s="274"/>
      <c r="X410" s="274"/>
      <c r="Y410" s="274"/>
      <c r="Z410" s="274">
        <v>23.187</v>
      </c>
      <c r="AA410" s="309">
        <v>3152884.877</v>
      </c>
      <c r="AB410" s="309">
        <v>2350120.831</v>
      </c>
      <c r="AC410" s="309">
        <v>2582806.062</v>
      </c>
      <c r="AD410" s="274"/>
      <c r="AE410" s="274"/>
      <c r="AF410" s="274"/>
      <c r="AG410" s="274"/>
      <c r="AH410" s="274"/>
      <c r="AI410" s="274"/>
      <c r="AJ410" s="274"/>
      <c r="AK410" s="274"/>
      <c r="AL410" s="274"/>
      <c r="AM410" s="274"/>
      <c r="AN410" s="274"/>
      <c r="AO410" s="274"/>
      <c r="AP410" s="274"/>
      <c r="AQ410" s="274"/>
      <c r="AR410" s="274"/>
      <c r="AS410" s="274"/>
      <c r="AT410" s="274"/>
      <c r="AU410" s="274"/>
      <c r="AV410" s="274"/>
      <c r="AW410" s="274"/>
    </row>
    <row r="411" ht="15.75" customHeight="1">
      <c r="A411" s="274"/>
      <c r="B411" s="274"/>
      <c r="C411" s="274"/>
      <c r="D411" s="274"/>
      <c r="E411" s="274"/>
      <c r="F411" s="274"/>
      <c r="G411" s="274"/>
      <c r="H411" s="274"/>
      <c r="I411" s="274"/>
      <c r="J411" s="274"/>
      <c r="K411" s="274"/>
      <c r="L411" s="274"/>
      <c r="M411" s="274"/>
      <c r="N411" s="274"/>
      <c r="O411" s="274"/>
      <c r="P411" s="274"/>
      <c r="Q411" s="274"/>
      <c r="R411" s="316"/>
      <c r="W411" s="274"/>
      <c r="X411" s="274"/>
      <c r="Y411" s="274"/>
      <c r="Z411" s="274">
        <v>23.25</v>
      </c>
      <c r="AA411" s="309">
        <v>3152884.877</v>
      </c>
      <c r="AB411" s="309">
        <v>2350120.831</v>
      </c>
      <c r="AC411" s="309">
        <v>2629343.108</v>
      </c>
      <c r="AD411" s="274"/>
      <c r="AE411" s="274"/>
      <c r="AF411" s="274"/>
      <c r="AG411" s="274"/>
      <c r="AH411" s="274"/>
      <c r="AI411" s="274"/>
      <c r="AJ411" s="274"/>
      <c r="AK411" s="274"/>
      <c r="AL411" s="274"/>
      <c r="AM411" s="274"/>
      <c r="AN411" s="274"/>
      <c r="AO411" s="274"/>
      <c r="AP411" s="274"/>
      <c r="AQ411" s="274"/>
      <c r="AR411" s="274"/>
      <c r="AS411" s="274"/>
      <c r="AT411" s="274"/>
      <c r="AU411" s="274"/>
      <c r="AV411" s="274"/>
      <c r="AW411" s="274"/>
    </row>
    <row r="412" ht="15.75" customHeight="1">
      <c r="A412" s="274"/>
      <c r="B412" s="274"/>
      <c r="C412" s="274"/>
      <c r="D412" s="274"/>
      <c r="E412" s="274"/>
      <c r="F412" s="274"/>
      <c r="G412" s="274"/>
      <c r="H412" s="274"/>
      <c r="I412" s="274"/>
      <c r="J412" s="274"/>
      <c r="K412" s="274"/>
      <c r="L412" s="274"/>
      <c r="M412" s="274"/>
      <c r="N412" s="274"/>
      <c r="O412" s="274"/>
      <c r="P412" s="274"/>
      <c r="Q412" s="274"/>
      <c r="R412" s="316"/>
      <c r="W412" s="274"/>
      <c r="X412" s="274"/>
      <c r="Y412" s="274"/>
      <c r="Z412" s="274">
        <v>23.312</v>
      </c>
      <c r="AA412" s="309">
        <v>3152884.877</v>
      </c>
      <c r="AB412" s="309">
        <v>2350120.831</v>
      </c>
      <c r="AC412" s="309">
        <v>2629343.108</v>
      </c>
      <c r="AD412" s="274"/>
      <c r="AE412" s="274"/>
      <c r="AF412" s="274"/>
      <c r="AG412" s="274"/>
      <c r="AH412" s="274"/>
      <c r="AI412" s="274"/>
      <c r="AJ412" s="274"/>
      <c r="AK412" s="274"/>
      <c r="AL412" s="274"/>
      <c r="AM412" s="274"/>
      <c r="AN412" s="274"/>
      <c r="AO412" s="274"/>
      <c r="AP412" s="274"/>
      <c r="AQ412" s="274"/>
      <c r="AR412" s="274"/>
      <c r="AS412" s="274"/>
      <c r="AT412" s="274"/>
      <c r="AU412" s="274"/>
      <c r="AV412" s="274"/>
      <c r="AW412" s="274"/>
    </row>
    <row r="413" ht="15.75" customHeight="1">
      <c r="A413" s="274"/>
      <c r="B413" s="274"/>
      <c r="C413" s="274"/>
      <c r="D413" s="274"/>
      <c r="E413" s="274"/>
      <c r="F413" s="274"/>
      <c r="G413" s="274"/>
      <c r="H413" s="274"/>
      <c r="I413" s="274"/>
      <c r="J413" s="274"/>
      <c r="K413" s="274"/>
      <c r="L413" s="274"/>
      <c r="M413" s="274"/>
      <c r="N413" s="274"/>
      <c r="O413" s="274"/>
      <c r="P413" s="274"/>
      <c r="Q413" s="274"/>
      <c r="R413" s="316"/>
      <c r="W413" s="274"/>
      <c r="X413" s="274"/>
      <c r="Y413" s="274"/>
      <c r="Z413" s="274">
        <v>23.375</v>
      </c>
      <c r="AA413" s="309">
        <v>3152884.877</v>
      </c>
      <c r="AB413" s="309">
        <v>2350120.831</v>
      </c>
      <c r="AC413" s="309">
        <v>2687514.415</v>
      </c>
      <c r="AD413" s="274"/>
      <c r="AE413" s="274"/>
      <c r="AF413" s="274"/>
      <c r="AG413" s="274"/>
      <c r="AH413" s="274"/>
      <c r="AI413" s="274"/>
      <c r="AJ413" s="274"/>
      <c r="AK413" s="274"/>
      <c r="AL413" s="274"/>
      <c r="AM413" s="274"/>
      <c r="AN413" s="274"/>
      <c r="AO413" s="274"/>
      <c r="AP413" s="274"/>
      <c r="AQ413" s="274"/>
      <c r="AR413" s="274"/>
      <c r="AS413" s="274"/>
      <c r="AT413" s="274"/>
      <c r="AU413" s="274"/>
      <c r="AV413" s="274"/>
      <c r="AW413" s="274"/>
    </row>
    <row r="414" ht="15.75" customHeight="1">
      <c r="A414" s="274"/>
      <c r="B414" s="274"/>
      <c r="C414" s="274"/>
      <c r="D414" s="274"/>
      <c r="E414" s="274"/>
      <c r="F414" s="274"/>
      <c r="G414" s="274"/>
      <c r="H414" s="274"/>
      <c r="I414" s="274"/>
      <c r="J414" s="274"/>
      <c r="K414" s="274"/>
      <c r="L414" s="274"/>
      <c r="M414" s="274"/>
      <c r="N414" s="274"/>
      <c r="O414" s="274"/>
      <c r="P414" s="274"/>
      <c r="Q414" s="274"/>
      <c r="R414" s="316"/>
      <c r="W414" s="274"/>
      <c r="X414" s="274"/>
      <c r="Y414" s="274"/>
      <c r="Z414" s="274">
        <v>23.437</v>
      </c>
      <c r="AA414" s="309">
        <v>3152884.877</v>
      </c>
      <c r="AB414" s="309">
        <v>2350120.831</v>
      </c>
      <c r="AC414" s="309">
        <v>2687514.415</v>
      </c>
      <c r="AD414" s="274"/>
      <c r="AE414" s="274"/>
      <c r="AF414" s="274"/>
      <c r="AG414" s="274"/>
      <c r="AH414" s="274"/>
      <c r="AI414" s="274"/>
      <c r="AJ414" s="274"/>
      <c r="AK414" s="274"/>
      <c r="AL414" s="274"/>
      <c r="AM414" s="274"/>
      <c r="AN414" s="274"/>
      <c r="AO414" s="274"/>
      <c r="AP414" s="274"/>
      <c r="AQ414" s="274"/>
      <c r="AR414" s="274"/>
      <c r="AS414" s="274"/>
      <c r="AT414" s="274"/>
      <c r="AU414" s="274"/>
      <c r="AV414" s="274"/>
      <c r="AW414" s="274"/>
    </row>
    <row r="415" ht="15.75" customHeight="1">
      <c r="A415" s="274"/>
      <c r="B415" s="274"/>
      <c r="C415" s="274"/>
      <c r="D415" s="274"/>
      <c r="E415" s="274"/>
      <c r="F415" s="274"/>
      <c r="G415" s="274"/>
      <c r="H415" s="274"/>
      <c r="I415" s="274"/>
      <c r="J415" s="274"/>
      <c r="K415" s="274"/>
      <c r="L415" s="274"/>
      <c r="M415" s="274"/>
      <c r="N415" s="274"/>
      <c r="O415" s="274"/>
      <c r="P415" s="274"/>
      <c r="Q415" s="274"/>
      <c r="R415" s="316"/>
      <c r="W415" s="274"/>
      <c r="X415" s="274"/>
      <c r="Y415" s="274"/>
      <c r="Z415" s="274">
        <v>23.5</v>
      </c>
      <c r="AA415" s="309">
        <v>3187787.662</v>
      </c>
      <c r="AB415" s="309">
        <v>2350120.831</v>
      </c>
      <c r="AC415" s="309">
        <v>2687514.415</v>
      </c>
      <c r="AD415" s="274"/>
      <c r="AE415" s="274"/>
      <c r="AF415" s="274"/>
      <c r="AG415" s="274"/>
      <c r="AH415" s="274"/>
      <c r="AI415" s="274"/>
      <c r="AJ415" s="274"/>
      <c r="AK415" s="274"/>
      <c r="AL415" s="274"/>
      <c r="AM415" s="274"/>
      <c r="AN415" s="274"/>
      <c r="AO415" s="274"/>
      <c r="AP415" s="274"/>
      <c r="AQ415" s="274"/>
      <c r="AR415" s="274"/>
      <c r="AS415" s="274"/>
      <c r="AT415" s="274"/>
      <c r="AU415" s="274"/>
      <c r="AV415" s="274"/>
      <c r="AW415" s="274"/>
    </row>
    <row r="416" ht="15.75" customHeight="1">
      <c r="A416" s="274"/>
      <c r="B416" s="274"/>
      <c r="C416" s="274"/>
      <c r="D416" s="274"/>
      <c r="E416" s="274"/>
      <c r="F416" s="274"/>
      <c r="G416" s="274"/>
      <c r="H416" s="274"/>
      <c r="I416" s="274"/>
      <c r="J416" s="274"/>
      <c r="K416" s="274"/>
      <c r="L416" s="274"/>
      <c r="M416" s="274"/>
      <c r="N416" s="274"/>
      <c r="O416" s="274"/>
      <c r="P416" s="274"/>
      <c r="Q416" s="274"/>
      <c r="R416" s="316"/>
      <c r="W416" s="274"/>
      <c r="X416" s="274"/>
      <c r="Y416" s="274"/>
      <c r="Z416" s="274">
        <v>23.562</v>
      </c>
      <c r="AA416" s="309">
        <v>3187787.662</v>
      </c>
      <c r="AB416" s="309">
        <v>2350120.831</v>
      </c>
      <c r="AC416" s="309">
        <v>2687514.415</v>
      </c>
      <c r="AD416" s="274"/>
      <c r="AE416" s="274"/>
      <c r="AF416" s="274"/>
      <c r="AG416" s="274"/>
      <c r="AH416" s="274"/>
      <c r="AI416" s="274"/>
      <c r="AJ416" s="274"/>
      <c r="AK416" s="274"/>
      <c r="AL416" s="274"/>
      <c r="AM416" s="274"/>
      <c r="AN416" s="274"/>
      <c r="AO416" s="274"/>
      <c r="AP416" s="274"/>
      <c r="AQ416" s="274"/>
      <c r="AR416" s="274"/>
      <c r="AS416" s="274"/>
      <c r="AT416" s="274"/>
      <c r="AU416" s="274"/>
      <c r="AV416" s="274"/>
      <c r="AW416" s="274"/>
    </row>
    <row r="417" ht="15.75" customHeight="1">
      <c r="A417" s="274"/>
      <c r="B417" s="274"/>
      <c r="C417" s="274"/>
      <c r="D417" s="274"/>
      <c r="E417" s="274"/>
      <c r="F417" s="274"/>
      <c r="G417" s="274"/>
      <c r="H417" s="274"/>
      <c r="I417" s="274"/>
      <c r="J417" s="274"/>
      <c r="K417" s="274"/>
      <c r="L417" s="274"/>
      <c r="M417" s="274"/>
      <c r="N417" s="274"/>
      <c r="O417" s="274"/>
      <c r="P417" s="274"/>
      <c r="Q417" s="274"/>
      <c r="R417" s="316"/>
      <c r="W417" s="274"/>
      <c r="X417" s="274"/>
      <c r="Y417" s="274"/>
      <c r="Z417" s="274">
        <v>23.625</v>
      </c>
      <c r="AA417" s="309">
        <v>3199421.923</v>
      </c>
      <c r="AB417" s="309">
        <v>2350120.831</v>
      </c>
      <c r="AC417" s="309">
        <v>2734051.462</v>
      </c>
      <c r="AD417" s="274"/>
      <c r="AE417" s="274"/>
      <c r="AF417" s="274"/>
      <c r="AG417" s="274"/>
      <c r="AH417" s="274"/>
      <c r="AI417" s="274"/>
      <c r="AJ417" s="274"/>
      <c r="AK417" s="274"/>
      <c r="AL417" s="274"/>
      <c r="AM417" s="274"/>
      <c r="AN417" s="274"/>
      <c r="AO417" s="274"/>
      <c r="AP417" s="274"/>
      <c r="AQ417" s="274"/>
      <c r="AR417" s="274"/>
      <c r="AS417" s="274"/>
      <c r="AT417" s="274"/>
      <c r="AU417" s="274"/>
      <c r="AV417" s="274"/>
      <c r="AW417" s="274"/>
    </row>
    <row r="418" ht="15.75" customHeight="1">
      <c r="A418" s="274"/>
      <c r="B418" s="274"/>
      <c r="C418" s="274"/>
      <c r="D418" s="274"/>
      <c r="E418" s="274"/>
      <c r="F418" s="274"/>
      <c r="G418" s="274"/>
      <c r="H418" s="274"/>
      <c r="I418" s="274"/>
      <c r="J418" s="274"/>
      <c r="K418" s="274"/>
      <c r="L418" s="274"/>
      <c r="M418" s="274"/>
      <c r="N418" s="274"/>
      <c r="O418" s="274"/>
      <c r="P418" s="274"/>
      <c r="Q418" s="274"/>
      <c r="R418" s="316"/>
      <c r="W418" s="274"/>
      <c r="X418" s="274"/>
      <c r="Y418" s="274"/>
      <c r="Z418" s="274">
        <v>23.687</v>
      </c>
      <c r="AA418" s="309">
        <v>3211056.185</v>
      </c>
      <c r="AB418" s="309">
        <v>2350120.831</v>
      </c>
      <c r="AC418" s="309">
        <v>2734051.462</v>
      </c>
      <c r="AD418" s="274"/>
      <c r="AE418" s="274"/>
      <c r="AF418" s="274"/>
      <c r="AG418" s="274"/>
      <c r="AH418" s="274"/>
      <c r="AI418" s="274"/>
      <c r="AJ418" s="274"/>
      <c r="AK418" s="274"/>
      <c r="AL418" s="274"/>
      <c r="AM418" s="274"/>
      <c r="AN418" s="274"/>
      <c r="AO418" s="274"/>
      <c r="AP418" s="274"/>
      <c r="AQ418" s="274"/>
      <c r="AR418" s="274"/>
      <c r="AS418" s="274"/>
      <c r="AT418" s="274"/>
      <c r="AU418" s="274"/>
      <c r="AV418" s="274"/>
      <c r="AW418" s="274"/>
    </row>
    <row r="419" ht="15.75" customHeight="1">
      <c r="A419" s="274"/>
      <c r="B419" s="274"/>
      <c r="C419" s="274"/>
      <c r="D419" s="274"/>
      <c r="E419" s="274"/>
      <c r="F419" s="274"/>
      <c r="G419" s="274"/>
      <c r="H419" s="274"/>
      <c r="I419" s="274"/>
      <c r="J419" s="274"/>
      <c r="K419" s="274"/>
      <c r="L419" s="274"/>
      <c r="M419" s="274"/>
      <c r="N419" s="274"/>
      <c r="O419" s="274"/>
      <c r="P419" s="274"/>
      <c r="Q419" s="274"/>
      <c r="R419" s="316"/>
      <c r="W419" s="274"/>
      <c r="X419" s="274"/>
      <c r="Y419" s="274"/>
      <c r="Z419" s="274">
        <v>23.75</v>
      </c>
      <c r="AA419" s="309">
        <v>3211056.185</v>
      </c>
      <c r="AB419" s="309">
        <v>2350120.831</v>
      </c>
      <c r="AC419" s="309">
        <v>2734051.462</v>
      </c>
      <c r="AD419" s="274"/>
      <c r="AE419" s="274"/>
      <c r="AF419" s="274"/>
      <c r="AG419" s="274"/>
      <c r="AH419" s="274"/>
      <c r="AI419" s="274"/>
      <c r="AJ419" s="274"/>
      <c r="AK419" s="274"/>
      <c r="AL419" s="274"/>
      <c r="AM419" s="274"/>
      <c r="AN419" s="274"/>
      <c r="AO419" s="274"/>
      <c r="AP419" s="274"/>
      <c r="AQ419" s="274"/>
      <c r="AR419" s="274"/>
      <c r="AS419" s="274"/>
      <c r="AT419" s="274"/>
      <c r="AU419" s="274"/>
      <c r="AV419" s="274"/>
      <c r="AW419" s="274"/>
    </row>
    <row r="420" ht="15.75" customHeight="1">
      <c r="A420" s="274"/>
      <c r="B420" s="274"/>
      <c r="C420" s="274"/>
      <c r="D420" s="274"/>
      <c r="E420" s="274"/>
      <c r="F420" s="274"/>
      <c r="G420" s="274"/>
      <c r="H420" s="274"/>
      <c r="I420" s="274"/>
      <c r="J420" s="274"/>
      <c r="K420" s="274"/>
      <c r="L420" s="274"/>
      <c r="M420" s="274"/>
      <c r="N420" s="274"/>
      <c r="O420" s="274"/>
      <c r="P420" s="274"/>
      <c r="Q420" s="274"/>
      <c r="R420" s="316"/>
      <c r="W420" s="274"/>
      <c r="X420" s="274"/>
      <c r="Y420" s="274"/>
      <c r="Z420" s="274">
        <v>23.812</v>
      </c>
      <c r="AA420" s="309">
        <v>3211056.185</v>
      </c>
      <c r="AB420" s="309">
        <v>2350120.831</v>
      </c>
      <c r="AC420" s="309">
        <v>2734051.462</v>
      </c>
      <c r="AD420" s="274"/>
      <c r="AE420" s="274"/>
      <c r="AF420" s="274"/>
      <c r="AG420" s="274"/>
      <c r="AH420" s="274"/>
      <c r="AI420" s="274"/>
      <c r="AJ420" s="274"/>
      <c r="AK420" s="274"/>
      <c r="AL420" s="274"/>
      <c r="AM420" s="274"/>
      <c r="AN420" s="274"/>
      <c r="AO420" s="274"/>
      <c r="AP420" s="274"/>
      <c r="AQ420" s="274"/>
      <c r="AR420" s="274"/>
      <c r="AS420" s="274"/>
      <c r="AT420" s="274"/>
      <c r="AU420" s="274"/>
      <c r="AV420" s="274"/>
      <c r="AW420" s="274"/>
    </row>
    <row r="421" ht="15.75" customHeight="1">
      <c r="A421" s="274"/>
      <c r="B421" s="274"/>
      <c r="C421" s="274"/>
      <c r="D421" s="274"/>
      <c r="E421" s="274"/>
      <c r="F421" s="274"/>
      <c r="G421" s="274"/>
      <c r="H421" s="274"/>
      <c r="I421" s="274"/>
      <c r="J421" s="274"/>
      <c r="K421" s="274"/>
      <c r="L421" s="274"/>
      <c r="M421" s="274"/>
      <c r="N421" s="274"/>
      <c r="O421" s="274"/>
      <c r="P421" s="274"/>
      <c r="Q421" s="274"/>
      <c r="R421" s="316"/>
      <c r="W421" s="274"/>
      <c r="X421" s="274"/>
      <c r="Y421" s="274"/>
      <c r="Z421" s="274">
        <v>23.875</v>
      </c>
      <c r="AA421" s="309">
        <v>3211056.185</v>
      </c>
      <c r="AB421" s="309">
        <v>2350120.831</v>
      </c>
      <c r="AC421" s="309">
        <v>2734051.462</v>
      </c>
      <c r="AD421" s="274"/>
      <c r="AE421" s="274"/>
      <c r="AF421" s="274"/>
      <c r="AG421" s="274"/>
      <c r="AH421" s="274"/>
      <c r="AI421" s="274"/>
      <c r="AJ421" s="274"/>
      <c r="AK421" s="274"/>
      <c r="AL421" s="274"/>
      <c r="AM421" s="274"/>
      <c r="AN421" s="274"/>
      <c r="AO421" s="274"/>
      <c r="AP421" s="274"/>
      <c r="AQ421" s="274"/>
      <c r="AR421" s="274"/>
      <c r="AS421" s="274"/>
      <c r="AT421" s="274"/>
      <c r="AU421" s="274"/>
      <c r="AV421" s="274"/>
      <c r="AW421" s="274"/>
    </row>
    <row r="422" ht="15.75" customHeight="1">
      <c r="A422" s="274"/>
      <c r="B422" s="274"/>
      <c r="C422" s="274"/>
      <c r="D422" s="274"/>
      <c r="E422" s="274"/>
      <c r="F422" s="274"/>
      <c r="G422" s="274"/>
      <c r="H422" s="274"/>
      <c r="I422" s="274"/>
      <c r="J422" s="274"/>
      <c r="K422" s="274"/>
      <c r="L422" s="274"/>
      <c r="M422" s="274"/>
      <c r="N422" s="274"/>
      <c r="O422" s="274"/>
      <c r="P422" s="274"/>
      <c r="Q422" s="274"/>
      <c r="R422" s="316"/>
      <c r="W422" s="274"/>
      <c r="X422" s="274"/>
      <c r="Y422" s="274"/>
      <c r="Z422" s="274">
        <v>23.937</v>
      </c>
      <c r="AA422" s="309">
        <v>3211056.185</v>
      </c>
      <c r="AB422" s="309">
        <v>2396657.877</v>
      </c>
      <c r="AC422" s="309">
        <v>2734051.462</v>
      </c>
      <c r="AD422" s="274"/>
      <c r="AE422" s="274"/>
      <c r="AF422" s="274"/>
      <c r="AG422" s="274"/>
      <c r="AH422" s="274"/>
      <c r="AI422" s="274"/>
      <c r="AJ422" s="274"/>
      <c r="AK422" s="274"/>
      <c r="AL422" s="274"/>
      <c r="AM422" s="274"/>
      <c r="AN422" s="274"/>
      <c r="AO422" s="274"/>
      <c r="AP422" s="274"/>
      <c r="AQ422" s="274"/>
      <c r="AR422" s="274"/>
      <c r="AS422" s="274"/>
      <c r="AT422" s="274"/>
      <c r="AU422" s="274"/>
      <c r="AV422" s="274"/>
      <c r="AW422" s="274"/>
    </row>
    <row r="423" ht="15.75" customHeight="1">
      <c r="A423" s="274"/>
      <c r="B423" s="274"/>
      <c r="C423" s="274"/>
      <c r="D423" s="274"/>
      <c r="E423" s="274"/>
      <c r="F423" s="274"/>
      <c r="G423" s="274"/>
      <c r="H423" s="274"/>
      <c r="I423" s="274"/>
      <c r="J423" s="274"/>
      <c r="K423" s="274"/>
      <c r="L423" s="274"/>
      <c r="M423" s="274"/>
      <c r="N423" s="274"/>
      <c r="O423" s="274"/>
      <c r="P423" s="274"/>
      <c r="Q423" s="274"/>
      <c r="R423" s="316"/>
      <c r="W423" s="274"/>
      <c r="X423" s="274"/>
      <c r="Y423" s="274"/>
      <c r="Z423" s="274">
        <v>24.0</v>
      </c>
      <c r="AA423" s="309">
        <v>3211056.185</v>
      </c>
      <c r="AB423" s="309">
        <v>2396657.877</v>
      </c>
      <c r="AC423" s="309">
        <v>2734051.462</v>
      </c>
      <c r="AD423" s="274"/>
      <c r="AE423" s="274"/>
      <c r="AF423" s="274"/>
      <c r="AG423" s="274"/>
      <c r="AH423" s="274"/>
      <c r="AI423" s="274"/>
      <c r="AJ423" s="274"/>
      <c r="AK423" s="274"/>
      <c r="AL423" s="274"/>
      <c r="AM423" s="274"/>
      <c r="AN423" s="274"/>
      <c r="AO423" s="274"/>
      <c r="AP423" s="274"/>
      <c r="AQ423" s="274"/>
      <c r="AR423" s="274"/>
      <c r="AS423" s="274"/>
      <c r="AT423" s="274"/>
      <c r="AU423" s="274"/>
      <c r="AV423" s="274"/>
      <c r="AW423" s="274"/>
    </row>
    <row r="424" ht="15.75" customHeight="1">
      <c r="A424" s="274"/>
      <c r="B424" s="274"/>
      <c r="C424" s="274"/>
      <c r="D424" s="274"/>
      <c r="E424" s="274"/>
      <c r="F424" s="274"/>
      <c r="G424" s="274"/>
      <c r="H424" s="274"/>
      <c r="I424" s="274"/>
      <c r="J424" s="274"/>
      <c r="K424" s="274"/>
      <c r="L424" s="274"/>
      <c r="M424" s="274"/>
      <c r="N424" s="274"/>
      <c r="O424" s="274"/>
      <c r="P424" s="274"/>
      <c r="Q424" s="274"/>
      <c r="R424" s="316"/>
      <c r="W424" s="274"/>
      <c r="X424" s="274"/>
      <c r="Y424" s="274"/>
      <c r="Z424" s="274">
        <v>24.062</v>
      </c>
      <c r="AA424" s="309">
        <v>3211056.185</v>
      </c>
      <c r="AB424" s="309">
        <v>2408292.138</v>
      </c>
      <c r="AC424" s="309">
        <v>2734051.462</v>
      </c>
      <c r="AD424" s="274"/>
      <c r="AE424" s="274"/>
      <c r="AF424" s="274"/>
      <c r="AG424" s="274"/>
      <c r="AH424" s="274"/>
      <c r="AI424" s="274"/>
      <c r="AJ424" s="274"/>
      <c r="AK424" s="274"/>
      <c r="AL424" s="274"/>
      <c r="AM424" s="274"/>
      <c r="AN424" s="274"/>
      <c r="AO424" s="274"/>
      <c r="AP424" s="274"/>
      <c r="AQ424" s="274"/>
      <c r="AR424" s="274"/>
      <c r="AS424" s="274"/>
      <c r="AT424" s="274"/>
      <c r="AU424" s="274"/>
      <c r="AV424" s="274"/>
      <c r="AW424" s="274"/>
    </row>
    <row r="425" ht="15.75" customHeight="1">
      <c r="A425" s="274"/>
      <c r="B425" s="274"/>
      <c r="C425" s="274"/>
      <c r="D425" s="274"/>
      <c r="E425" s="274"/>
      <c r="F425" s="274"/>
      <c r="G425" s="274"/>
      <c r="H425" s="274"/>
      <c r="I425" s="274"/>
      <c r="J425" s="274"/>
      <c r="K425" s="274"/>
      <c r="L425" s="274"/>
      <c r="M425" s="274"/>
      <c r="N425" s="274"/>
      <c r="O425" s="274"/>
      <c r="P425" s="274"/>
      <c r="Q425" s="274"/>
      <c r="R425" s="316"/>
      <c r="W425" s="274"/>
      <c r="X425" s="274"/>
      <c r="Y425" s="274"/>
      <c r="Z425" s="274">
        <v>24.125</v>
      </c>
      <c r="AA425" s="309">
        <v>3211056.185</v>
      </c>
      <c r="AB425" s="309">
        <v>2408292.138</v>
      </c>
      <c r="AC425" s="309">
        <v>2734051.462</v>
      </c>
      <c r="AD425" s="274"/>
      <c r="AE425" s="274"/>
      <c r="AF425" s="274"/>
      <c r="AG425" s="274"/>
      <c r="AH425" s="274"/>
      <c r="AI425" s="274"/>
      <c r="AJ425" s="274"/>
      <c r="AK425" s="274"/>
      <c r="AL425" s="274"/>
      <c r="AM425" s="274"/>
      <c r="AN425" s="274"/>
      <c r="AO425" s="274"/>
      <c r="AP425" s="274"/>
      <c r="AQ425" s="274"/>
      <c r="AR425" s="274"/>
      <c r="AS425" s="274"/>
      <c r="AT425" s="274"/>
      <c r="AU425" s="274"/>
      <c r="AV425" s="274"/>
      <c r="AW425" s="274"/>
    </row>
    <row r="426" ht="15.75" customHeight="1">
      <c r="A426" s="274"/>
      <c r="B426" s="274"/>
      <c r="C426" s="274"/>
      <c r="D426" s="274"/>
      <c r="E426" s="274"/>
      <c r="F426" s="274"/>
      <c r="G426" s="274"/>
      <c r="H426" s="274"/>
      <c r="I426" s="274"/>
      <c r="J426" s="274"/>
      <c r="K426" s="274"/>
      <c r="L426" s="274"/>
      <c r="M426" s="274"/>
      <c r="N426" s="274"/>
      <c r="O426" s="274"/>
      <c r="P426" s="274"/>
      <c r="Q426" s="274"/>
      <c r="R426" s="316"/>
      <c r="W426" s="274"/>
      <c r="X426" s="274"/>
      <c r="Y426" s="274"/>
      <c r="Z426" s="274">
        <v>24.187</v>
      </c>
      <c r="AA426" s="309">
        <v>3211056.185</v>
      </c>
      <c r="AB426" s="309">
        <v>2408292.138</v>
      </c>
      <c r="AC426" s="309">
        <v>2734051.462</v>
      </c>
      <c r="AD426" s="274"/>
      <c r="AE426" s="274"/>
      <c r="AF426" s="274"/>
      <c r="AG426" s="274"/>
      <c r="AH426" s="274"/>
      <c r="AI426" s="274"/>
      <c r="AJ426" s="274"/>
      <c r="AK426" s="274"/>
      <c r="AL426" s="274"/>
      <c r="AM426" s="274"/>
      <c r="AN426" s="274"/>
      <c r="AO426" s="274"/>
      <c r="AP426" s="274"/>
      <c r="AQ426" s="274"/>
      <c r="AR426" s="274"/>
      <c r="AS426" s="274"/>
      <c r="AT426" s="274"/>
      <c r="AU426" s="274"/>
      <c r="AV426" s="274"/>
      <c r="AW426" s="274"/>
    </row>
    <row r="427" ht="15.75" customHeight="1">
      <c r="A427" s="274"/>
      <c r="B427" s="274"/>
      <c r="C427" s="274"/>
      <c r="D427" s="274"/>
      <c r="E427" s="274"/>
      <c r="F427" s="274"/>
      <c r="G427" s="274"/>
      <c r="H427" s="274"/>
      <c r="I427" s="274"/>
      <c r="J427" s="274"/>
      <c r="K427" s="274"/>
      <c r="L427" s="274"/>
      <c r="M427" s="274"/>
      <c r="N427" s="274"/>
      <c r="O427" s="274"/>
      <c r="P427" s="274"/>
      <c r="Q427" s="274"/>
      <c r="R427" s="316"/>
      <c r="W427" s="274"/>
      <c r="X427" s="274"/>
      <c r="Y427" s="274"/>
      <c r="Z427" s="274">
        <v>24.25</v>
      </c>
      <c r="AA427" s="309">
        <v>3211056.185</v>
      </c>
      <c r="AB427" s="309">
        <v>2408292.138</v>
      </c>
      <c r="AC427" s="309">
        <v>2734051.462</v>
      </c>
      <c r="AD427" s="274"/>
      <c r="AE427" s="274"/>
      <c r="AF427" s="274"/>
      <c r="AG427" s="274"/>
      <c r="AH427" s="274"/>
      <c r="AI427" s="274"/>
      <c r="AJ427" s="274"/>
      <c r="AK427" s="274"/>
      <c r="AL427" s="274"/>
      <c r="AM427" s="274"/>
      <c r="AN427" s="274"/>
      <c r="AO427" s="274"/>
      <c r="AP427" s="274"/>
      <c r="AQ427" s="274"/>
      <c r="AR427" s="274"/>
      <c r="AS427" s="274"/>
      <c r="AT427" s="274"/>
      <c r="AU427" s="274"/>
      <c r="AV427" s="274"/>
      <c r="AW427" s="274"/>
    </row>
    <row r="428" ht="15.75" customHeight="1">
      <c r="A428" s="274"/>
      <c r="B428" s="274"/>
      <c r="C428" s="274"/>
      <c r="D428" s="274"/>
      <c r="E428" s="274"/>
      <c r="F428" s="274"/>
      <c r="G428" s="274"/>
      <c r="H428" s="274"/>
      <c r="I428" s="274"/>
      <c r="J428" s="274"/>
      <c r="K428" s="274"/>
      <c r="L428" s="274"/>
      <c r="M428" s="274"/>
      <c r="N428" s="274"/>
      <c r="O428" s="274"/>
      <c r="P428" s="274"/>
      <c r="Q428" s="274"/>
      <c r="R428" s="316"/>
      <c r="W428" s="274"/>
      <c r="X428" s="274"/>
      <c r="Y428" s="274"/>
      <c r="Z428" s="274">
        <v>24.312</v>
      </c>
      <c r="AA428" s="309">
        <v>3420472.892</v>
      </c>
      <c r="AB428" s="309">
        <v>2547903.277</v>
      </c>
      <c r="AC428" s="309">
        <v>2734051.462</v>
      </c>
      <c r="AD428" s="274"/>
      <c r="AE428" s="274"/>
      <c r="AF428" s="274"/>
      <c r="AG428" s="274"/>
      <c r="AH428" s="274"/>
      <c r="AI428" s="274"/>
      <c r="AJ428" s="274"/>
      <c r="AK428" s="274"/>
      <c r="AL428" s="274"/>
      <c r="AM428" s="274"/>
      <c r="AN428" s="274"/>
      <c r="AO428" s="274"/>
      <c r="AP428" s="274"/>
      <c r="AQ428" s="274"/>
      <c r="AR428" s="274"/>
      <c r="AS428" s="274"/>
      <c r="AT428" s="274"/>
      <c r="AU428" s="274"/>
      <c r="AV428" s="274"/>
      <c r="AW428" s="274"/>
    </row>
    <row r="429" ht="15.75" customHeight="1">
      <c r="A429" s="274"/>
      <c r="B429" s="274"/>
      <c r="C429" s="274"/>
      <c r="D429" s="274"/>
      <c r="E429" s="274"/>
      <c r="F429" s="274"/>
      <c r="G429" s="274"/>
      <c r="H429" s="274"/>
      <c r="I429" s="274"/>
      <c r="J429" s="274"/>
      <c r="K429" s="274"/>
      <c r="L429" s="274"/>
      <c r="M429" s="274"/>
      <c r="N429" s="274"/>
      <c r="O429" s="274"/>
      <c r="P429" s="274"/>
      <c r="Q429" s="274"/>
      <c r="R429" s="316"/>
      <c r="W429" s="274"/>
      <c r="X429" s="274"/>
      <c r="Y429" s="274"/>
      <c r="Z429" s="274">
        <v>24.375</v>
      </c>
      <c r="AA429" s="309">
        <v>3420472.892</v>
      </c>
      <c r="AB429" s="309">
        <v>2547903.277</v>
      </c>
      <c r="AC429" s="309">
        <v>2780588.508</v>
      </c>
      <c r="AD429" s="274"/>
      <c r="AE429" s="274"/>
      <c r="AF429" s="274"/>
      <c r="AG429" s="274"/>
      <c r="AH429" s="274"/>
      <c r="AI429" s="274"/>
      <c r="AJ429" s="274"/>
      <c r="AK429" s="274"/>
      <c r="AL429" s="274"/>
      <c r="AM429" s="274"/>
      <c r="AN429" s="274"/>
      <c r="AO429" s="274"/>
      <c r="AP429" s="274"/>
      <c r="AQ429" s="274"/>
      <c r="AR429" s="274"/>
      <c r="AS429" s="274"/>
      <c r="AT429" s="274"/>
      <c r="AU429" s="274"/>
      <c r="AV429" s="274"/>
      <c r="AW429" s="274"/>
    </row>
    <row r="430" ht="15.75" customHeight="1">
      <c r="A430" s="274"/>
      <c r="B430" s="274"/>
      <c r="C430" s="274"/>
      <c r="D430" s="274"/>
      <c r="E430" s="274"/>
      <c r="F430" s="274"/>
      <c r="G430" s="274"/>
      <c r="H430" s="274"/>
      <c r="I430" s="274"/>
      <c r="J430" s="274"/>
      <c r="K430" s="274"/>
      <c r="L430" s="274"/>
      <c r="M430" s="274"/>
      <c r="N430" s="274"/>
      <c r="O430" s="274"/>
      <c r="P430" s="274"/>
      <c r="Q430" s="274"/>
      <c r="R430" s="316"/>
      <c r="W430" s="274"/>
      <c r="X430" s="274"/>
      <c r="Y430" s="274"/>
      <c r="Z430" s="274">
        <v>24.437</v>
      </c>
      <c r="AA430" s="309">
        <v>3420472.892</v>
      </c>
      <c r="AB430" s="309">
        <v>2547903.277</v>
      </c>
      <c r="AC430" s="309">
        <v>2780588.508</v>
      </c>
      <c r="AD430" s="274"/>
      <c r="AE430" s="274"/>
      <c r="AF430" s="274"/>
      <c r="AG430" s="274"/>
      <c r="AH430" s="274"/>
      <c r="AI430" s="274"/>
      <c r="AJ430" s="274"/>
      <c r="AK430" s="274"/>
      <c r="AL430" s="274"/>
      <c r="AM430" s="274"/>
      <c r="AN430" s="274"/>
      <c r="AO430" s="274"/>
      <c r="AP430" s="274"/>
      <c r="AQ430" s="274"/>
      <c r="AR430" s="274"/>
      <c r="AS430" s="274"/>
      <c r="AT430" s="274"/>
      <c r="AU430" s="274"/>
      <c r="AV430" s="274"/>
      <c r="AW430" s="274"/>
    </row>
    <row r="431" ht="15.75" customHeight="1">
      <c r="A431" s="274"/>
      <c r="B431" s="274"/>
      <c r="C431" s="274"/>
      <c r="D431" s="274"/>
      <c r="E431" s="274"/>
      <c r="F431" s="274"/>
      <c r="G431" s="274"/>
      <c r="H431" s="274"/>
      <c r="I431" s="274"/>
      <c r="J431" s="274"/>
      <c r="K431" s="274"/>
      <c r="L431" s="274"/>
      <c r="M431" s="274"/>
      <c r="N431" s="274"/>
      <c r="O431" s="274"/>
      <c r="P431" s="274"/>
      <c r="Q431" s="274"/>
      <c r="R431" s="316"/>
      <c r="W431" s="274"/>
      <c r="X431" s="274"/>
      <c r="Y431" s="274"/>
      <c r="Z431" s="274">
        <v>24.5</v>
      </c>
      <c r="AA431" s="309">
        <v>3420472.892</v>
      </c>
      <c r="AB431" s="309">
        <v>2547903.277</v>
      </c>
      <c r="AC431" s="309">
        <v>2780588.508</v>
      </c>
      <c r="AD431" s="274"/>
      <c r="AE431" s="274"/>
      <c r="AF431" s="274"/>
      <c r="AG431" s="274"/>
      <c r="AH431" s="274"/>
      <c r="AI431" s="274"/>
      <c r="AJ431" s="274"/>
      <c r="AK431" s="274"/>
      <c r="AL431" s="274"/>
      <c r="AM431" s="274"/>
      <c r="AN431" s="274"/>
      <c r="AO431" s="274"/>
      <c r="AP431" s="274"/>
      <c r="AQ431" s="274"/>
      <c r="AR431" s="274"/>
      <c r="AS431" s="274"/>
      <c r="AT431" s="274"/>
      <c r="AU431" s="274"/>
      <c r="AV431" s="274"/>
      <c r="AW431" s="274"/>
    </row>
    <row r="432" ht="15.75" customHeight="1">
      <c r="A432" s="274"/>
      <c r="B432" s="274"/>
      <c r="C432" s="274"/>
      <c r="D432" s="274"/>
      <c r="E432" s="274"/>
      <c r="F432" s="274"/>
      <c r="G432" s="274"/>
      <c r="H432" s="274"/>
      <c r="I432" s="274"/>
      <c r="J432" s="274"/>
      <c r="K432" s="274"/>
      <c r="L432" s="274"/>
      <c r="M432" s="274"/>
      <c r="N432" s="274"/>
      <c r="O432" s="274"/>
      <c r="P432" s="274"/>
      <c r="Q432" s="274"/>
      <c r="R432" s="316"/>
      <c r="W432" s="274"/>
      <c r="X432" s="274"/>
      <c r="Y432" s="274"/>
      <c r="Z432" s="274">
        <v>24.562</v>
      </c>
      <c r="AA432" s="309">
        <v>3420472.892</v>
      </c>
      <c r="AB432" s="309">
        <v>2571171.8</v>
      </c>
      <c r="AC432" s="309">
        <v>2827125.554</v>
      </c>
      <c r="AD432" s="274"/>
      <c r="AE432" s="274"/>
      <c r="AF432" s="274"/>
      <c r="AG432" s="274"/>
      <c r="AH432" s="274"/>
      <c r="AI432" s="274"/>
      <c r="AJ432" s="274"/>
      <c r="AK432" s="274"/>
      <c r="AL432" s="274"/>
      <c r="AM432" s="274"/>
      <c r="AN432" s="274"/>
      <c r="AO432" s="274"/>
      <c r="AP432" s="274"/>
      <c r="AQ432" s="274"/>
      <c r="AR432" s="274"/>
      <c r="AS432" s="274"/>
      <c r="AT432" s="274"/>
      <c r="AU432" s="274"/>
      <c r="AV432" s="274"/>
      <c r="AW432" s="274"/>
    </row>
    <row r="433" ht="15.75" customHeight="1">
      <c r="A433" s="274"/>
      <c r="B433" s="274"/>
      <c r="C433" s="274"/>
      <c r="D433" s="274"/>
      <c r="E433" s="274"/>
      <c r="F433" s="274"/>
      <c r="G433" s="274"/>
      <c r="H433" s="274"/>
      <c r="I433" s="274"/>
      <c r="J433" s="274"/>
      <c r="K433" s="274"/>
      <c r="L433" s="274"/>
      <c r="M433" s="274"/>
      <c r="N433" s="274"/>
      <c r="O433" s="274"/>
      <c r="P433" s="274"/>
      <c r="Q433" s="274"/>
      <c r="R433" s="316"/>
      <c r="W433" s="274"/>
      <c r="X433" s="274"/>
      <c r="Y433" s="274"/>
      <c r="Z433" s="274">
        <v>24.625</v>
      </c>
      <c r="AA433" s="309">
        <v>3420472.892</v>
      </c>
      <c r="AB433" s="309">
        <v>2571171.8</v>
      </c>
      <c r="AC433" s="309">
        <v>2827125.554</v>
      </c>
      <c r="AD433" s="274"/>
      <c r="AE433" s="274"/>
      <c r="AF433" s="274"/>
      <c r="AG433" s="274"/>
      <c r="AH433" s="274"/>
      <c r="AI433" s="274"/>
      <c r="AJ433" s="274"/>
      <c r="AK433" s="274"/>
      <c r="AL433" s="274"/>
      <c r="AM433" s="274"/>
      <c r="AN433" s="274"/>
      <c r="AO433" s="274"/>
      <c r="AP433" s="274"/>
      <c r="AQ433" s="274"/>
      <c r="AR433" s="274"/>
      <c r="AS433" s="274"/>
      <c r="AT433" s="274"/>
      <c r="AU433" s="274"/>
      <c r="AV433" s="274"/>
      <c r="AW433" s="274"/>
    </row>
    <row r="434" ht="15.75" customHeight="1">
      <c r="A434" s="274"/>
      <c r="B434" s="274"/>
      <c r="C434" s="274"/>
      <c r="D434" s="274"/>
      <c r="E434" s="274"/>
      <c r="F434" s="274"/>
      <c r="G434" s="274"/>
      <c r="H434" s="274"/>
      <c r="I434" s="274"/>
      <c r="J434" s="274"/>
      <c r="K434" s="274"/>
      <c r="L434" s="274"/>
      <c r="M434" s="274"/>
      <c r="N434" s="274"/>
      <c r="O434" s="274"/>
      <c r="P434" s="274"/>
      <c r="Q434" s="274"/>
      <c r="R434" s="316"/>
      <c r="W434" s="274"/>
      <c r="X434" s="274"/>
      <c r="Y434" s="274"/>
      <c r="Z434" s="274">
        <v>24.687</v>
      </c>
      <c r="AA434" s="309">
        <v>3420472.892</v>
      </c>
      <c r="AB434" s="309">
        <v>2571171.8</v>
      </c>
      <c r="AC434" s="309">
        <v>2827125.554</v>
      </c>
      <c r="AD434" s="274"/>
      <c r="AE434" s="274"/>
      <c r="AF434" s="274"/>
      <c r="AG434" s="274"/>
      <c r="AH434" s="274"/>
      <c r="AI434" s="274"/>
      <c r="AJ434" s="274"/>
      <c r="AK434" s="274"/>
      <c r="AL434" s="274"/>
      <c r="AM434" s="274"/>
      <c r="AN434" s="274"/>
      <c r="AO434" s="274"/>
      <c r="AP434" s="274"/>
      <c r="AQ434" s="274"/>
      <c r="AR434" s="274"/>
      <c r="AS434" s="274"/>
      <c r="AT434" s="274"/>
      <c r="AU434" s="274"/>
      <c r="AV434" s="274"/>
      <c r="AW434" s="274"/>
    </row>
    <row r="435" ht="15.75" customHeight="1">
      <c r="A435" s="274"/>
      <c r="B435" s="274"/>
      <c r="C435" s="274"/>
      <c r="D435" s="274"/>
      <c r="E435" s="274"/>
      <c r="F435" s="274"/>
      <c r="G435" s="274"/>
      <c r="H435" s="274"/>
      <c r="I435" s="274"/>
      <c r="J435" s="274"/>
      <c r="K435" s="274"/>
      <c r="L435" s="274"/>
      <c r="M435" s="274"/>
      <c r="N435" s="274"/>
      <c r="O435" s="274"/>
      <c r="P435" s="274"/>
      <c r="Q435" s="274"/>
      <c r="R435" s="316"/>
      <c r="W435" s="274"/>
      <c r="X435" s="274"/>
      <c r="Y435" s="274"/>
      <c r="Z435" s="274">
        <v>24.75</v>
      </c>
      <c r="AA435" s="309">
        <v>3420472.892</v>
      </c>
      <c r="AB435" s="309">
        <v>2571171.8</v>
      </c>
      <c r="AC435" s="309">
        <v>2827125.554</v>
      </c>
      <c r="AD435" s="274"/>
      <c r="AE435" s="274"/>
      <c r="AF435" s="274"/>
      <c r="AG435" s="274"/>
      <c r="AH435" s="274"/>
      <c r="AI435" s="274"/>
      <c r="AJ435" s="274"/>
      <c r="AK435" s="274"/>
      <c r="AL435" s="274"/>
      <c r="AM435" s="274"/>
      <c r="AN435" s="274"/>
      <c r="AO435" s="274"/>
      <c r="AP435" s="274"/>
      <c r="AQ435" s="274"/>
      <c r="AR435" s="274"/>
      <c r="AS435" s="274"/>
      <c r="AT435" s="274"/>
      <c r="AU435" s="274"/>
      <c r="AV435" s="274"/>
      <c r="AW435" s="274"/>
    </row>
    <row r="436" ht="15.75" customHeight="1">
      <c r="A436" s="274"/>
      <c r="B436" s="274"/>
      <c r="C436" s="274"/>
      <c r="D436" s="274"/>
      <c r="E436" s="274"/>
      <c r="F436" s="274"/>
      <c r="G436" s="274"/>
      <c r="H436" s="274"/>
      <c r="I436" s="274"/>
      <c r="J436" s="274"/>
      <c r="K436" s="274"/>
      <c r="L436" s="274"/>
      <c r="M436" s="274"/>
      <c r="N436" s="274"/>
      <c r="O436" s="274"/>
      <c r="P436" s="274"/>
      <c r="Q436" s="274"/>
      <c r="R436" s="316"/>
      <c r="W436" s="274"/>
      <c r="X436" s="274"/>
      <c r="Y436" s="274"/>
      <c r="Z436" s="274">
        <v>24.812</v>
      </c>
      <c r="AA436" s="309">
        <v>3420472.892</v>
      </c>
      <c r="AB436" s="309">
        <v>2571171.8</v>
      </c>
      <c r="AC436" s="309">
        <v>2873662.6</v>
      </c>
      <c r="AD436" s="274"/>
      <c r="AE436" s="274"/>
      <c r="AF436" s="274"/>
      <c r="AG436" s="274"/>
      <c r="AH436" s="274"/>
      <c r="AI436" s="274"/>
      <c r="AJ436" s="274"/>
      <c r="AK436" s="274"/>
      <c r="AL436" s="274"/>
      <c r="AM436" s="274"/>
      <c r="AN436" s="274"/>
      <c r="AO436" s="274"/>
      <c r="AP436" s="274"/>
      <c r="AQ436" s="274"/>
      <c r="AR436" s="274"/>
      <c r="AS436" s="274"/>
      <c r="AT436" s="274"/>
      <c r="AU436" s="274"/>
      <c r="AV436" s="274"/>
      <c r="AW436" s="274"/>
    </row>
    <row r="437" ht="15.75" customHeight="1">
      <c r="A437" s="274"/>
      <c r="B437" s="274"/>
      <c r="C437" s="274"/>
      <c r="D437" s="274"/>
      <c r="E437" s="274"/>
      <c r="F437" s="274"/>
      <c r="G437" s="274"/>
      <c r="H437" s="274"/>
      <c r="I437" s="274"/>
      <c r="J437" s="274"/>
      <c r="K437" s="274"/>
      <c r="L437" s="274"/>
      <c r="M437" s="274"/>
      <c r="N437" s="274"/>
      <c r="O437" s="274"/>
      <c r="P437" s="274"/>
      <c r="Q437" s="274"/>
      <c r="R437" s="316"/>
      <c r="W437" s="274"/>
      <c r="X437" s="274"/>
      <c r="Y437" s="274"/>
      <c r="Z437" s="274">
        <v>24.875</v>
      </c>
      <c r="AA437" s="309">
        <v>3420472.892</v>
      </c>
      <c r="AB437" s="309">
        <v>2571171.8</v>
      </c>
      <c r="AC437" s="309">
        <v>2873662.6</v>
      </c>
      <c r="AD437" s="274"/>
      <c r="AE437" s="274"/>
      <c r="AF437" s="274"/>
      <c r="AG437" s="274"/>
      <c r="AH437" s="274"/>
      <c r="AI437" s="274"/>
      <c r="AJ437" s="274"/>
      <c r="AK437" s="274"/>
      <c r="AL437" s="274"/>
      <c r="AM437" s="274"/>
      <c r="AN437" s="274"/>
      <c r="AO437" s="274"/>
      <c r="AP437" s="274"/>
      <c r="AQ437" s="274"/>
      <c r="AR437" s="274"/>
      <c r="AS437" s="274"/>
      <c r="AT437" s="274"/>
      <c r="AU437" s="274"/>
      <c r="AV437" s="274"/>
      <c r="AW437" s="274"/>
    </row>
    <row r="438" ht="15.75" customHeight="1">
      <c r="A438" s="274"/>
      <c r="B438" s="274"/>
      <c r="C438" s="274"/>
      <c r="D438" s="274"/>
      <c r="E438" s="274"/>
      <c r="F438" s="274"/>
      <c r="G438" s="274"/>
      <c r="H438" s="274"/>
      <c r="I438" s="274"/>
      <c r="J438" s="274"/>
      <c r="K438" s="274"/>
      <c r="L438" s="274"/>
      <c r="M438" s="274"/>
      <c r="N438" s="274"/>
      <c r="O438" s="274"/>
      <c r="P438" s="274"/>
      <c r="Q438" s="274"/>
      <c r="R438" s="316"/>
      <c r="W438" s="274"/>
      <c r="X438" s="274"/>
      <c r="Y438" s="274"/>
      <c r="Z438" s="274">
        <v>24.937</v>
      </c>
      <c r="AA438" s="309">
        <v>3420472.892</v>
      </c>
      <c r="AB438" s="309">
        <v>2571171.8</v>
      </c>
      <c r="AC438" s="309">
        <v>2873662.6</v>
      </c>
      <c r="AD438" s="274"/>
      <c r="AE438" s="274"/>
      <c r="AF438" s="274"/>
      <c r="AG438" s="274"/>
      <c r="AH438" s="274"/>
      <c r="AI438" s="274"/>
      <c r="AJ438" s="274"/>
      <c r="AK438" s="274"/>
      <c r="AL438" s="274"/>
      <c r="AM438" s="274"/>
      <c r="AN438" s="274"/>
      <c r="AO438" s="274"/>
      <c r="AP438" s="274"/>
      <c r="AQ438" s="274"/>
      <c r="AR438" s="274"/>
      <c r="AS438" s="274"/>
      <c r="AT438" s="274"/>
      <c r="AU438" s="274"/>
      <c r="AV438" s="274"/>
      <c r="AW438" s="274"/>
    </row>
    <row r="439" ht="15.75" customHeight="1">
      <c r="A439" s="274"/>
      <c r="B439" s="274"/>
      <c r="C439" s="274"/>
      <c r="D439" s="274"/>
      <c r="E439" s="274"/>
      <c r="F439" s="274"/>
      <c r="G439" s="274"/>
      <c r="H439" s="274"/>
      <c r="I439" s="274"/>
      <c r="J439" s="274"/>
      <c r="K439" s="274"/>
      <c r="L439" s="274"/>
      <c r="M439" s="274"/>
      <c r="N439" s="274"/>
      <c r="O439" s="274"/>
      <c r="P439" s="274"/>
      <c r="Q439" s="274"/>
      <c r="R439" s="316"/>
      <c r="W439" s="274"/>
      <c r="X439" s="274"/>
      <c r="Y439" s="274"/>
      <c r="Z439" s="274">
        <v>25.0</v>
      </c>
      <c r="AA439" s="309">
        <v>3420472.892</v>
      </c>
      <c r="AB439" s="309">
        <v>2571171.8</v>
      </c>
      <c r="AC439" s="309">
        <v>2873662.6</v>
      </c>
      <c r="AD439" s="274"/>
      <c r="AE439" s="274"/>
      <c r="AF439" s="274"/>
      <c r="AG439" s="274"/>
      <c r="AH439" s="274"/>
      <c r="AI439" s="274"/>
      <c r="AJ439" s="274"/>
      <c r="AK439" s="274"/>
      <c r="AL439" s="274"/>
      <c r="AM439" s="274"/>
      <c r="AN439" s="274"/>
      <c r="AO439" s="274"/>
      <c r="AP439" s="274"/>
      <c r="AQ439" s="274"/>
      <c r="AR439" s="274"/>
      <c r="AS439" s="274"/>
      <c r="AT439" s="274"/>
      <c r="AU439" s="274"/>
      <c r="AV439" s="274"/>
      <c r="AW439" s="274"/>
    </row>
    <row r="440" ht="15.75" customHeight="1">
      <c r="A440" s="274"/>
      <c r="B440" s="274"/>
      <c r="C440" s="274"/>
      <c r="D440" s="274"/>
      <c r="E440" s="274"/>
      <c r="F440" s="274"/>
      <c r="G440" s="274"/>
      <c r="H440" s="274"/>
      <c r="I440" s="274"/>
      <c r="J440" s="274"/>
      <c r="K440" s="274"/>
      <c r="L440" s="274"/>
      <c r="M440" s="274"/>
      <c r="N440" s="274"/>
      <c r="O440" s="274"/>
      <c r="P440" s="274"/>
      <c r="Q440" s="274"/>
      <c r="R440" s="316"/>
      <c r="W440" s="274"/>
      <c r="X440" s="274"/>
      <c r="Y440" s="274"/>
      <c r="Z440" s="274">
        <v>25.062</v>
      </c>
      <c r="AA440" s="309">
        <v>3420472.892</v>
      </c>
      <c r="AB440" s="309">
        <v>2571171.8</v>
      </c>
      <c r="AC440" s="309">
        <v>2873662.6</v>
      </c>
      <c r="AD440" s="274"/>
      <c r="AE440" s="274"/>
      <c r="AF440" s="274"/>
      <c r="AG440" s="274"/>
      <c r="AH440" s="274"/>
      <c r="AI440" s="274"/>
      <c r="AJ440" s="274"/>
      <c r="AK440" s="274"/>
      <c r="AL440" s="274"/>
      <c r="AM440" s="274"/>
      <c r="AN440" s="274"/>
      <c r="AO440" s="274"/>
      <c r="AP440" s="274"/>
      <c r="AQ440" s="274"/>
      <c r="AR440" s="274"/>
      <c r="AS440" s="274"/>
      <c r="AT440" s="274"/>
      <c r="AU440" s="274"/>
      <c r="AV440" s="274"/>
      <c r="AW440" s="274"/>
    </row>
    <row r="441" ht="15.75" customHeight="1">
      <c r="A441" s="274"/>
      <c r="B441" s="274"/>
      <c r="C441" s="274"/>
      <c r="D441" s="274"/>
      <c r="E441" s="274"/>
      <c r="F441" s="274"/>
      <c r="G441" s="274"/>
      <c r="H441" s="274"/>
      <c r="I441" s="274"/>
      <c r="J441" s="274"/>
      <c r="K441" s="274"/>
      <c r="L441" s="274"/>
      <c r="M441" s="274"/>
      <c r="N441" s="274"/>
      <c r="O441" s="274"/>
      <c r="P441" s="274"/>
      <c r="Q441" s="274"/>
      <c r="R441" s="316"/>
      <c r="W441" s="274"/>
      <c r="X441" s="274"/>
      <c r="Y441" s="274"/>
      <c r="Z441" s="274">
        <v>25.125</v>
      </c>
      <c r="AA441" s="309">
        <v>3420472.892</v>
      </c>
      <c r="AB441" s="309">
        <v>2780588.508</v>
      </c>
      <c r="AC441" s="309">
        <v>2873662.6</v>
      </c>
      <c r="AD441" s="274"/>
      <c r="AE441" s="274"/>
      <c r="AF441" s="274"/>
      <c r="AG441" s="274"/>
      <c r="AH441" s="274"/>
      <c r="AI441" s="274"/>
      <c r="AJ441" s="274"/>
      <c r="AK441" s="274"/>
      <c r="AL441" s="274"/>
      <c r="AM441" s="274"/>
      <c r="AN441" s="274"/>
      <c r="AO441" s="274"/>
      <c r="AP441" s="274"/>
      <c r="AQ441" s="274"/>
      <c r="AR441" s="274"/>
      <c r="AS441" s="274"/>
      <c r="AT441" s="274"/>
      <c r="AU441" s="274"/>
      <c r="AV441" s="274"/>
      <c r="AW441" s="274"/>
    </row>
    <row r="442" ht="15.75" customHeight="1">
      <c r="A442" s="274"/>
      <c r="B442" s="274"/>
      <c r="C442" s="274"/>
      <c r="D442" s="274"/>
      <c r="E442" s="274"/>
      <c r="F442" s="274"/>
      <c r="G442" s="274"/>
      <c r="H442" s="274"/>
      <c r="I442" s="274"/>
      <c r="J442" s="274"/>
      <c r="K442" s="274"/>
      <c r="L442" s="274"/>
      <c r="M442" s="274"/>
      <c r="N442" s="274"/>
      <c r="O442" s="274"/>
      <c r="P442" s="274"/>
      <c r="Q442" s="274"/>
      <c r="R442" s="316"/>
      <c r="W442" s="274"/>
      <c r="X442" s="274"/>
      <c r="Y442" s="274"/>
      <c r="Z442" s="274">
        <v>25.187</v>
      </c>
      <c r="AA442" s="309">
        <v>3420472.892</v>
      </c>
      <c r="AB442" s="309">
        <v>2780588.508</v>
      </c>
      <c r="AC442" s="309">
        <v>2873662.6</v>
      </c>
      <c r="AD442" s="274"/>
      <c r="AE442" s="274"/>
      <c r="AF442" s="274"/>
      <c r="AG442" s="274"/>
      <c r="AH442" s="274"/>
      <c r="AI442" s="274"/>
      <c r="AJ442" s="274"/>
      <c r="AK442" s="274"/>
      <c r="AL442" s="274"/>
      <c r="AM442" s="274"/>
      <c r="AN442" s="274"/>
      <c r="AO442" s="274"/>
      <c r="AP442" s="274"/>
      <c r="AQ442" s="274"/>
      <c r="AR442" s="274"/>
      <c r="AS442" s="274"/>
      <c r="AT442" s="274"/>
      <c r="AU442" s="274"/>
      <c r="AV442" s="274"/>
      <c r="AW442" s="274"/>
    </row>
    <row r="443" ht="15.75" customHeight="1">
      <c r="A443" s="274"/>
      <c r="B443" s="274"/>
      <c r="C443" s="274"/>
      <c r="D443" s="274"/>
      <c r="E443" s="274"/>
      <c r="F443" s="274"/>
      <c r="G443" s="274"/>
      <c r="H443" s="274"/>
      <c r="I443" s="274"/>
      <c r="J443" s="274"/>
      <c r="K443" s="274"/>
      <c r="L443" s="274"/>
      <c r="M443" s="274"/>
      <c r="N443" s="274"/>
      <c r="O443" s="274"/>
      <c r="P443" s="274"/>
      <c r="Q443" s="274"/>
      <c r="R443" s="316"/>
      <c r="W443" s="274"/>
      <c r="X443" s="274"/>
      <c r="Y443" s="274"/>
      <c r="Z443" s="274">
        <v>25.25</v>
      </c>
      <c r="AA443" s="309">
        <v>3420472.892</v>
      </c>
      <c r="AB443" s="309">
        <v>2780588.508</v>
      </c>
      <c r="AC443" s="309">
        <v>2873662.6</v>
      </c>
      <c r="AD443" s="274"/>
      <c r="AE443" s="274"/>
      <c r="AF443" s="274"/>
      <c r="AG443" s="274"/>
      <c r="AH443" s="274"/>
      <c r="AI443" s="274"/>
      <c r="AJ443" s="274"/>
      <c r="AK443" s="274"/>
      <c r="AL443" s="274"/>
      <c r="AM443" s="274"/>
      <c r="AN443" s="274"/>
      <c r="AO443" s="274"/>
      <c r="AP443" s="274"/>
      <c r="AQ443" s="274"/>
      <c r="AR443" s="274"/>
      <c r="AS443" s="274"/>
      <c r="AT443" s="274"/>
      <c r="AU443" s="274"/>
      <c r="AV443" s="274"/>
      <c r="AW443" s="274"/>
    </row>
    <row r="444" ht="15.75" customHeight="1">
      <c r="A444" s="274"/>
      <c r="B444" s="274"/>
      <c r="C444" s="274"/>
      <c r="D444" s="274"/>
      <c r="E444" s="274"/>
      <c r="F444" s="274"/>
      <c r="G444" s="274"/>
      <c r="H444" s="274"/>
      <c r="I444" s="274"/>
      <c r="J444" s="274"/>
      <c r="K444" s="274"/>
      <c r="L444" s="274"/>
      <c r="M444" s="274"/>
      <c r="N444" s="274"/>
      <c r="O444" s="274"/>
      <c r="P444" s="274"/>
      <c r="Q444" s="274"/>
      <c r="R444" s="316"/>
      <c r="W444" s="274"/>
      <c r="X444" s="274"/>
      <c r="Y444" s="274"/>
      <c r="Z444" s="274">
        <v>25.312</v>
      </c>
      <c r="AA444" s="309">
        <v>3420472.892</v>
      </c>
      <c r="AB444" s="309">
        <v>2780588.508</v>
      </c>
      <c r="AC444" s="309">
        <v>2873662.6</v>
      </c>
      <c r="AD444" s="274"/>
      <c r="AE444" s="274"/>
      <c r="AF444" s="274"/>
      <c r="AG444" s="274"/>
      <c r="AH444" s="274"/>
      <c r="AI444" s="274"/>
      <c r="AJ444" s="274"/>
      <c r="AK444" s="274"/>
      <c r="AL444" s="274"/>
      <c r="AM444" s="274"/>
      <c r="AN444" s="274"/>
      <c r="AO444" s="274"/>
      <c r="AP444" s="274"/>
      <c r="AQ444" s="274"/>
      <c r="AR444" s="274"/>
      <c r="AS444" s="274"/>
      <c r="AT444" s="274"/>
      <c r="AU444" s="274"/>
      <c r="AV444" s="274"/>
      <c r="AW444" s="274"/>
    </row>
    <row r="445" ht="15.75" customHeight="1">
      <c r="A445" s="274"/>
      <c r="B445" s="274"/>
      <c r="C445" s="274"/>
      <c r="D445" s="274"/>
      <c r="E445" s="274"/>
      <c r="F445" s="274"/>
      <c r="G445" s="274"/>
      <c r="H445" s="274"/>
      <c r="I445" s="274"/>
      <c r="J445" s="274"/>
      <c r="K445" s="274"/>
      <c r="L445" s="274"/>
      <c r="M445" s="274"/>
      <c r="N445" s="274"/>
      <c r="O445" s="274"/>
      <c r="P445" s="274"/>
      <c r="Q445" s="274"/>
      <c r="R445" s="316"/>
      <c r="W445" s="274"/>
      <c r="X445" s="274"/>
      <c r="Y445" s="274"/>
      <c r="Z445" s="274">
        <v>25.375</v>
      </c>
      <c r="AA445" s="309">
        <v>3420472.892</v>
      </c>
      <c r="AB445" s="309">
        <v>2780588.508</v>
      </c>
      <c r="AC445" s="309">
        <v>2873662.6</v>
      </c>
      <c r="AD445" s="274"/>
      <c r="AE445" s="274"/>
      <c r="AF445" s="274"/>
      <c r="AG445" s="274"/>
      <c r="AH445" s="274"/>
      <c r="AI445" s="274"/>
      <c r="AJ445" s="274"/>
      <c r="AK445" s="274"/>
      <c r="AL445" s="274"/>
      <c r="AM445" s="274"/>
      <c r="AN445" s="274"/>
      <c r="AO445" s="274"/>
      <c r="AP445" s="274"/>
      <c r="AQ445" s="274"/>
      <c r="AR445" s="274"/>
      <c r="AS445" s="274"/>
      <c r="AT445" s="274"/>
      <c r="AU445" s="274"/>
      <c r="AV445" s="274"/>
      <c r="AW445" s="274"/>
    </row>
    <row r="446" ht="15.75" customHeight="1">
      <c r="A446" s="274"/>
      <c r="B446" s="274"/>
      <c r="C446" s="274"/>
      <c r="D446" s="274"/>
      <c r="E446" s="274"/>
      <c r="F446" s="274"/>
      <c r="G446" s="274"/>
      <c r="H446" s="274"/>
      <c r="I446" s="274"/>
      <c r="J446" s="274"/>
      <c r="K446" s="274"/>
      <c r="L446" s="274"/>
      <c r="M446" s="274"/>
      <c r="N446" s="274"/>
      <c r="O446" s="274"/>
      <c r="P446" s="274"/>
      <c r="Q446" s="274"/>
      <c r="R446" s="316"/>
      <c r="W446" s="274"/>
      <c r="X446" s="274"/>
      <c r="Y446" s="274"/>
      <c r="Z446" s="274">
        <v>25.437</v>
      </c>
      <c r="AA446" s="309">
        <v>3420472.892</v>
      </c>
      <c r="AB446" s="309">
        <v>2780588.508</v>
      </c>
      <c r="AC446" s="309">
        <v>2873662.6</v>
      </c>
      <c r="AD446" s="274"/>
      <c r="AE446" s="274"/>
      <c r="AF446" s="274"/>
      <c r="AG446" s="274"/>
      <c r="AH446" s="274"/>
      <c r="AI446" s="274"/>
      <c r="AJ446" s="274"/>
      <c r="AK446" s="274"/>
      <c r="AL446" s="274"/>
      <c r="AM446" s="274"/>
      <c r="AN446" s="274"/>
      <c r="AO446" s="274"/>
      <c r="AP446" s="274"/>
      <c r="AQ446" s="274"/>
      <c r="AR446" s="274"/>
      <c r="AS446" s="274"/>
      <c r="AT446" s="274"/>
      <c r="AU446" s="274"/>
      <c r="AV446" s="274"/>
      <c r="AW446" s="274"/>
    </row>
    <row r="447" ht="15.75" customHeight="1">
      <c r="A447" s="274"/>
      <c r="B447" s="274"/>
      <c r="C447" s="274"/>
      <c r="D447" s="274"/>
      <c r="E447" s="274"/>
      <c r="F447" s="274"/>
      <c r="G447" s="274"/>
      <c r="H447" s="274"/>
      <c r="I447" s="274"/>
      <c r="J447" s="274"/>
      <c r="K447" s="274"/>
      <c r="L447" s="274"/>
      <c r="M447" s="274"/>
      <c r="N447" s="274"/>
      <c r="O447" s="274"/>
      <c r="P447" s="274"/>
      <c r="Q447" s="274"/>
      <c r="R447" s="316"/>
      <c r="W447" s="274"/>
      <c r="X447" s="274"/>
      <c r="Y447" s="274"/>
      <c r="Z447" s="274">
        <v>25.5</v>
      </c>
      <c r="AA447" s="309">
        <v>3420472.892</v>
      </c>
      <c r="AB447" s="309">
        <v>2780588.508</v>
      </c>
      <c r="AC447" s="309">
        <v>2873662.6</v>
      </c>
      <c r="AD447" s="274"/>
      <c r="AE447" s="274"/>
      <c r="AF447" s="274"/>
      <c r="AG447" s="274"/>
      <c r="AH447" s="274"/>
      <c r="AI447" s="274"/>
      <c r="AJ447" s="274"/>
      <c r="AK447" s="274"/>
      <c r="AL447" s="274"/>
      <c r="AM447" s="274"/>
      <c r="AN447" s="274"/>
      <c r="AO447" s="274"/>
      <c r="AP447" s="274"/>
      <c r="AQ447" s="274"/>
      <c r="AR447" s="274"/>
      <c r="AS447" s="274"/>
      <c r="AT447" s="274"/>
      <c r="AU447" s="274"/>
      <c r="AV447" s="274"/>
      <c r="AW447" s="274"/>
    </row>
    <row r="448" ht="15.75" customHeight="1">
      <c r="A448" s="274"/>
      <c r="B448" s="274"/>
      <c r="C448" s="274"/>
      <c r="D448" s="274"/>
      <c r="E448" s="274"/>
      <c r="F448" s="274"/>
      <c r="G448" s="274"/>
      <c r="H448" s="274"/>
      <c r="I448" s="274"/>
      <c r="J448" s="274"/>
      <c r="K448" s="274"/>
      <c r="L448" s="274"/>
      <c r="M448" s="274"/>
      <c r="N448" s="274"/>
      <c r="O448" s="274"/>
      <c r="P448" s="274"/>
      <c r="Q448" s="274"/>
      <c r="R448" s="316"/>
      <c r="W448" s="274"/>
      <c r="X448" s="274"/>
      <c r="Y448" s="274"/>
      <c r="Z448" s="274">
        <v>25.562</v>
      </c>
      <c r="AA448" s="309">
        <v>3420472.892</v>
      </c>
      <c r="AB448" s="309">
        <v>2780588.508</v>
      </c>
      <c r="AC448" s="309">
        <v>2873662.6</v>
      </c>
      <c r="AD448" s="274"/>
      <c r="AE448" s="274"/>
      <c r="AF448" s="274"/>
      <c r="AG448" s="274"/>
      <c r="AH448" s="274"/>
      <c r="AI448" s="274"/>
      <c r="AJ448" s="274"/>
      <c r="AK448" s="274"/>
      <c r="AL448" s="274"/>
      <c r="AM448" s="274"/>
      <c r="AN448" s="274"/>
      <c r="AO448" s="274"/>
      <c r="AP448" s="274"/>
      <c r="AQ448" s="274"/>
      <c r="AR448" s="274"/>
      <c r="AS448" s="274"/>
      <c r="AT448" s="274"/>
      <c r="AU448" s="274"/>
      <c r="AV448" s="274"/>
      <c r="AW448" s="274"/>
    </row>
    <row r="449" ht="15.75" customHeight="1">
      <c r="A449" s="274"/>
      <c r="B449" s="274"/>
      <c r="C449" s="274"/>
      <c r="D449" s="274"/>
      <c r="E449" s="274"/>
      <c r="F449" s="274"/>
      <c r="G449" s="274"/>
      <c r="H449" s="274"/>
      <c r="I449" s="274"/>
      <c r="J449" s="274"/>
      <c r="K449" s="274"/>
      <c r="L449" s="274"/>
      <c r="M449" s="274"/>
      <c r="N449" s="274"/>
      <c r="O449" s="274"/>
      <c r="P449" s="274"/>
      <c r="Q449" s="274"/>
      <c r="R449" s="316"/>
      <c r="W449" s="274"/>
      <c r="X449" s="274"/>
      <c r="Y449" s="274"/>
      <c r="Z449" s="274">
        <v>25.625</v>
      </c>
      <c r="AA449" s="309">
        <v>3420472.892</v>
      </c>
      <c r="AB449" s="309">
        <v>2780588.508</v>
      </c>
      <c r="AC449" s="309">
        <v>2873662.6</v>
      </c>
      <c r="AD449" s="274"/>
      <c r="AE449" s="274"/>
      <c r="AF449" s="274"/>
      <c r="AG449" s="274"/>
      <c r="AH449" s="274"/>
      <c r="AI449" s="274"/>
      <c r="AJ449" s="274"/>
      <c r="AK449" s="274"/>
      <c r="AL449" s="274"/>
      <c r="AM449" s="274"/>
      <c r="AN449" s="274"/>
      <c r="AO449" s="274"/>
      <c r="AP449" s="274"/>
      <c r="AQ449" s="274"/>
      <c r="AR449" s="274"/>
      <c r="AS449" s="274"/>
      <c r="AT449" s="274"/>
      <c r="AU449" s="274"/>
      <c r="AV449" s="274"/>
      <c r="AW449" s="274"/>
    </row>
    <row r="450" ht="15.75" customHeight="1">
      <c r="A450" s="274"/>
      <c r="B450" s="274"/>
      <c r="C450" s="274"/>
      <c r="D450" s="274"/>
      <c r="E450" s="274"/>
      <c r="F450" s="274"/>
      <c r="G450" s="274"/>
      <c r="H450" s="274"/>
      <c r="I450" s="274"/>
      <c r="J450" s="274"/>
      <c r="K450" s="274"/>
      <c r="L450" s="274"/>
      <c r="M450" s="274"/>
      <c r="N450" s="274"/>
      <c r="O450" s="274"/>
      <c r="P450" s="274"/>
      <c r="Q450" s="274"/>
      <c r="R450" s="316"/>
      <c r="W450" s="274"/>
      <c r="X450" s="274"/>
      <c r="Y450" s="274"/>
      <c r="Z450" s="274">
        <v>25.687</v>
      </c>
      <c r="AA450" s="309">
        <v>3420472.892</v>
      </c>
      <c r="AB450" s="309">
        <v>2780588.508</v>
      </c>
      <c r="AC450" s="309">
        <v>2873662.6</v>
      </c>
      <c r="AD450" s="274"/>
      <c r="AE450" s="274"/>
      <c r="AF450" s="274"/>
      <c r="AG450" s="274"/>
      <c r="AH450" s="274"/>
      <c r="AI450" s="274"/>
      <c r="AJ450" s="274"/>
      <c r="AK450" s="274"/>
      <c r="AL450" s="274"/>
      <c r="AM450" s="274"/>
      <c r="AN450" s="274"/>
      <c r="AO450" s="274"/>
      <c r="AP450" s="274"/>
      <c r="AQ450" s="274"/>
      <c r="AR450" s="274"/>
      <c r="AS450" s="274"/>
      <c r="AT450" s="274"/>
      <c r="AU450" s="274"/>
      <c r="AV450" s="274"/>
      <c r="AW450" s="274"/>
    </row>
    <row r="451" ht="15.75" customHeight="1">
      <c r="A451" s="274"/>
      <c r="B451" s="274"/>
      <c r="C451" s="274"/>
      <c r="D451" s="274"/>
      <c r="E451" s="274"/>
      <c r="F451" s="274"/>
      <c r="G451" s="274"/>
      <c r="H451" s="274"/>
      <c r="I451" s="274"/>
      <c r="J451" s="274"/>
      <c r="K451" s="274"/>
      <c r="L451" s="274"/>
      <c r="M451" s="274"/>
      <c r="N451" s="274"/>
      <c r="O451" s="274"/>
      <c r="P451" s="274"/>
      <c r="Q451" s="274"/>
      <c r="R451" s="316"/>
      <c r="W451" s="274"/>
      <c r="X451" s="274"/>
      <c r="Y451" s="274"/>
      <c r="Z451" s="274">
        <v>25.75</v>
      </c>
      <c r="AA451" s="309">
        <v>3420472.892</v>
      </c>
      <c r="AB451" s="309">
        <v>2780588.508</v>
      </c>
      <c r="AC451" s="309">
        <v>2873662.6</v>
      </c>
      <c r="AD451" s="274"/>
      <c r="AE451" s="274"/>
      <c r="AF451" s="274"/>
      <c r="AG451" s="274"/>
      <c r="AH451" s="274"/>
      <c r="AI451" s="274"/>
      <c r="AJ451" s="274"/>
      <c r="AK451" s="274"/>
      <c r="AL451" s="274"/>
      <c r="AM451" s="274"/>
      <c r="AN451" s="274"/>
      <c r="AO451" s="274"/>
      <c r="AP451" s="274"/>
      <c r="AQ451" s="274"/>
      <c r="AR451" s="274"/>
      <c r="AS451" s="274"/>
      <c r="AT451" s="274"/>
      <c r="AU451" s="274"/>
      <c r="AV451" s="274"/>
      <c r="AW451" s="274"/>
    </row>
    <row r="452" ht="15.75" customHeight="1">
      <c r="A452" s="274"/>
      <c r="B452" s="274"/>
      <c r="C452" s="274"/>
      <c r="D452" s="274"/>
      <c r="E452" s="274"/>
      <c r="F452" s="274"/>
      <c r="G452" s="274"/>
      <c r="H452" s="274"/>
      <c r="I452" s="274"/>
      <c r="J452" s="274"/>
      <c r="K452" s="274"/>
      <c r="L452" s="274"/>
      <c r="M452" s="274"/>
      <c r="N452" s="274"/>
      <c r="O452" s="274"/>
      <c r="P452" s="274"/>
      <c r="Q452" s="274"/>
      <c r="R452" s="316"/>
      <c r="W452" s="274"/>
      <c r="X452" s="274"/>
      <c r="Y452" s="274"/>
      <c r="Z452" s="274">
        <v>25.812</v>
      </c>
      <c r="AA452" s="309">
        <v>3420472.892</v>
      </c>
      <c r="AB452" s="309">
        <v>2780588.508</v>
      </c>
      <c r="AC452" s="309">
        <v>2873662.6</v>
      </c>
      <c r="AD452" s="274"/>
      <c r="AE452" s="274"/>
      <c r="AF452" s="274"/>
      <c r="AG452" s="274"/>
      <c r="AH452" s="274"/>
      <c r="AI452" s="274"/>
      <c r="AJ452" s="274"/>
      <c r="AK452" s="274"/>
      <c r="AL452" s="274"/>
      <c r="AM452" s="274"/>
      <c r="AN452" s="274"/>
      <c r="AO452" s="274"/>
      <c r="AP452" s="274"/>
      <c r="AQ452" s="274"/>
      <c r="AR452" s="274"/>
      <c r="AS452" s="274"/>
      <c r="AT452" s="274"/>
      <c r="AU452" s="274"/>
      <c r="AV452" s="274"/>
      <c r="AW452" s="274"/>
    </row>
    <row r="453" ht="15.75" customHeight="1">
      <c r="A453" s="274"/>
      <c r="B453" s="274"/>
      <c r="C453" s="274"/>
      <c r="D453" s="274"/>
      <c r="E453" s="274"/>
      <c r="F453" s="274"/>
      <c r="G453" s="274"/>
      <c r="H453" s="274"/>
      <c r="I453" s="274"/>
      <c r="J453" s="274"/>
      <c r="K453" s="274"/>
      <c r="L453" s="274"/>
      <c r="M453" s="274"/>
      <c r="N453" s="274"/>
      <c r="O453" s="274"/>
      <c r="P453" s="274"/>
      <c r="Q453" s="274"/>
      <c r="R453" s="316"/>
      <c r="W453" s="274"/>
      <c r="X453" s="274"/>
      <c r="Y453" s="274"/>
      <c r="Z453" s="274">
        <v>25.875</v>
      </c>
      <c r="AA453" s="309">
        <v>3420472.892</v>
      </c>
      <c r="AB453" s="309">
        <v>2780588.508</v>
      </c>
      <c r="AC453" s="309">
        <v>2873662.6</v>
      </c>
      <c r="AD453" s="274"/>
      <c r="AE453" s="274"/>
      <c r="AF453" s="274"/>
      <c r="AG453" s="274"/>
      <c r="AH453" s="274"/>
      <c r="AI453" s="274"/>
      <c r="AJ453" s="274"/>
      <c r="AK453" s="274"/>
      <c r="AL453" s="274"/>
      <c r="AM453" s="274"/>
      <c r="AN453" s="274"/>
      <c r="AO453" s="274"/>
      <c r="AP453" s="274"/>
      <c r="AQ453" s="274"/>
      <c r="AR453" s="274"/>
      <c r="AS453" s="274"/>
      <c r="AT453" s="274"/>
      <c r="AU453" s="274"/>
      <c r="AV453" s="274"/>
      <c r="AW453" s="274"/>
    </row>
    <row r="454" ht="15.75" customHeight="1">
      <c r="A454" s="274"/>
      <c r="B454" s="274"/>
      <c r="C454" s="274"/>
      <c r="D454" s="274"/>
      <c r="E454" s="274"/>
      <c r="F454" s="274"/>
      <c r="G454" s="274"/>
      <c r="H454" s="274"/>
      <c r="I454" s="274"/>
      <c r="J454" s="274"/>
      <c r="K454" s="274"/>
      <c r="L454" s="274"/>
      <c r="M454" s="274"/>
      <c r="N454" s="274"/>
      <c r="O454" s="274"/>
      <c r="P454" s="274"/>
      <c r="Q454" s="274"/>
      <c r="R454" s="316"/>
      <c r="W454" s="274"/>
      <c r="X454" s="274"/>
      <c r="Y454" s="274"/>
      <c r="Z454" s="274">
        <v>25.937</v>
      </c>
      <c r="AA454" s="309">
        <v>3420472.892</v>
      </c>
      <c r="AB454" s="309">
        <v>2780588.508</v>
      </c>
      <c r="AC454" s="309">
        <v>2873662.6</v>
      </c>
      <c r="AD454" s="274"/>
      <c r="AE454" s="274"/>
      <c r="AF454" s="274"/>
      <c r="AG454" s="274"/>
      <c r="AH454" s="274"/>
      <c r="AI454" s="274"/>
      <c r="AJ454" s="274"/>
      <c r="AK454" s="274"/>
      <c r="AL454" s="274"/>
      <c r="AM454" s="274"/>
      <c r="AN454" s="274"/>
      <c r="AO454" s="274"/>
      <c r="AP454" s="274"/>
      <c r="AQ454" s="274"/>
      <c r="AR454" s="274"/>
      <c r="AS454" s="274"/>
      <c r="AT454" s="274"/>
      <c r="AU454" s="274"/>
      <c r="AV454" s="274"/>
      <c r="AW454" s="274"/>
    </row>
    <row r="455" ht="15.75" customHeight="1">
      <c r="A455" s="274"/>
      <c r="B455" s="274"/>
      <c r="C455" s="274"/>
      <c r="D455" s="274"/>
      <c r="E455" s="274"/>
      <c r="F455" s="274"/>
      <c r="G455" s="274"/>
      <c r="H455" s="274"/>
      <c r="I455" s="274"/>
      <c r="J455" s="274"/>
      <c r="K455" s="274"/>
      <c r="L455" s="274"/>
      <c r="M455" s="274"/>
      <c r="N455" s="274"/>
      <c r="O455" s="274"/>
      <c r="P455" s="274"/>
      <c r="Q455" s="274"/>
      <c r="R455" s="316"/>
      <c r="W455" s="274"/>
      <c r="X455" s="274"/>
      <c r="Y455" s="274"/>
      <c r="Z455" s="274">
        <v>26.0</v>
      </c>
      <c r="AA455" s="309">
        <v>3420472.892</v>
      </c>
      <c r="AB455" s="309">
        <v>2780588.508</v>
      </c>
      <c r="AC455" s="309">
        <v>2873662.6</v>
      </c>
      <c r="AD455" s="274"/>
      <c r="AE455" s="274"/>
      <c r="AF455" s="274"/>
      <c r="AG455" s="274"/>
      <c r="AH455" s="274"/>
      <c r="AI455" s="274"/>
      <c r="AJ455" s="274"/>
      <c r="AK455" s="274"/>
      <c r="AL455" s="274"/>
      <c r="AM455" s="274"/>
      <c r="AN455" s="274"/>
      <c r="AO455" s="274"/>
      <c r="AP455" s="274"/>
      <c r="AQ455" s="274"/>
      <c r="AR455" s="274"/>
      <c r="AS455" s="274"/>
      <c r="AT455" s="274"/>
      <c r="AU455" s="274"/>
      <c r="AV455" s="274"/>
      <c r="AW455" s="274"/>
    </row>
    <row r="456" ht="15.75" customHeight="1">
      <c r="A456" s="274"/>
      <c r="B456" s="274"/>
      <c r="C456" s="274"/>
      <c r="D456" s="274"/>
      <c r="E456" s="274"/>
      <c r="F456" s="274"/>
      <c r="G456" s="274"/>
      <c r="H456" s="274"/>
      <c r="I456" s="274"/>
      <c r="J456" s="274"/>
      <c r="K456" s="274"/>
      <c r="L456" s="274"/>
      <c r="M456" s="274"/>
      <c r="N456" s="274"/>
      <c r="O456" s="274"/>
      <c r="P456" s="274"/>
      <c r="Q456" s="274"/>
      <c r="R456" s="316"/>
      <c r="W456" s="274"/>
      <c r="X456" s="274"/>
      <c r="Y456" s="274"/>
      <c r="Z456" s="274">
        <v>26.062</v>
      </c>
      <c r="AA456" s="309">
        <v>3420472.892</v>
      </c>
      <c r="AB456" s="309">
        <v>2780588.508</v>
      </c>
      <c r="AC456" s="309">
        <v>2873662.6</v>
      </c>
      <c r="AD456" s="274"/>
      <c r="AE456" s="274"/>
      <c r="AF456" s="274"/>
      <c r="AG456" s="274"/>
      <c r="AH456" s="274"/>
      <c r="AI456" s="274"/>
      <c r="AJ456" s="274"/>
      <c r="AK456" s="274"/>
      <c r="AL456" s="274"/>
      <c r="AM456" s="274"/>
      <c r="AN456" s="274"/>
      <c r="AO456" s="274"/>
      <c r="AP456" s="274"/>
      <c r="AQ456" s="274"/>
      <c r="AR456" s="274"/>
      <c r="AS456" s="274"/>
      <c r="AT456" s="274"/>
      <c r="AU456" s="274"/>
      <c r="AV456" s="274"/>
      <c r="AW456" s="274"/>
    </row>
    <row r="457" ht="15.75" customHeight="1">
      <c r="A457" s="274"/>
      <c r="B457" s="274"/>
      <c r="C457" s="274"/>
      <c r="D457" s="274"/>
      <c r="E457" s="274"/>
      <c r="F457" s="274"/>
      <c r="G457" s="274"/>
      <c r="H457" s="274"/>
      <c r="I457" s="274"/>
      <c r="J457" s="274"/>
      <c r="K457" s="274"/>
      <c r="L457" s="274"/>
      <c r="M457" s="274"/>
      <c r="N457" s="274"/>
      <c r="O457" s="274"/>
      <c r="P457" s="274"/>
      <c r="Q457" s="274"/>
      <c r="R457" s="316"/>
      <c r="W457" s="274"/>
      <c r="X457" s="274"/>
      <c r="Y457" s="274"/>
      <c r="Z457" s="274">
        <v>26.125</v>
      </c>
      <c r="AA457" s="309">
        <v>3420472.892</v>
      </c>
      <c r="AB457" s="309">
        <v>2780588.508</v>
      </c>
      <c r="AC457" s="309">
        <v>2873662.6</v>
      </c>
      <c r="AD457" s="274"/>
      <c r="AE457" s="274"/>
      <c r="AF457" s="274"/>
      <c r="AG457" s="274"/>
      <c r="AH457" s="274"/>
      <c r="AI457" s="274"/>
      <c r="AJ457" s="274"/>
      <c r="AK457" s="274"/>
      <c r="AL457" s="274"/>
      <c r="AM457" s="274"/>
      <c r="AN457" s="274"/>
      <c r="AO457" s="274"/>
      <c r="AP457" s="274"/>
      <c r="AQ457" s="274"/>
      <c r="AR457" s="274"/>
      <c r="AS457" s="274"/>
      <c r="AT457" s="274"/>
      <c r="AU457" s="274"/>
      <c r="AV457" s="274"/>
      <c r="AW457" s="274"/>
    </row>
    <row r="458" ht="15.75" customHeight="1">
      <c r="A458" s="274"/>
      <c r="B458" s="274"/>
      <c r="C458" s="274"/>
      <c r="D458" s="274"/>
      <c r="E458" s="274"/>
      <c r="F458" s="274"/>
      <c r="G458" s="274"/>
      <c r="H458" s="274"/>
      <c r="I458" s="274"/>
      <c r="J458" s="274"/>
      <c r="K458" s="274"/>
      <c r="L458" s="274"/>
      <c r="M458" s="274"/>
      <c r="N458" s="274"/>
      <c r="O458" s="274"/>
      <c r="P458" s="274"/>
      <c r="Q458" s="274"/>
      <c r="R458" s="316"/>
      <c r="W458" s="274"/>
      <c r="X458" s="274"/>
      <c r="Y458" s="274"/>
      <c r="Z458" s="274">
        <v>26.187</v>
      </c>
      <c r="AA458" s="309">
        <v>3420472.892</v>
      </c>
      <c r="AB458" s="309">
        <v>2780588.508</v>
      </c>
      <c r="AC458" s="309">
        <v>2873662.6</v>
      </c>
      <c r="AD458" s="274"/>
      <c r="AE458" s="274"/>
      <c r="AF458" s="274"/>
      <c r="AG458" s="274"/>
      <c r="AH458" s="274"/>
      <c r="AI458" s="274"/>
      <c r="AJ458" s="274"/>
      <c r="AK458" s="274"/>
      <c r="AL458" s="274"/>
      <c r="AM458" s="274"/>
      <c r="AN458" s="274"/>
      <c r="AO458" s="274"/>
      <c r="AP458" s="274"/>
      <c r="AQ458" s="274"/>
      <c r="AR458" s="274"/>
      <c r="AS458" s="274"/>
      <c r="AT458" s="274"/>
      <c r="AU458" s="274"/>
      <c r="AV458" s="274"/>
      <c r="AW458" s="274"/>
    </row>
    <row r="459" ht="15.75" customHeight="1">
      <c r="A459" s="274"/>
      <c r="B459" s="274"/>
      <c r="C459" s="274"/>
      <c r="D459" s="274"/>
      <c r="E459" s="274"/>
      <c r="F459" s="274"/>
      <c r="G459" s="274"/>
      <c r="H459" s="274"/>
      <c r="I459" s="274"/>
      <c r="J459" s="274"/>
      <c r="K459" s="274"/>
      <c r="L459" s="274"/>
      <c r="M459" s="274"/>
      <c r="N459" s="274"/>
      <c r="O459" s="274"/>
      <c r="P459" s="274"/>
      <c r="Q459" s="274"/>
      <c r="R459" s="316"/>
      <c r="W459" s="274"/>
      <c r="X459" s="274"/>
      <c r="Y459" s="274"/>
      <c r="Z459" s="274">
        <v>26.25</v>
      </c>
      <c r="AA459" s="309">
        <v>3420472.892</v>
      </c>
      <c r="AB459" s="309">
        <v>2780588.508</v>
      </c>
      <c r="AC459" s="309">
        <v>2873662.6</v>
      </c>
      <c r="AD459" s="274"/>
      <c r="AE459" s="274"/>
      <c r="AF459" s="274"/>
      <c r="AG459" s="274"/>
      <c r="AH459" s="274"/>
      <c r="AI459" s="274"/>
      <c r="AJ459" s="274"/>
      <c r="AK459" s="274"/>
      <c r="AL459" s="274"/>
      <c r="AM459" s="274"/>
      <c r="AN459" s="274"/>
      <c r="AO459" s="274"/>
      <c r="AP459" s="274"/>
      <c r="AQ459" s="274"/>
      <c r="AR459" s="274"/>
      <c r="AS459" s="274"/>
      <c r="AT459" s="274"/>
      <c r="AU459" s="274"/>
      <c r="AV459" s="274"/>
      <c r="AW459" s="274"/>
    </row>
    <row r="460" ht="15.75" customHeight="1">
      <c r="A460" s="274"/>
      <c r="B460" s="274"/>
      <c r="C460" s="274"/>
      <c r="D460" s="274"/>
      <c r="E460" s="274"/>
      <c r="F460" s="274"/>
      <c r="G460" s="274"/>
      <c r="H460" s="274"/>
      <c r="I460" s="274"/>
      <c r="J460" s="274"/>
      <c r="K460" s="274"/>
      <c r="L460" s="274"/>
      <c r="M460" s="274"/>
      <c r="N460" s="274"/>
      <c r="O460" s="274"/>
      <c r="P460" s="274"/>
      <c r="Q460" s="274"/>
      <c r="R460" s="316"/>
      <c r="W460" s="274"/>
      <c r="X460" s="274"/>
      <c r="Y460" s="274"/>
      <c r="Z460" s="274">
        <v>26.312</v>
      </c>
      <c r="AA460" s="309">
        <v>3420472.892</v>
      </c>
      <c r="AB460" s="309">
        <v>2885296.862</v>
      </c>
      <c r="AC460" s="309">
        <v>2873662.6</v>
      </c>
      <c r="AD460" s="274"/>
      <c r="AE460" s="274"/>
      <c r="AF460" s="274"/>
      <c r="AG460" s="274"/>
      <c r="AH460" s="274"/>
      <c r="AI460" s="274"/>
      <c r="AJ460" s="274"/>
      <c r="AK460" s="274"/>
      <c r="AL460" s="274"/>
      <c r="AM460" s="274"/>
      <c r="AN460" s="274"/>
      <c r="AO460" s="274"/>
      <c r="AP460" s="274"/>
      <c r="AQ460" s="274"/>
      <c r="AR460" s="274"/>
      <c r="AS460" s="274"/>
      <c r="AT460" s="274"/>
      <c r="AU460" s="274"/>
      <c r="AV460" s="274"/>
      <c r="AW460" s="274"/>
    </row>
    <row r="461" ht="15.75" customHeight="1">
      <c r="A461" s="274"/>
      <c r="B461" s="274"/>
      <c r="C461" s="274"/>
      <c r="D461" s="274"/>
      <c r="E461" s="274"/>
      <c r="F461" s="274"/>
      <c r="G461" s="274"/>
      <c r="H461" s="274"/>
      <c r="I461" s="274"/>
      <c r="J461" s="274"/>
      <c r="K461" s="274"/>
      <c r="L461" s="274"/>
      <c r="M461" s="274"/>
      <c r="N461" s="274"/>
      <c r="O461" s="274"/>
      <c r="P461" s="274"/>
      <c r="Q461" s="274"/>
      <c r="R461" s="316"/>
      <c r="W461" s="274"/>
      <c r="X461" s="274"/>
      <c r="Y461" s="274"/>
      <c r="Z461" s="274">
        <v>26.375</v>
      </c>
      <c r="AA461" s="309">
        <v>3420472.892</v>
      </c>
      <c r="AB461" s="309">
        <v>2885296.862</v>
      </c>
      <c r="AC461" s="309">
        <v>2873662.6</v>
      </c>
      <c r="AD461" s="274"/>
      <c r="AE461" s="274"/>
      <c r="AF461" s="274"/>
      <c r="AG461" s="274"/>
      <c r="AH461" s="274"/>
      <c r="AI461" s="274"/>
      <c r="AJ461" s="274"/>
      <c r="AK461" s="274"/>
      <c r="AL461" s="274"/>
      <c r="AM461" s="274"/>
      <c r="AN461" s="274"/>
      <c r="AO461" s="274"/>
      <c r="AP461" s="274"/>
      <c r="AQ461" s="274"/>
      <c r="AR461" s="274"/>
      <c r="AS461" s="274"/>
      <c r="AT461" s="274"/>
      <c r="AU461" s="274"/>
      <c r="AV461" s="274"/>
      <c r="AW461" s="274"/>
    </row>
    <row r="462" ht="15.75" customHeight="1">
      <c r="A462" s="274"/>
      <c r="B462" s="274"/>
      <c r="C462" s="274"/>
      <c r="D462" s="274"/>
      <c r="E462" s="274"/>
      <c r="F462" s="274"/>
      <c r="G462" s="274"/>
      <c r="H462" s="274"/>
      <c r="I462" s="274"/>
      <c r="J462" s="274"/>
      <c r="K462" s="274"/>
      <c r="L462" s="274"/>
      <c r="M462" s="274"/>
      <c r="N462" s="274"/>
      <c r="O462" s="274"/>
      <c r="P462" s="274"/>
      <c r="Q462" s="274"/>
      <c r="R462" s="316"/>
      <c r="W462" s="274"/>
      <c r="X462" s="274"/>
      <c r="Y462" s="274"/>
      <c r="Z462" s="274">
        <v>26.437</v>
      </c>
      <c r="AA462" s="309">
        <v>3420472.892</v>
      </c>
      <c r="AB462" s="309">
        <v>2885296.862</v>
      </c>
      <c r="AC462" s="309">
        <v>2873662.6</v>
      </c>
      <c r="AD462" s="274"/>
      <c r="AE462" s="274"/>
      <c r="AF462" s="274"/>
      <c r="AG462" s="274"/>
      <c r="AH462" s="274"/>
      <c r="AI462" s="274"/>
      <c r="AJ462" s="274"/>
      <c r="AK462" s="274"/>
      <c r="AL462" s="274"/>
      <c r="AM462" s="274"/>
      <c r="AN462" s="274"/>
      <c r="AO462" s="274"/>
      <c r="AP462" s="274"/>
      <c r="AQ462" s="274"/>
      <c r="AR462" s="274"/>
      <c r="AS462" s="274"/>
      <c r="AT462" s="274"/>
      <c r="AU462" s="274"/>
      <c r="AV462" s="274"/>
      <c r="AW462" s="274"/>
    </row>
    <row r="463" ht="15.75" customHeight="1">
      <c r="A463" s="274"/>
      <c r="B463" s="274"/>
      <c r="C463" s="274"/>
      <c r="D463" s="274"/>
      <c r="E463" s="274"/>
      <c r="F463" s="274"/>
      <c r="G463" s="274"/>
      <c r="H463" s="274"/>
      <c r="I463" s="274"/>
      <c r="J463" s="274"/>
      <c r="K463" s="274"/>
      <c r="L463" s="274"/>
      <c r="M463" s="274"/>
      <c r="N463" s="274"/>
      <c r="O463" s="274"/>
      <c r="P463" s="274"/>
      <c r="Q463" s="274"/>
      <c r="R463" s="316"/>
      <c r="W463" s="274"/>
      <c r="X463" s="274"/>
      <c r="Y463" s="274"/>
      <c r="Z463" s="274">
        <v>26.5</v>
      </c>
      <c r="AA463" s="309">
        <v>3420472.892</v>
      </c>
      <c r="AB463" s="309">
        <v>2885296.862</v>
      </c>
      <c r="AC463" s="309">
        <v>2873662.6</v>
      </c>
      <c r="AD463" s="274"/>
      <c r="AE463" s="274"/>
      <c r="AF463" s="274"/>
      <c r="AG463" s="274"/>
      <c r="AH463" s="274"/>
      <c r="AI463" s="274"/>
      <c r="AJ463" s="274"/>
      <c r="AK463" s="274"/>
      <c r="AL463" s="274"/>
      <c r="AM463" s="274"/>
      <c r="AN463" s="274"/>
      <c r="AO463" s="274"/>
      <c r="AP463" s="274"/>
      <c r="AQ463" s="274"/>
      <c r="AR463" s="274"/>
      <c r="AS463" s="274"/>
      <c r="AT463" s="274"/>
      <c r="AU463" s="274"/>
      <c r="AV463" s="274"/>
      <c r="AW463" s="274"/>
    </row>
    <row r="464" ht="15.75" customHeight="1">
      <c r="A464" s="274"/>
      <c r="B464" s="274"/>
      <c r="C464" s="274"/>
      <c r="D464" s="274"/>
      <c r="E464" s="274"/>
      <c r="F464" s="274"/>
      <c r="G464" s="274"/>
      <c r="H464" s="274"/>
      <c r="I464" s="274"/>
      <c r="J464" s="274"/>
      <c r="K464" s="274"/>
      <c r="L464" s="274"/>
      <c r="M464" s="274"/>
      <c r="N464" s="274"/>
      <c r="O464" s="274"/>
      <c r="P464" s="274"/>
      <c r="Q464" s="274"/>
      <c r="R464" s="316"/>
      <c r="W464" s="274"/>
      <c r="X464" s="274"/>
      <c r="Y464" s="274"/>
      <c r="Z464" s="274">
        <v>26.562</v>
      </c>
      <c r="AA464" s="309">
        <v>3420472.892</v>
      </c>
      <c r="AB464" s="309">
        <v>2885296.862</v>
      </c>
      <c r="AC464" s="309">
        <v>2873662.6</v>
      </c>
      <c r="AD464" s="274"/>
      <c r="AE464" s="274"/>
      <c r="AF464" s="274"/>
      <c r="AG464" s="274"/>
      <c r="AH464" s="274"/>
      <c r="AI464" s="274"/>
      <c r="AJ464" s="274"/>
      <c r="AK464" s="274"/>
      <c r="AL464" s="274"/>
      <c r="AM464" s="274"/>
      <c r="AN464" s="274"/>
      <c r="AO464" s="274"/>
      <c r="AP464" s="274"/>
      <c r="AQ464" s="274"/>
      <c r="AR464" s="274"/>
      <c r="AS464" s="274"/>
      <c r="AT464" s="274"/>
      <c r="AU464" s="274"/>
      <c r="AV464" s="274"/>
      <c r="AW464" s="274"/>
    </row>
    <row r="465" ht="15.75" customHeight="1">
      <c r="A465" s="274"/>
      <c r="B465" s="274"/>
      <c r="C465" s="274"/>
      <c r="D465" s="274"/>
      <c r="E465" s="274"/>
      <c r="F465" s="274"/>
      <c r="G465" s="274"/>
      <c r="H465" s="274"/>
      <c r="I465" s="274"/>
      <c r="J465" s="274"/>
      <c r="K465" s="274"/>
      <c r="L465" s="274"/>
      <c r="M465" s="274"/>
      <c r="N465" s="274"/>
      <c r="O465" s="274"/>
      <c r="P465" s="274"/>
      <c r="Q465" s="274"/>
      <c r="R465" s="316"/>
      <c r="W465" s="274"/>
      <c r="X465" s="274"/>
      <c r="Y465" s="274"/>
      <c r="Z465" s="274">
        <v>26.625</v>
      </c>
      <c r="AA465" s="309">
        <v>3420472.892</v>
      </c>
      <c r="AB465" s="309">
        <v>2885296.862</v>
      </c>
      <c r="AC465" s="309">
        <v>2873662.6</v>
      </c>
      <c r="AD465" s="274"/>
      <c r="AE465" s="274"/>
      <c r="AF465" s="274"/>
      <c r="AG465" s="274"/>
      <c r="AH465" s="274"/>
      <c r="AI465" s="274"/>
      <c r="AJ465" s="274"/>
      <c r="AK465" s="274"/>
      <c r="AL465" s="274"/>
      <c r="AM465" s="274"/>
      <c r="AN465" s="274"/>
      <c r="AO465" s="274"/>
      <c r="AP465" s="274"/>
      <c r="AQ465" s="274"/>
      <c r="AR465" s="274"/>
      <c r="AS465" s="274"/>
      <c r="AT465" s="274"/>
      <c r="AU465" s="274"/>
      <c r="AV465" s="274"/>
      <c r="AW465" s="274"/>
    </row>
    <row r="466" ht="15.75" customHeight="1">
      <c r="A466" s="274"/>
      <c r="B466" s="274"/>
      <c r="C466" s="274"/>
      <c r="D466" s="274"/>
      <c r="E466" s="274"/>
      <c r="F466" s="274"/>
      <c r="G466" s="274"/>
      <c r="H466" s="274"/>
      <c r="I466" s="274"/>
      <c r="J466" s="274"/>
      <c r="K466" s="274"/>
      <c r="L466" s="274"/>
      <c r="M466" s="274"/>
      <c r="N466" s="274"/>
      <c r="O466" s="274"/>
      <c r="P466" s="274"/>
      <c r="Q466" s="274"/>
      <c r="R466" s="316"/>
      <c r="W466" s="274"/>
      <c r="X466" s="274"/>
      <c r="Y466" s="274"/>
      <c r="Z466" s="274">
        <v>26.687</v>
      </c>
      <c r="AA466" s="309">
        <v>3420472.892</v>
      </c>
      <c r="AB466" s="309">
        <v>2920199.646</v>
      </c>
      <c r="AC466" s="309">
        <v>2873662.6</v>
      </c>
      <c r="AD466" s="274"/>
      <c r="AE466" s="274"/>
      <c r="AF466" s="274"/>
      <c r="AG466" s="274"/>
      <c r="AH466" s="274"/>
      <c r="AI466" s="274"/>
      <c r="AJ466" s="274"/>
      <c r="AK466" s="274"/>
      <c r="AL466" s="274"/>
      <c r="AM466" s="274"/>
      <c r="AN466" s="274"/>
      <c r="AO466" s="274"/>
      <c r="AP466" s="274"/>
      <c r="AQ466" s="274"/>
      <c r="AR466" s="274"/>
      <c r="AS466" s="274"/>
      <c r="AT466" s="274"/>
      <c r="AU466" s="274"/>
      <c r="AV466" s="274"/>
      <c r="AW466" s="274"/>
    </row>
    <row r="467" ht="15.75" customHeight="1">
      <c r="A467" s="274"/>
      <c r="B467" s="274"/>
      <c r="C467" s="274"/>
      <c r="D467" s="274"/>
      <c r="E467" s="274"/>
      <c r="F467" s="274"/>
      <c r="G467" s="274"/>
      <c r="H467" s="274"/>
      <c r="I467" s="274"/>
      <c r="J467" s="274"/>
      <c r="K467" s="274"/>
      <c r="L467" s="274"/>
      <c r="M467" s="274"/>
      <c r="N467" s="274"/>
      <c r="O467" s="274"/>
      <c r="P467" s="274"/>
      <c r="Q467" s="274"/>
      <c r="R467" s="316"/>
      <c r="W467" s="274"/>
      <c r="X467" s="274"/>
      <c r="Y467" s="274"/>
      <c r="Z467" s="274">
        <v>26.75</v>
      </c>
      <c r="AA467" s="309">
        <v>3560084.031</v>
      </c>
      <c r="AB467" s="309">
        <v>2920199.646</v>
      </c>
      <c r="AC467" s="309">
        <v>2920199.646</v>
      </c>
      <c r="AD467" s="274"/>
      <c r="AE467" s="274"/>
      <c r="AF467" s="274"/>
      <c r="AG467" s="274"/>
      <c r="AH467" s="274"/>
      <c r="AI467" s="274"/>
      <c r="AJ467" s="274"/>
      <c r="AK467" s="274"/>
      <c r="AL467" s="274"/>
      <c r="AM467" s="274"/>
      <c r="AN467" s="274"/>
      <c r="AO467" s="274"/>
      <c r="AP467" s="274"/>
      <c r="AQ467" s="274"/>
      <c r="AR467" s="274"/>
      <c r="AS467" s="274"/>
      <c r="AT467" s="274"/>
      <c r="AU467" s="274"/>
      <c r="AV467" s="274"/>
      <c r="AW467" s="274"/>
    </row>
    <row r="468" ht="15.75" customHeight="1">
      <c r="A468" s="274"/>
      <c r="B468" s="274"/>
      <c r="C468" s="274"/>
      <c r="D468" s="274"/>
      <c r="E468" s="274"/>
      <c r="F468" s="274"/>
      <c r="G468" s="274"/>
      <c r="H468" s="274"/>
      <c r="I468" s="274"/>
      <c r="J468" s="274"/>
      <c r="K468" s="274"/>
      <c r="L468" s="274"/>
      <c r="M468" s="274"/>
      <c r="N468" s="274"/>
      <c r="O468" s="274"/>
      <c r="P468" s="274"/>
      <c r="Q468" s="274"/>
      <c r="R468" s="316"/>
      <c r="W468" s="274"/>
      <c r="X468" s="274"/>
      <c r="Y468" s="274"/>
      <c r="Z468" s="274">
        <v>26.812</v>
      </c>
      <c r="AA468" s="309">
        <v>3560084.031</v>
      </c>
      <c r="AB468" s="309">
        <v>2920199.646</v>
      </c>
      <c r="AC468" s="309">
        <v>2920199.646</v>
      </c>
      <c r="AD468" s="274"/>
      <c r="AE468" s="274"/>
      <c r="AF468" s="274"/>
      <c r="AG468" s="274"/>
      <c r="AH468" s="274"/>
      <c r="AI468" s="274"/>
      <c r="AJ468" s="274"/>
      <c r="AK468" s="274"/>
      <c r="AL468" s="274"/>
      <c r="AM468" s="274"/>
      <c r="AN468" s="274"/>
      <c r="AO468" s="274"/>
      <c r="AP468" s="274"/>
      <c r="AQ468" s="274"/>
      <c r="AR468" s="274"/>
      <c r="AS468" s="274"/>
      <c r="AT468" s="274"/>
      <c r="AU468" s="274"/>
      <c r="AV468" s="274"/>
      <c r="AW468" s="274"/>
    </row>
    <row r="469" ht="15.75" customHeight="1">
      <c r="A469" s="274"/>
      <c r="B469" s="274"/>
      <c r="C469" s="274"/>
      <c r="D469" s="274"/>
      <c r="E469" s="274"/>
      <c r="F469" s="274"/>
      <c r="G469" s="274"/>
      <c r="H469" s="274"/>
      <c r="I469" s="274"/>
      <c r="J469" s="274"/>
      <c r="K469" s="274"/>
      <c r="L469" s="274"/>
      <c r="M469" s="274"/>
      <c r="N469" s="274"/>
      <c r="O469" s="274"/>
      <c r="P469" s="274"/>
      <c r="Q469" s="274"/>
      <c r="R469" s="316"/>
      <c r="W469" s="274"/>
      <c r="X469" s="274"/>
      <c r="Y469" s="274"/>
      <c r="Z469" s="274">
        <v>26.875</v>
      </c>
      <c r="AA469" s="309">
        <v>3560084.031</v>
      </c>
      <c r="AB469" s="309">
        <v>2920199.646</v>
      </c>
      <c r="AC469" s="309">
        <v>2920199.646</v>
      </c>
      <c r="AD469" s="274"/>
      <c r="AE469" s="274"/>
      <c r="AF469" s="274"/>
      <c r="AG469" s="274"/>
      <c r="AH469" s="274"/>
      <c r="AI469" s="274"/>
      <c r="AJ469" s="274"/>
      <c r="AK469" s="274"/>
      <c r="AL469" s="274"/>
      <c r="AM469" s="274"/>
      <c r="AN469" s="274"/>
      <c r="AO469" s="274"/>
      <c r="AP469" s="274"/>
      <c r="AQ469" s="274"/>
      <c r="AR469" s="274"/>
      <c r="AS469" s="274"/>
      <c r="AT469" s="274"/>
      <c r="AU469" s="274"/>
      <c r="AV469" s="274"/>
      <c r="AW469" s="274"/>
    </row>
    <row r="470" ht="15.75" customHeight="1">
      <c r="A470" s="274"/>
      <c r="B470" s="274"/>
      <c r="C470" s="274"/>
      <c r="D470" s="274"/>
      <c r="E470" s="274"/>
      <c r="F470" s="274"/>
      <c r="G470" s="274"/>
      <c r="H470" s="274"/>
      <c r="I470" s="274"/>
      <c r="J470" s="274"/>
      <c r="K470" s="274"/>
      <c r="L470" s="274"/>
      <c r="M470" s="274"/>
      <c r="N470" s="274"/>
      <c r="O470" s="274"/>
      <c r="P470" s="274"/>
      <c r="Q470" s="274"/>
      <c r="R470" s="316"/>
      <c r="W470" s="274"/>
      <c r="X470" s="274"/>
      <c r="Y470" s="274"/>
      <c r="Z470" s="274">
        <v>26.937</v>
      </c>
      <c r="AA470" s="309">
        <v>3560084.031</v>
      </c>
      <c r="AB470" s="309">
        <v>2920199.646</v>
      </c>
      <c r="AC470" s="309">
        <v>2920199.646</v>
      </c>
      <c r="AD470" s="274"/>
      <c r="AE470" s="274"/>
      <c r="AF470" s="274"/>
      <c r="AG470" s="274"/>
      <c r="AH470" s="274"/>
      <c r="AI470" s="274"/>
      <c r="AJ470" s="274"/>
      <c r="AK470" s="274"/>
      <c r="AL470" s="274"/>
      <c r="AM470" s="274"/>
      <c r="AN470" s="274"/>
      <c r="AO470" s="274"/>
      <c r="AP470" s="274"/>
      <c r="AQ470" s="274"/>
      <c r="AR470" s="274"/>
      <c r="AS470" s="274"/>
      <c r="AT470" s="274"/>
      <c r="AU470" s="274"/>
      <c r="AV470" s="274"/>
      <c r="AW470" s="274"/>
    </row>
    <row r="471" ht="15.75" customHeight="1">
      <c r="A471" s="274"/>
      <c r="B471" s="274"/>
      <c r="C471" s="274"/>
      <c r="D471" s="274"/>
      <c r="E471" s="274"/>
      <c r="F471" s="274"/>
      <c r="G471" s="274"/>
      <c r="H471" s="274"/>
      <c r="I471" s="274"/>
      <c r="J471" s="274"/>
      <c r="K471" s="274"/>
      <c r="L471" s="274"/>
      <c r="M471" s="274"/>
      <c r="N471" s="274"/>
      <c r="O471" s="274"/>
      <c r="P471" s="274"/>
      <c r="Q471" s="274"/>
      <c r="R471" s="316"/>
      <c r="W471" s="274"/>
      <c r="X471" s="274"/>
      <c r="Y471" s="274"/>
      <c r="Z471" s="274">
        <v>27.0</v>
      </c>
      <c r="AA471" s="309">
        <v>3560084.031</v>
      </c>
      <c r="AB471" s="309">
        <v>2920199.646</v>
      </c>
      <c r="AC471" s="309">
        <v>2966736.692</v>
      </c>
      <c r="AD471" s="274"/>
      <c r="AE471" s="274"/>
      <c r="AF471" s="274"/>
      <c r="AG471" s="274"/>
      <c r="AH471" s="274"/>
      <c r="AI471" s="274"/>
      <c r="AJ471" s="274"/>
      <c r="AK471" s="274"/>
      <c r="AL471" s="274"/>
      <c r="AM471" s="274"/>
      <c r="AN471" s="274"/>
      <c r="AO471" s="274"/>
      <c r="AP471" s="274"/>
      <c r="AQ471" s="274"/>
      <c r="AR471" s="274"/>
      <c r="AS471" s="274"/>
      <c r="AT471" s="274"/>
      <c r="AU471" s="274"/>
      <c r="AV471" s="274"/>
      <c r="AW471" s="274"/>
    </row>
    <row r="472" ht="15.75" customHeight="1">
      <c r="A472" s="274"/>
      <c r="B472" s="274"/>
      <c r="C472" s="274"/>
      <c r="D472" s="274"/>
      <c r="E472" s="274"/>
      <c r="F472" s="274"/>
      <c r="G472" s="274"/>
      <c r="H472" s="274"/>
      <c r="I472" s="274"/>
      <c r="J472" s="274"/>
      <c r="K472" s="274"/>
      <c r="L472" s="274"/>
      <c r="M472" s="274"/>
      <c r="N472" s="274"/>
      <c r="O472" s="274"/>
      <c r="P472" s="274"/>
      <c r="Q472" s="274"/>
      <c r="R472" s="316"/>
      <c r="W472" s="274"/>
      <c r="X472" s="274"/>
      <c r="Y472" s="274"/>
      <c r="Z472" s="274">
        <v>27.062</v>
      </c>
      <c r="AA472" s="309">
        <v>3560084.031</v>
      </c>
      <c r="AB472" s="309">
        <v>2920199.646</v>
      </c>
      <c r="AC472" s="309">
        <v>2966736.692</v>
      </c>
      <c r="AD472" s="274"/>
      <c r="AE472" s="274"/>
      <c r="AF472" s="274"/>
      <c r="AG472" s="274"/>
      <c r="AH472" s="274"/>
      <c r="AI472" s="274"/>
      <c r="AJ472" s="274"/>
      <c r="AK472" s="274"/>
      <c r="AL472" s="274"/>
      <c r="AM472" s="274"/>
      <c r="AN472" s="274"/>
      <c r="AO472" s="274"/>
      <c r="AP472" s="274"/>
      <c r="AQ472" s="274"/>
      <c r="AR472" s="274"/>
      <c r="AS472" s="274"/>
      <c r="AT472" s="274"/>
      <c r="AU472" s="274"/>
      <c r="AV472" s="274"/>
      <c r="AW472" s="274"/>
    </row>
    <row r="473" ht="15.75" customHeight="1">
      <c r="A473" s="274"/>
      <c r="B473" s="274"/>
      <c r="C473" s="274"/>
      <c r="D473" s="274"/>
      <c r="E473" s="274"/>
      <c r="F473" s="274"/>
      <c r="G473" s="274"/>
      <c r="H473" s="274"/>
      <c r="I473" s="274"/>
      <c r="J473" s="274"/>
      <c r="K473" s="274"/>
      <c r="L473" s="274"/>
      <c r="M473" s="274"/>
      <c r="N473" s="274"/>
      <c r="O473" s="274"/>
      <c r="P473" s="274"/>
      <c r="Q473" s="274"/>
      <c r="R473" s="316"/>
      <c r="W473" s="274"/>
      <c r="X473" s="274"/>
      <c r="Y473" s="274"/>
      <c r="Z473" s="274">
        <v>27.125</v>
      </c>
      <c r="AA473" s="309">
        <v>3560084.031</v>
      </c>
      <c r="AB473" s="309">
        <v>2920199.646</v>
      </c>
      <c r="AC473" s="309">
        <v>2966736.692</v>
      </c>
      <c r="AD473" s="274"/>
      <c r="AE473" s="274"/>
      <c r="AF473" s="274"/>
      <c r="AG473" s="274"/>
      <c r="AH473" s="274"/>
      <c r="AI473" s="274"/>
      <c r="AJ473" s="274"/>
      <c r="AK473" s="274"/>
      <c r="AL473" s="274"/>
      <c r="AM473" s="274"/>
      <c r="AN473" s="274"/>
      <c r="AO473" s="274"/>
      <c r="AP473" s="274"/>
      <c r="AQ473" s="274"/>
      <c r="AR473" s="274"/>
      <c r="AS473" s="274"/>
      <c r="AT473" s="274"/>
      <c r="AU473" s="274"/>
      <c r="AV473" s="274"/>
      <c r="AW473" s="274"/>
    </row>
    <row r="474" ht="15.75" customHeight="1">
      <c r="A474" s="274"/>
      <c r="B474" s="274"/>
      <c r="C474" s="274"/>
      <c r="D474" s="274"/>
      <c r="E474" s="274"/>
      <c r="F474" s="274"/>
      <c r="G474" s="274"/>
      <c r="H474" s="274"/>
      <c r="I474" s="274"/>
      <c r="J474" s="274"/>
      <c r="K474" s="274"/>
      <c r="L474" s="274"/>
      <c r="M474" s="274"/>
      <c r="N474" s="274"/>
      <c r="O474" s="274"/>
      <c r="P474" s="274"/>
      <c r="Q474" s="274"/>
      <c r="R474" s="316"/>
      <c r="W474" s="274"/>
      <c r="X474" s="274"/>
      <c r="Y474" s="274"/>
      <c r="Z474" s="274">
        <v>27.187</v>
      </c>
      <c r="AA474" s="309">
        <v>3560084.031</v>
      </c>
      <c r="AB474" s="309">
        <v>2920199.646</v>
      </c>
      <c r="AC474" s="309">
        <v>3024908.0</v>
      </c>
      <c r="AD474" s="274"/>
      <c r="AE474" s="274"/>
      <c r="AF474" s="274"/>
      <c r="AG474" s="274"/>
      <c r="AH474" s="274"/>
      <c r="AI474" s="274"/>
      <c r="AJ474" s="274"/>
      <c r="AK474" s="274"/>
      <c r="AL474" s="274"/>
      <c r="AM474" s="274"/>
      <c r="AN474" s="274"/>
      <c r="AO474" s="274"/>
      <c r="AP474" s="274"/>
      <c r="AQ474" s="274"/>
      <c r="AR474" s="274"/>
      <c r="AS474" s="274"/>
      <c r="AT474" s="274"/>
      <c r="AU474" s="274"/>
      <c r="AV474" s="274"/>
      <c r="AW474" s="274"/>
    </row>
    <row r="475" ht="15.75" customHeight="1">
      <c r="A475" s="274"/>
      <c r="B475" s="274"/>
      <c r="C475" s="274"/>
      <c r="D475" s="274"/>
      <c r="E475" s="274"/>
      <c r="F475" s="274"/>
      <c r="G475" s="274"/>
      <c r="H475" s="274"/>
      <c r="I475" s="274"/>
      <c r="J475" s="274"/>
      <c r="K475" s="274"/>
      <c r="L475" s="274"/>
      <c r="M475" s="274"/>
      <c r="N475" s="274"/>
      <c r="O475" s="274"/>
      <c r="P475" s="274"/>
      <c r="Q475" s="274"/>
      <c r="R475" s="316"/>
      <c r="W475" s="274"/>
      <c r="X475" s="274"/>
      <c r="Y475" s="274"/>
      <c r="Z475" s="274">
        <v>27.25</v>
      </c>
      <c r="AA475" s="309">
        <v>3560084.031</v>
      </c>
      <c r="AB475" s="309">
        <v>2920199.646</v>
      </c>
      <c r="AC475" s="309">
        <v>3024908.0</v>
      </c>
      <c r="AD475" s="274"/>
      <c r="AE475" s="274"/>
      <c r="AF475" s="274"/>
      <c r="AG475" s="274"/>
      <c r="AH475" s="274"/>
      <c r="AI475" s="274"/>
      <c r="AJ475" s="274"/>
      <c r="AK475" s="274"/>
      <c r="AL475" s="274"/>
      <c r="AM475" s="274"/>
      <c r="AN475" s="274"/>
      <c r="AO475" s="274"/>
      <c r="AP475" s="274"/>
      <c r="AQ475" s="274"/>
      <c r="AR475" s="274"/>
      <c r="AS475" s="274"/>
      <c r="AT475" s="274"/>
      <c r="AU475" s="274"/>
      <c r="AV475" s="274"/>
      <c r="AW475" s="274"/>
    </row>
    <row r="476" ht="15.75" customHeight="1">
      <c r="A476" s="274"/>
      <c r="B476" s="274"/>
      <c r="C476" s="274"/>
      <c r="D476" s="274"/>
      <c r="E476" s="274"/>
      <c r="F476" s="274"/>
      <c r="G476" s="274"/>
      <c r="H476" s="274"/>
      <c r="I476" s="274"/>
      <c r="J476" s="274"/>
      <c r="K476" s="274"/>
      <c r="L476" s="274"/>
      <c r="M476" s="274"/>
      <c r="N476" s="274"/>
      <c r="O476" s="274"/>
      <c r="P476" s="274"/>
      <c r="Q476" s="274"/>
      <c r="R476" s="316"/>
      <c r="W476" s="274"/>
      <c r="X476" s="274"/>
      <c r="Y476" s="274"/>
      <c r="Z476" s="274">
        <v>27.312</v>
      </c>
      <c r="AA476" s="309">
        <v>3560084.031</v>
      </c>
      <c r="AB476" s="309">
        <v>2920199.646</v>
      </c>
      <c r="AC476" s="309">
        <v>3024908.0</v>
      </c>
      <c r="AD476" s="274"/>
      <c r="AE476" s="274"/>
      <c r="AF476" s="274"/>
      <c r="AG476" s="274"/>
      <c r="AH476" s="274"/>
      <c r="AI476" s="274"/>
      <c r="AJ476" s="274"/>
      <c r="AK476" s="274"/>
      <c r="AL476" s="274"/>
      <c r="AM476" s="274"/>
      <c r="AN476" s="274"/>
      <c r="AO476" s="274"/>
      <c r="AP476" s="274"/>
      <c r="AQ476" s="274"/>
      <c r="AR476" s="274"/>
      <c r="AS476" s="274"/>
      <c r="AT476" s="274"/>
      <c r="AU476" s="274"/>
      <c r="AV476" s="274"/>
      <c r="AW476" s="274"/>
    </row>
    <row r="477" ht="15.75" customHeight="1">
      <c r="A477" s="274"/>
      <c r="B477" s="274"/>
      <c r="C477" s="274"/>
      <c r="D477" s="274"/>
      <c r="E477" s="274"/>
      <c r="F477" s="274"/>
      <c r="G477" s="274"/>
      <c r="H477" s="274"/>
      <c r="I477" s="274"/>
      <c r="J477" s="274"/>
      <c r="K477" s="274"/>
      <c r="L477" s="274"/>
      <c r="M477" s="274"/>
      <c r="N477" s="274"/>
      <c r="O477" s="274"/>
      <c r="P477" s="274"/>
      <c r="Q477" s="274"/>
      <c r="R477" s="316"/>
      <c r="W477" s="274"/>
      <c r="X477" s="274"/>
      <c r="Y477" s="274"/>
      <c r="Z477" s="274">
        <v>27.375</v>
      </c>
      <c r="AA477" s="309">
        <v>3583352.554</v>
      </c>
      <c r="AB477" s="309">
        <v>2920199.646</v>
      </c>
      <c r="AC477" s="309">
        <v>3024908.0</v>
      </c>
      <c r="AD477" s="274"/>
      <c r="AE477" s="274"/>
      <c r="AF477" s="274"/>
      <c r="AG477" s="274"/>
      <c r="AH477" s="274"/>
      <c r="AI477" s="274"/>
      <c r="AJ477" s="274"/>
      <c r="AK477" s="274"/>
      <c r="AL477" s="274"/>
      <c r="AM477" s="274"/>
      <c r="AN477" s="274"/>
      <c r="AO477" s="274"/>
      <c r="AP477" s="274"/>
      <c r="AQ477" s="274"/>
      <c r="AR477" s="274"/>
      <c r="AS477" s="274"/>
      <c r="AT477" s="274"/>
      <c r="AU477" s="274"/>
      <c r="AV477" s="274"/>
      <c r="AW477" s="274"/>
    </row>
    <row r="478" ht="15.75" customHeight="1">
      <c r="A478" s="274"/>
      <c r="B478" s="274"/>
      <c r="C478" s="274"/>
      <c r="D478" s="274"/>
      <c r="E478" s="274"/>
      <c r="F478" s="274"/>
      <c r="G478" s="274"/>
      <c r="H478" s="274"/>
      <c r="I478" s="274"/>
      <c r="J478" s="274"/>
      <c r="K478" s="274"/>
      <c r="L478" s="274"/>
      <c r="M478" s="274"/>
      <c r="N478" s="274"/>
      <c r="O478" s="274"/>
      <c r="P478" s="274"/>
      <c r="Q478" s="274"/>
      <c r="R478" s="316"/>
      <c r="W478" s="274"/>
      <c r="X478" s="274"/>
      <c r="Y478" s="274"/>
      <c r="Z478" s="274">
        <v>27.437</v>
      </c>
      <c r="AA478" s="309">
        <v>3618255.338</v>
      </c>
      <c r="AB478" s="309">
        <v>2920199.646</v>
      </c>
      <c r="AC478" s="309">
        <v>3024908.0</v>
      </c>
      <c r="AD478" s="274"/>
      <c r="AE478" s="274"/>
      <c r="AF478" s="274"/>
      <c r="AG478" s="274"/>
      <c r="AH478" s="274"/>
      <c r="AI478" s="274"/>
      <c r="AJ478" s="274"/>
      <c r="AK478" s="274"/>
      <c r="AL478" s="274"/>
      <c r="AM478" s="274"/>
      <c r="AN478" s="274"/>
      <c r="AO478" s="274"/>
      <c r="AP478" s="274"/>
      <c r="AQ478" s="274"/>
      <c r="AR478" s="274"/>
      <c r="AS478" s="274"/>
      <c r="AT478" s="274"/>
      <c r="AU478" s="274"/>
      <c r="AV478" s="274"/>
      <c r="AW478" s="274"/>
    </row>
    <row r="479" ht="15.75" customHeight="1">
      <c r="A479" s="274"/>
      <c r="B479" s="274"/>
      <c r="C479" s="274"/>
      <c r="D479" s="274"/>
      <c r="E479" s="274"/>
      <c r="F479" s="274"/>
      <c r="G479" s="274"/>
      <c r="H479" s="274"/>
      <c r="I479" s="274"/>
      <c r="J479" s="274"/>
      <c r="K479" s="274"/>
      <c r="L479" s="274"/>
      <c r="M479" s="274"/>
      <c r="N479" s="274"/>
      <c r="O479" s="274"/>
      <c r="P479" s="274"/>
      <c r="Q479" s="274"/>
      <c r="R479" s="316"/>
      <c r="W479" s="274"/>
      <c r="X479" s="274"/>
      <c r="Y479" s="274"/>
      <c r="Z479" s="274">
        <v>27.5</v>
      </c>
      <c r="AA479" s="309">
        <v>3618255.338</v>
      </c>
      <c r="AB479" s="309">
        <v>2920199.646</v>
      </c>
      <c r="AC479" s="309">
        <v>3024908.0</v>
      </c>
      <c r="AD479" s="274"/>
      <c r="AE479" s="274"/>
      <c r="AF479" s="274"/>
      <c r="AG479" s="274"/>
      <c r="AH479" s="274"/>
      <c r="AI479" s="274"/>
      <c r="AJ479" s="274"/>
      <c r="AK479" s="274"/>
      <c r="AL479" s="274"/>
      <c r="AM479" s="274"/>
      <c r="AN479" s="274"/>
      <c r="AO479" s="274"/>
      <c r="AP479" s="274"/>
      <c r="AQ479" s="274"/>
      <c r="AR479" s="274"/>
      <c r="AS479" s="274"/>
      <c r="AT479" s="274"/>
      <c r="AU479" s="274"/>
      <c r="AV479" s="274"/>
      <c r="AW479" s="274"/>
    </row>
    <row r="480" ht="15.75" customHeight="1">
      <c r="A480" s="274"/>
      <c r="B480" s="274"/>
      <c r="C480" s="274"/>
      <c r="D480" s="274"/>
      <c r="E480" s="274"/>
      <c r="F480" s="274"/>
      <c r="G480" s="274"/>
      <c r="H480" s="274"/>
      <c r="I480" s="274"/>
      <c r="J480" s="274"/>
      <c r="K480" s="274"/>
      <c r="L480" s="274"/>
      <c r="M480" s="274"/>
      <c r="N480" s="274"/>
      <c r="O480" s="274"/>
      <c r="P480" s="274"/>
      <c r="Q480" s="274"/>
      <c r="R480" s="316"/>
      <c r="W480" s="274"/>
      <c r="X480" s="274"/>
      <c r="Y480" s="274"/>
      <c r="Z480" s="274">
        <v>27.562</v>
      </c>
      <c r="AA480" s="309">
        <v>3618255.338</v>
      </c>
      <c r="AB480" s="309">
        <v>2920199.646</v>
      </c>
      <c r="AC480" s="309">
        <v>3024908.0</v>
      </c>
      <c r="AD480" s="274"/>
      <c r="AE480" s="274"/>
      <c r="AF480" s="274"/>
      <c r="AG480" s="274"/>
      <c r="AH480" s="274"/>
      <c r="AI480" s="274"/>
      <c r="AJ480" s="274"/>
      <c r="AK480" s="274"/>
      <c r="AL480" s="274"/>
      <c r="AM480" s="274"/>
      <c r="AN480" s="274"/>
      <c r="AO480" s="274"/>
      <c r="AP480" s="274"/>
      <c r="AQ480" s="274"/>
      <c r="AR480" s="274"/>
      <c r="AS480" s="274"/>
      <c r="AT480" s="274"/>
      <c r="AU480" s="274"/>
      <c r="AV480" s="274"/>
      <c r="AW480" s="274"/>
    </row>
    <row r="481" ht="15.75" customHeight="1">
      <c r="A481" s="274"/>
      <c r="B481" s="274"/>
      <c r="C481" s="274"/>
      <c r="D481" s="274"/>
      <c r="E481" s="274"/>
      <c r="F481" s="274"/>
      <c r="G481" s="274"/>
      <c r="H481" s="274"/>
      <c r="I481" s="274"/>
      <c r="J481" s="274"/>
      <c r="K481" s="274"/>
      <c r="L481" s="274"/>
      <c r="M481" s="274"/>
      <c r="N481" s="274"/>
      <c r="O481" s="274"/>
      <c r="P481" s="274"/>
      <c r="Q481" s="274"/>
      <c r="R481" s="316"/>
      <c r="W481" s="274"/>
      <c r="X481" s="274"/>
      <c r="Y481" s="274"/>
      <c r="Z481" s="274">
        <v>27.625</v>
      </c>
      <c r="AA481" s="309">
        <v>3618255.338</v>
      </c>
      <c r="AB481" s="309">
        <v>2920199.646</v>
      </c>
      <c r="AC481" s="309">
        <v>3024908.0</v>
      </c>
      <c r="AD481" s="274"/>
      <c r="AE481" s="274"/>
      <c r="AF481" s="274"/>
      <c r="AG481" s="274"/>
      <c r="AH481" s="274"/>
      <c r="AI481" s="274"/>
      <c r="AJ481" s="274"/>
      <c r="AK481" s="274"/>
      <c r="AL481" s="274"/>
      <c r="AM481" s="274"/>
      <c r="AN481" s="274"/>
      <c r="AO481" s="274"/>
      <c r="AP481" s="274"/>
      <c r="AQ481" s="274"/>
      <c r="AR481" s="274"/>
      <c r="AS481" s="274"/>
      <c r="AT481" s="274"/>
      <c r="AU481" s="274"/>
      <c r="AV481" s="274"/>
      <c r="AW481" s="274"/>
    </row>
    <row r="482" ht="15.75" customHeight="1">
      <c r="A482" s="274"/>
      <c r="B482" s="274"/>
      <c r="C482" s="274"/>
      <c r="D482" s="274"/>
      <c r="E482" s="274"/>
      <c r="F482" s="274"/>
      <c r="G482" s="274"/>
      <c r="H482" s="274"/>
      <c r="I482" s="274"/>
      <c r="J482" s="274"/>
      <c r="K482" s="274"/>
      <c r="L482" s="274"/>
      <c r="M482" s="274"/>
      <c r="N482" s="274"/>
      <c r="O482" s="274"/>
      <c r="P482" s="274"/>
      <c r="Q482" s="274"/>
      <c r="R482" s="316"/>
      <c r="W482" s="274"/>
      <c r="X482" s="274"/>
      <c r="Y482" s="274"/>
      <c r="Z482" s="274">
        <v>27.687</v>
      </c>
      <c r="AA482" s="309">
        <v>3618255.338</v>
      </c>
      <c r="AB482" s="309">
        <v>2920199.646</v>
      </c>
      <c r="AC482" s="309">
        <v>3024908.0</v>
      </c>
      <c r="AD482" s="274"/>
      <c r="AE482" s="274"/>
      <c r="AF482" s="274"/>
      <c r="AG482" s="274"/>
      <c r="AH482" s="274"/>
      <c r="AI482" s="274"/>
      <c r="AJ482" s="274"/>
      <c r="AK482" s="274"/>
      <c r="AL482" s="274"/>
      <c r="AM482" s="274"/>
      <c r="AN482" s="274"/>
      <c r="AO482" s="274"/>
      <c r="AP482" s="274"/>
      <c r="AQ482" s="274"/>
      <c r="AR482" s="274"/>
      <c r="AS482" s="274"/>
      <c r="AT482" s="274"/>
      <c r="AU482" s="274"/>
      <c r="AV482" s="274"/>
      <c r="AW482" s="274"/>
    </row>
    <row r="483" ht="15.75" customHeight="1">
      <c r="A483" s="274"/>
      <c r="B483" s="274"/>
      <c r="C483" s="274"/>
      <c r="D483" s="274"/>
      <c r="E483" s="274"/>
      <c r="F483" s="274"/>
      <c r="G483" s="274"/>
      <c r="H483" s="274"/>
      <c r="I483" s="274"/>
      <c r="J483" s="274"/>
      <c r="K483" s="274"/>
      <c r="L483" s="274"/>
      <c r="M483" s="274"/>
      <c r="N483" s="274"/>
      <c r="O483" s="274"/>
      <c r="P483" s="274"/>
      <c r="Q483" s="274"/>
      <c r="R483" s="316"/>
      <c r="W483" s="274"/>
      <c r="X483" s="274"/>
      <c r="Y483" s="274"/>
      <c r="Z483" s="274">
        <v>27.75</v>
      </c>
      <c r="AA483" s="309">
        <v>3618255.338</v>
      </c>
      <c r="AB483" s="309">
        <v>2920199.646</v>
      </c>
      <c r="AC483" s="309">
        <v>3024908.0</v>
      </c>
      <c r="AD483" s="274"/>
      <c r="AE483" s="274"/>
      <c r="AF483" s="274"/>
      <c r="AG483" s="274"/>
      <c r="AH483" s="274"/>
      <c r="AI483" s="274"/>
      <c r="AJ483" s="274"/>
      <c r="AK483" s="274"/>
      <c r="AL483" s="274"/>
      <c r="AM483" s="274"/>
      <c r="AN483" s="274"/>
      <c r="AO483" s="274"/>
      <c r="AP483" s="274"/>
      <c r="AQ483" s="274"/>
      <c r="AR483" s="274"/>
      <c r="AS483" s="274"/>
      <c r="AT483" s="274"/>
      <c r="AU483" s="274"/>
      <c r="AV483" s="274"/>
      <c r="AW483" s="274"/>
    </row>
    <row r="484" ht="15.75" customHeight="1">
      <c r="A484" s="274"/>
      <c r="B484" s="274"/>
      <c r="C484" s="274"/>
      <c r="D484" s="274"/>
      <c r="E484" s="274"/>
      <c r="F484" s="274"/>
      <c r="G484" s="274"/>
      <c r="H484" s="274"/>
      <c r="I484" s="274"/>
      <c r="J484" s="274"/>
      <c r="K484" s="274"/>
      <c r="L484" s="274"/>
      <c r="M484" s="274"/>
      <c r="N484" s="274"/>
      <c r="O484" s="274"/>
      <c r="P484" s="274"/>
      <c r="Q484" s="274"/>
      <c r="R484" s="316"/>
      <c r="W484" s="274"/>
      <c r="X484" s="274"/>
      <c r="Y484" s="274"/>
      <c r="Z484" s="274">
        <v>27.812</v>
      </c>
      <c r="AA484" s="309">
        <v>3618255.338</v>
      </c>
      <c r="AB484" s="309">
        <v>2920199.646</v>
      </c>
      <c r="AC484" s="309">
        <v>3024908.0</v>
      </c>
      <c r="AD484" s="274"/>
      <c r="AE484" s="274"/>
      <c r="AF484" s="274"/>
      <c r="AG484" s="274"/>
      <c r="AH484" s="274"/>
      <c r="AI484" s="274"/>
      <c r="AJ484" s="274"/>
      <c r="AK484" s="274"/>
      <c r="AL484" s="274"/>
      <c r="AM484" s="274"/>
      <c r="AN484" s="274"/>
      <c r="AO484" s="274"/>
      <c r="AP484" s="274"/>
      <c r="AQ484" s="274"/>
      <c r="AR484" s="274"/>
      <c r="AS484" s="274"/>
      <c r="AT484" s="274"/>
      <c r="AU484" s="274"/>
      <c r="AV484" s="274"/>
      <c r="AW484" s="274"/>
    </row>
    <row r="485" ht="15.75" customHeight="1">
      <c r="A485" s="274"/>
      <c r="B485" s="274"/>
      <c r="C485" s="274"/>
      <c r="D485" s="274"/>
      <c r="E485" s="274"/>
      <c r="F485" s="274"/>
      <c r="G485" s="274"/>
      <c r="H485" s="274"/>
      <c r="I485" s="274"/>
      <c r="J485" s="274"/>
      <c r="K485" s="274"/>
      <c r="L485" s="274"/>
      <c r="M485" s="274"/>
      <c r="N485" s="274"/>
      <c r="O485" s="274"/>
      <c r="P485" s="274"/>
      <c r="Q485" s="274"/>
      <c r="R485" s="316"/>
      <c r="W485" s="274"/>
      <c r="X485" s="274"/>
      <c r="Y485" s="274"/>
      <c r="Z485" s="274">
        <v>27.875</v>
      </c>
      <c r="AA485" s="309">
        <v>3618255.338</v>
      </c>
      <c r="AB485" s="309">
        <v>2920199.646</v>
      </c>
      <c r="AC485" s="309">
        <v>3024908.0</v>
      </c>
      <c r="AD485" s="274"/>
      <c r="AE485" s="274"/>
      <c r="AF485" s="274"/>
      <c r="AG485" s="274"/>
      <c r="AH485" s="274"/>
      <c r="AI485" s="274"/>
      <c r="AJ485" s="274"/>
      <c r="AK485" s="274"/>
      <c r="AL485" s="274"/>
      <c r="AM485" s="274"/>
      <c r="AN485" s="274"/>
      <c r="AO485" s="274"/>
      <c r="AP485" s="274"/>
      <c r="AQ485" s="274"/>
      <c r="AR485" s="274"/>
      <c r="AS485" s="274"/>
      <c r="AT485" s="274"/>
      <c r="AU485" s="274"/>
      <c r="AV485" s="274"/>
      <c r="AW485" s="274"/>
    </row>
    <row r="486" ht="15.75" customHeight="1">
      <c r="A486" s="274"/>
      <c r="B486" s="274"/>
      <c r="C486" s="274"/>
      <c r="D486" s="274"/>
      <c r="E486" s="274"/>
      <c r="F486" s="274"/>
      <c r="G486" s="274"/>
      <c r="H486" s="274"/>
      <c r="I486" s="274"/>
      <c r="J486" s="274"/>
      <c r="K486" s="274"/>
      <c r="L486" s="274"/>
      <c r="M486" s="274"/>
      <c r="N486" s="274"/>
      <c r="O486" s="274"/>
      <c r="P486" s="274"/>
      <c r="Q486" s="274"/>
      <c r="R486" s="316"/>
      <c r="W486" s="274"/>
      <c r="X486" s="274"/>
      <c r="Y486" s="274"/>
      <c r="Z486" s="274">
        <v>27.937</v>
      </c>
      <c r="AA486" s="309">
        <v>3618255.338</v>
      </c>
      <c r="AB486" s="309">
        <v>2920199.646</v>
      </c>
      <c r="AC486" s="309">
        <v>3071445.046</v>
      </c>
      <c r="AD486" s="274"/>
      <c r="AE486" s="274"/>
      <c r="AF486" s="274"/>
      <c r="AG486" s="274"/>
      <c r="AH486" s="274"/>
      <c r="AI486" s="274"/>
      <c r="AJ486" s="274"/>
      <c r="AK486" s="274"/>
      <c r="AL486" s="274"/>
      <c r="AM486" s="274"/>
      <c r="AN486" s="274"/>
      <c r="AO486" s="274"/>
      <c r="AP486" s="274"/>
      <c r="AQ486" s="274"/>
      <c r="AR486" s="274"/>
      <c r="AS486" s="274"/>
      <c r="AT486" s="274"/>
      <c r="AU486" s="274"/>
      <c r="AV486" s="274"/>
      <c r="AW486" s="274"/>
    </row>
    <row r="487" ht="15.75" customHeight="1">
      <c r="A487" s="274"/>
      <c r="B487" s="274"/>
      <c r="C487" s="274"/>
      <c r="D487" s="274"/>
      <c r="E487" s="274"/>
      <c r="F487" s="274"/>
      <c r="G487" s="274"/>
      <c r="H487" s="274"/>
      <c r="I487" s="274"/>
      <c r="J487" s="274"/>
      <c r="K487" s="274"/>
      <c r="L487" s="274"/>
      <c r="M487" s="274"/>
      <c r="N487" s="274"/>
      <c r="O487" s="274"/>
      <c r="P487" s="274"/>
      <c r="Q487" s="274"/>
      <c r="R487" s="316"/>
      <c r="W487" s="274"/>
      <c r="X487" s="274"/>
      <c r="Y487" s="274"/>
      <c r="Z487" s="274">
        <v>28.0</v>
      </c>
      <c r="AA487" s="309">
        <v>3618255.338</v>
      </c>
      <c r="AB487" s="309">
        <v>2920199.646</v>
      </c>
      <c r="AC487" s="309">
        <v>3071445.046</v>
      </c>
      <c r="AD487" s="274"/>
      <c r="AE487" s="274"/>
      <c r="AF487" s="274"/>
      <c r="AG487" s="274"/>
      <c r="AH487" s="274"/>
      <c r="AI487" s="274"/>
      <c r="AJ487" s="274"/>
      <c r="AK487" s="274"/>
      <c r="AL487" s="274"/>
      <c r="AM487" s="274"/>
      <c r="AN487" s="274"/>
      <c r="AO487" s="274"/>
      <c r="AP487" s="274"/>
      <c r="AQ487" s="274"/>
      <c r="AR487" s="274"/>
      <c r="AS487" s="274"/>
      <c r="AT487" s="274"/>
      <c r="AU487" s="274"/>
      <c r="AV487" s="274"/>
      <c r="AW487" s="274"/>
    </row>
    <row r="488" ht="15.75" customHeight="1">
      <c r="A488" s="274"/>
      <c r="B488" s="274"/>
      <c r="C488" s="274"/>
      <c r="D488" s="274"/>
      <c r="E488" s="274"/>
      <c r="F488" s="274"/>
      <c r="G488" s="274"/>
      <c r="H488" s="274"/>
      <c r="I488" s="274"/>
      <c r="J488" s="274"/>
      <c r="K488" s="274"/>
      <c r="L488" s="274"/>
      <c r="M488" s="274"/>
      <c r="N488" s="274"/>
      <c r="O488" s="274"/>
      <c r="P488" s="274"/>
      <c r="Q488" s="274"/>
      <c r="R488" s="316"/>
      <c r="W488" s="274"/>
      <c r="X488" s="274"/>
      <c r="Y488" s="274"/>
      <c r="Z488" s="274">
        <v>28.062</v>
      </c>
      <c r="AA488" s="309">
        <v>3618255.338</v>
      </c>
      <c r="AB488" s="309">
        <v>2920199.646</v>
      </c>
      <c r="AC488" s="309">
        <v>3071445.046</v>
      </c>
      <c r="AD488" s="274"/>
      <c r="AE488" s="274"/>
      <c r="AF488" s="274"/>
      <c r="AG488" s="274"/>
      <c r="AH488" s="274"/>
      <c r="AI488" s="274"/>
      <c r="AJ488" s="274"/>
      <c r="AK488" s="274"/>
      <c r="AL488" s="274"/>
      <c r="AM488" s="274"/>
      <c r="AN488" s="274"/>
      <c r="AO488" s="274"/>
      <c r="AP488" s="274"/>
      <c r="AQ488" s="274"/>
      <c r="AR488" s="274"/>
      <c r="AS488" s="274"/>
      <c r="AT488" s="274"/>
      <c r="AU488" s="274"/>
      <c r="AV488" s="274"/>
      <c r="AW488" s="274"/>
    </row>
    <row r="489" ht="15.75" customHeight="1">
      <c r="A489" s="274"/>
      <c r="B489" s="274"/>
      <c r="C489" s="274"/>
      <c r="D489" s="274"/>
      <c r="E489" s="274"/>
      <c r="F489" s="274"/>
      <c r="G489" s="274"/>
      <c r="H489" s="274"/>
      <c r="I489" s="274"/>
      <c r="J489" s="274"/>
      <c r="K489" s="274"/>
      <c r="L489" s="274"/>
      <c r="M489" s="274"/>
      <c r="N489" s="274"/>
      <c r="O489" s="274"/>
      <c r="P489" s="274"/>
      <c r="Q489" s="274"/>
      <c r="R489" s="316"/>
      <c r="W489" s="274"/>
      <c r="X489" s="274"/>
      <c r="Y489" s="274"/>
      <c r="Z489" s="274">
        <v>28.125</v>
      </c>
      <c r="AA489" s="309">
        <v>3618255.338</v>
      </c>
      <c r="AB489" s="309">
        <v>2920199.646</v>
      </c>
      <c r="AC489" s="309">
        <v>3129616.354</v>
      </c>
      <c r="AD489" s="274"/>
      <c r="AE489" s="274"/>
      <c r="AF489" s="274"/>
      <c r="AG489" s="274"/>
      <c r="AH489" s="274"/>
      <c r="AI489" s="274"/>
      <c r="AJ489" s="274"/>
      <c r="AK489" s="274"/>
      <c r="AL489" s="274"/>
      <c r="AM489" s="274"/>
      <c r="AN489" s="274"/>
      <c r="AO489" s="274"/>
      <c r="AP489" s="274"/>
      <c r="AQ489" s="274"/>
      <c r="AR489" s="274"/>
      <c r="AS489" s="274"/>
      <c r="AT489" s="274"/>
      <c r="AU489" s="274"/>
      <c r="AV489" s="274"/>
      <c r="AW489" s="274"/>
    </row>
    <row r="490" ht="15.75" customHeight="1">
      <c r="A490" s="274"/>
      <c r="B490" s="274"/>
      <c r="C490" s="274"/>
      <c r="D490" s="274"/>
      <c r="E490" s="274"/>
      <c r="F490" s="274"/>
      <c r="G490" s="274"/>
      <c r="H490" s="274"/>
      <c r="I490" s="274"/>
      <c r="J490" s="274"/>
      <c r="K490" s="274"/>
      <c r="L490" s="274"/>
      <c r="M490" s="274"/>
      <c r="N490" s="274"/>
      <c r="O490" s="274"/>
      <c r="P490" s="274"/>
      <c r="Q490" s="274"/>
      <c r="R490" s="316"/>
      <c r="W490" s="274"/>
      <c r="X490" s="274"/>
      <c r="Y490" s="274"/>
      <c r="Z490" s="274">
        <v>28.187</v>
      </c>
      <c r="AA490" s="309">
        <v>3618255.338</v>
      </c>
      <c r="AB490" s="309">
        <v>2920199.646</v>
      </c>
      <c r="AC490" s="309">
        <v>3129616.354</v>
      </c>
      <c r="AD490" s="274"/>
      <c r="AE490" s="274"/>
      <c r="AF490" s="274"/>
      <c r="AG490" s="274"/>
      <c r="AH490" s="274"/>
      <c r="AI490" s="274"/>
      <c r="AJ490" s="274"/>
      <c r="AK490" s="274"/>
      <c r="AL490" s="274"/>
      <c r="AM490" s="274"/>
      <c r="AN490" s="274"/>
      <c r="AO490" s="274"/>
      <c r="AP490" s="274"/>
      <c r="AQ490" s="274"/>
      <c r="AR490" s="274"/>
      <c r="AS490" s="274"/>
      <c r="AT490" s="274"/>
      <c r="AU490" s="274"/>
      <c r="AV490" s="274"/>
      <c r="AW490" s="274"/>
    </row>
    <row r="491" ht="15.75" customHeight="1">
      <c r="A491" s="274"/>
      <c r="B491" s="274"/>
      <c r="C491" s="274"/>
      <c r="D491" s="274"/>
      <c r="E491" s="274"/>
      <c r="F491" s="274"/>
      <c r="G491" s="274"/>
      <c r="H491" s="274"/>
      <c r="I491" s="274"/>
      <c r="J491" s="274"/>
      <c r="K491" s="274"/>
      <c r="L491" s="274"/>
      <c r="M491" s="274"/>
      <c r="N491" s="274"/>
      <c r="O491" s="274"/>
      <c r="P491" s="274"/>
      <c r="Q491" s="274"/>
      <c r="R491" s="316"/>
      <c r="W491" s="274"/>
      <c r="X491" s="274"/>
      <c r="Y491" s="274"/>
      <c r="Z491" s="274">
        <v>28.25</v>
      </c>
      <c r="AA491" s="309">
        <v>3618255.338</v>
      </c>
      <c r="AB491" s="309">
        <v>2920199.646</v>
      </c>
      <c r="AC491" s="309">
        <v>3129616.354</v>
      </c>
      <c r="AD491" s="274"/>
      <c r="AE491" s="274"/>
      <c r="AF491" s="274"/>
      <c r="AG491" s="274"/>
      <c r="AH491" s="274"/>
      <c r="AI491" s="274"/>
      <c r="AJ491" s="274"/>
      <c r="AK491" s="274"/>
      <c r="AL491" s="274"/>
      <c r="AM491" s="274"/>
      <c r="AN491" s="274"/>
      <c r="AO491" s="274"/>
      <c r="AP491" s="274"/>
      <c r="AQ491" s="274"/>
      <c r="AR491" s="274"/>
      <c r="AS491" s="274"/>
      <c r="AT491" s="274"/>
      <c r="AU491" s="274"/>
      <c r="AV491" s="274"/>
      <c r="AW491" s="274"/>
    </row>
    <row r="492" ht="15.75" customHeight="1">
      <c r="A492" s="274"/>
      <c r="B492" s="274"/>
      <c r="C492" s="274"/>
      <c r="D492" s="274"/>
      <c r="E492" s="274"/>
      <c r="F492" s="274"/>
      <c r="G492" s="274"/>
      <c r="H492" s="274"/>
      <c r="I492" s="274"/>
      <c r="J492" s="274"/>
      <c r="K492" s="274"/>
      <c r="L492" s="274"/>
      <c r="M492" s="274"/>
      <c r="N492" s="274"/>
      <c r="O492" s="274"/>
      <c r="P492" s="274"/>
      <c r="Q492" s="274"/>
      <c r="R492" s="316"/>
      <c r="W492" s="274"/>
      <c r="X492" s="274"/>
      <c r="Y492" s="274"/>
      <c r="Z492" s="274">
        <v>28.312</v>
      </c>
      <c r="AA492" s="309">
        <v>3618255.338</v>
      </c>
      <c r="AB492" s="309">
        <v>2920199.646</v>
      </c>
      <c r="AC492" s="309">
        <v>3129616.354</v>
      </c>
      <c r="AD492" s="274"/>
      <c r="AE492" s="274"/>
      <c r="AF492" s="274"/>
      <c r="AG492" s="274"/>
      <c r="AH492" s="274"/>
      <c r="AI492" s="274"/>
      <c r="AJ492" s="274"/>
      <c r="AK492" s="274"/>
      <c r="AL492" s="274"/>
      <c r="AM492" s="274"/>
      <c r="AN492" s="274"/>
      <c r="AO492" s="274"/>
      <c r="AP492" s="274"/>
      <c r="AQ492" s="274"/>
      <c r="AR492" s="274"/>
      <c r="AS492" s="274"/>
      <c r="AT492" s="274"/>
      <c r="AU492" s="274"/>
      <c r="AV492" s="274"/>
      <c r="AW492" s="274"/>
    </row>
    <row r="493" ht="15.75" customHeight="1">
      <c r="A493" s="274"/>
      <c r="B493" s="274"/>
      <c r="C493" s="274"/>
      <c r="D493" s="274"/>
      <c r="E493" s="274"/>
      <c r="F493" s="274"/>
      <c r="G493" s="274"/>
      <c r="H493" s="274"/>
      <c r="I493" s="274"/>
      <c r="J493" s="274"/>
      <c r="K493" s="274"/>
      <c r="L493" s="274"/>
      <c r="M493" s="274"/>
      <c r="N493" s="274"/>
      <c r="O493" s="274"/>
      <c r="P493" s="274"/>
      <c r="Q493" s="274"/>
      <c r="R493" s="316"/>
      <c r="W493" s="274"/>
      <c r="X493" s="274"/>
      <c r="Y493" s="274"/>
      <c r="Z493" s="274">
        <v>28.375</v>
      </c>
      <c r="AA493" s="309">
        <v>3618255.338</v>
      </c>
      <c r="AB493" s="309">
        <v>2920199.646</v>
      </c>
      <c r="AC493" s="309">
        <v>3176153.4</v>
      </c>
      <c r="AD493" s="274"/>
      <c r="AE493" s="274"/>
      <c r="AF493" s="274"/>
      <c r="AG493" s="274"/>
      <c r="AH493" s="274"/>
      <c r="AI493" s="274"/>
      <c r="AJ493" s="274"/>
      <c r="AK493" s="274"/>
      <c r="AL493" s="274"/>
      <c r="AM493" s="274"/>
      <c r="AN493" s="274"/>
      <c r="AO493" s="274"/>
      <c r="AP493" s="274"/>
      <c r="AQ493" s="274"/>
      <c r="AR493" s="274"/>
      <c r="AS493" s="274"/>
      <c r="AT493" s="274"/>
      <c r="AU493" s="274"/>
      <c r="AV493" s="274"/>
      <c r="AW493" s="274"/>
    </row>
    <row r="494" ht="15.75" customHeight="1">
      <c r="A494" s="274"/>
      <c r="B494" s="274"/>
      <c r="C494" s="274"/>
      <c r="D494" s="274"/>
      <c r="E494" s="274"/>
      <c r="F494" s="274"/>
      <c r="G494" s="274"/>
      <c r="H494" s="274"/>
      <c r="I494" s="274"/>
      <c r="J494" s="274"/>
      <c r="K494" s="274"/>
      <c r="L494" s="274"/>
      <c r="M494" s="274"/>
      <c r="N494" s="274"/>
      <c r="O494" s="274"/>
      <c r="P494" s="274"/>
      <c r="Q494" s="274"/>
      <c r="R494" s="316"/>
      <c r="W494" s="274"/>
      <c r="X494" s="274"/>
      <c r="Y494" s="274"/>
      <c r="Z494" s="274">
        <v>28.437</v>
      </c>
      <c r="AA494" s="309">
        <v>3618255.338</v>
      </c>
      <c r="AB494" s="309">
        <v>2920199.646</v>
      </c>
      <c r="AC494" s="309">
        <v>3176153.4</v>
      </c>
      <c r="AD494" s="274"/>
      <c r="AE494" s="274"/>
      <c r="AF494" s="274"/>
      <c r="AG494" s="274"/>
      <c r="AH494" s="274"/>
      <c r="AI494" s="274"/>
      <c r="AJ494" s="274"/>
      <c r="AK494" s="274"/>
      <c r="AL494" s="274"/>
      <c r="AM494" s="274"/>
      <c r="AN494" s="274"/>
      <c r="AO494" s="274"/>
      <c r="AP494" s="274"/>
      <c r="AQ494" s="274"/>
      <c r="AR494" s="274"/>
      <c r="AS494" s="274"/>
      <c r="AT494" s="274"/>
      <c r="AU494" s="274"/>
      <c r="AV494" s="274"/>
      <c r="AW494" s="274"/>
    </row>
    <row r="495" ht="15.75" customHeight="1">
      <c r="A495" s="274"/>
      <c r="B495" s="274"/>
      <c r="C495" s="274"/>
      <c r="D495" s="274"/>
      <c r="E495" s="274"/>
      <c r="F495" s="274"/>
      <c r="G495" s="274"/>
      <c r="H495" s="274"/>
      <c r="I495" s="274"/>
      <c r="J495" s="274"/>
      <c r="K495" s="274"/>
      <c r="L495" s="274"/>
      <c r="M495" s="274"/>
      <c r="N495" s="274"/>
      <c r="O495" s="274"/>
      <c r="P495" s="274"/>
      <c r="Q495" s="274"/>
      <c r="R495" s="316"/>
      <c r="W495" s="274"/>
      <c r="X495" s="274"/>
      <c r="Y495" s="274"/>
      <c r="Z495" s="274">
        <v>28.5</v>
      </c>
      <c r="AA495" s="309">
        <v>3618255.338</v>
      </c>
      <c r="AB495" s="309">
        <v>2920199.646</v>
      </c>
      <c r="AC495" s="309">
        <v>3176153.4</v>
      </c>
      <c r="AD495" s="274"/>
      <c r="AE495" s="274"/>
      <c r="AF495" s="274"/>
      <c r="AG495" s="274"/>
      <c r="AH495" s="274"/>
      <c r="AI495" s="274"/>
      <c r="AJ495" s="274"/>
      <c r="AK495" s="274"/>
      <c r="AL495" s="274"/>
      <c r="AM495" s="274"/>
      <c r="AN495" s="274"/>
      <c r="AO495" s="274"/>
      <c r="AP495" s="274"/>
      <c r="AQ495" s="274"/>
      <c r="AR495" s="274"/>
      <c r="AS495" s="274"/>
      <c r="AT495" s="274"/>
      <c r="AU495" s="274"/>
      <c r="AV495" s="274"/>
      <c r="AW495" s="274"/>
    </row>
    <row r="496" ht="15.75" customHeight="1">
      <c r="A496" s="274"/>
      <c r="B496" s="274"/>
      <c r="C496" s="274"/>
      <c r="D496" s="274"/>
      <c r="E496" s="274"/>
      <c r="F496" s="274"/>
      <c r="G496" s="274"/>
      <c r="H496" s="274"/>
      <c r="I496" s="274"/>
      <c r="J496" s="274"/>
      <c r="K496" s="274"/>
      <c r="L496" s="274"/>
      <c r="M496" s="274"/>
      <c r="N496" s="274"/>
      <c r="O496" s="274"/>
      <c r="P496" s="274"/>
      <c r="Q496" s="274"/>
      <c r="R496" s="316"/>
      <c r="W496" s="274"/>
      <c r="X496" s="274"/>
      <c r="Y496" s="274"/>
      <c r="Z496" s="274">
        <v>28.562</v>
      </c>
      <c r="AA496" s="309">
        <v>3618255.338</v>
      </c>
      <c r="AB496" s="309">
        <v>2920199.646</v>
      </c>
      <c r="AC496" s="309">
        <v>3176153.4</v>
      </c>
      <c r="AD496" s="274"/>
      <c r="AE496" s="274"/>
      <c r="AF496" s="274"/>
      <c r="AG496" s="274"/>
      <c r="AH496" s="274"/>
      <c r="AI496" s="274"/>
      <c r="AJ496" s="274"/>
      <c r="AK496" s="274"/>
      <c r="AL496" s="274"/>
      <c r="AM496" s="274"/>
      <c r="AN496" s="274"/>
      <c r="AO496" s="274"/>
      <c r="AP496" s="274"/>
      <c r="AQ496" s="274"/>
      <c r="AR496" s="274"/>
      <c r="AS496" s="274"/>
      <c r="AT496" s="274"/>
      <c r="AU496" s="274"/>
      <c r="AV496" s="274"/>
      <c r="AW496" s="274"/>
    </row>
    <row r="497" ht="15.75" customHeight="1">
      <c r="A497" s="274"/>
      <c r="B497" s="274"/>
      <c r="C497" s="274"/>
      <c r="D497" s="274"/>
      <c r="E497" s="274"/>
      <c r="F497" s="274"/>
      <c r="G497" s="274"/>
      <c r="H497" s="274"/>
      <c r="I497" s="274"/>
      <c r="J497" s="274"/>
      <c r="K497" s="274"/>
      <c r="L497" s="274"/>
      <c r="M497" s="274"/>
      <c r="N497" s="274"/>
      <c r="O497" s="274"/>
      <c r="P497" s="274"/>
      <c r="Q497" s="274"/>
      <c r="R497" s="316"/>
      <c r="W497" s="274"/>
      <c r="X497" s="274"/>
      <c r="Y497" s="274"/>
      <c r="Z497" s="274">
        <v>28.625</v>
      </c>
      <c r="AA497" s="309">
        <v>3618255.338</v>
      </c>
      <c r="AB497" s="309">
        <v>2920199.646</v>
      </c>
      <c r="AC497" s="309">
        <v>3176153.4</v>
      </c>
      <c r="AD497" s="274"/>
      <c r="AE497" s="274"/>
      <c r="AF497" s="274"/>
      <c r="AG497" s="274"/>
      <c r="AH497" s="274"/>
      <c r="AI497" s="274"/>
      <c r="AJ497" s="274"/>
      <c r="AK497" s="274"/>
      <c r="AL497" s="274"/>
      <c r="AM497" s="274"/>
      <c r="AN497" s="274"/>
      <c r="AO497" s="274"/>
      <c r="AP497" s="274"/>
      <c r="AQ497" s="274"/>
      <c r="AR497" s="274"/>
      <c r="AS497" s="274"/>
      <c r="AT497" s="274"/>
      <c r="AU497" s="274"/>
      <c r="AV497" s="274"/>
      <c r="AW497" s="274"/>
    </row>
    <row r="498" ht="15.75" customHeight="1">
      <c r="A498" s="274"/>
      <c r="B498" s="274"/>
      <c r="C498" s="274"/>
      <c r="D498" s="274"/>
      <c r="E498" s="274"/>
      <c r="F498" s="274"/>
      <c r="G498" s="274"/>
      <c r="H498" s="274"/>
      <c r="I498" s="274"/>
      <c r="J498" s="274"/>
      <c r="K498" s="274"/>
      <c r="L498" s="274"/>
      <c r="M498" s="274"/>
      <c r="N498" s="274"/>
      <c r="O498" s="274"/>
      <c r="P498" s="274"/>
      <c r="Q498" s="274"/>
      <c r="R498" s="316"/>
      <c r="W498" s="274"/>
      <c r="X498" s="274"/>
      <c r="Y498" s="274"/>
      <c r="Z498" s="274">
        <v>28.687</v>
      </c>
      <c r="AA498" s="309">
        <v>3618255.338</v>
      </c>
      <c r="AB498" s="309">
        <v>2920199.646</v>
      </c>
      <c r="AC498" s="309">
        <v>3176153.4</v>
      </c>
      <c r="AD498" s="274"/>
      <c r="AE498" s="274"/>
      <c r="AF498" s="274"/>
      <c r="AG498" s="274"/>
      <c r="AH498" s="274"/>
      <c r="AI498" s="274"/>
      <c r="AJ498" s="274"/>
      <c r="AK498" s="274"/>
      <c r="AL498" s="274"/>
      <c r="AM498" s="274"/>
      <c r="AN498" s="274"/>
      <c r="AO498" s="274"/>
      <c r="AP498" s="274"/>
      <c r="AQ498" s="274"/>
      <c r="AR498" s="274"/>
      <c r="AS498" s="274"/>
      <c r="AT498" s="274"/>
      <c r="AU498" s="274"/>
      <c r="AV498" s="274"/>
      <c r="AW498" s="274"/>
    </row>
    <row r="499" ht="15.75" customHeight="1">
      <c r="A499" s="274"/>
      <c r="B499" s="274"/>
      <c r="C499" s="274"/>
      <c r="D499" s="274"/>
      <c r="E499" s="274"/>
      <c r="F499" s="274"/>
      <c r="G499" s="274"/>
      <c r="H499" s="274"/>
      <c r="I499" s="274"/>
      <c r="J499" s="274"/>
      <c r="K499" s="274"/>
      <c r="L499" s="274"/>
      <c r="M499" s="274"/>
      <c r="N499" s="274"/>
      <c r="O499" s="274"/>
      <c r="P499" s="274"/>
      <c r="Q499" s="274"/>
      <c r="R499" s="316"/>
      <c r="W499" s="274"/>
      <c r="X499" s="274"/>
      <c r="Y499" s="274"/>
      <c r="Z499" s="274">
        <v>28.75</v>
      </c>
      <c r="AA499" s="309">
        <v>3618255.338</v>
      </c>
      <c r="AB499" s="309">
        <v>2920199.646</v>
      </c>
      <c r="AC499" s="309">
        <v>3176153.4</v>
      </c>
      <c r="AD499" s="274"/>
      <c r="AE499" s="274"/>
      <c r="AF499" s="274"/>
      <c r="AG499" s="274"/>
      <c r="AH499" s="274"/>
      <c r="AI499" s="274"/>
      <c r="AJ499" s="274"/>
      <c r="AK499" s="274"/>
      <c r="AL499" s="274"/>
      <c r="AM499" s="274"/>
      <c r="AN499" s="274"/>
      <c r="AO499" s="274"/>
      <c r="AP499" s="274"/>
      <c r="AQ499" s="274"/>
      <c r="AR499" s="274"/>
      <c r="AS499" s="274"/>
      <c r="AT499" s="274"/>
      <c r="AU499" s="274"/>
      <c r="AV499" s="274"/>
      <c r="AW499" s="274"/>
    </row>
    <row r="500" ht="15.75" customHeight="1">
      <c r="A500" s="274"/>
      <c r="B500" s="274"/>
      <c r="C500" s="274"/>
      <c r="D500" s="274"/>
      <c r="E500" s="274"/>
      <c r="F500" s="274"/>
      <c r="G500" s="274"/>
      <c r="H500" s="274"/>
      <c r="I500" s="274"/>
      <c r="J500" s="274"/>
      <c r="K500" s="274"/>
      <c r="L500" s="274"/>
      <c r="M500" s="274"/>
      <c r="N500" s="274"/>
      <c r="O500" s="274"/>
      <c r="P500" s="274"/>
      <c r="Q500" s="274"/>
      <c r="R500" s="316"/>
      <c r="W500" s="274"/>
      <c r="X500" s="274"/>
      <c r="Y500" s="274"/>
      <c r="Z500" s="274">
        <v>28.812</v>
      </c>
      <c r="AA500" s="309">
        <v>3618255.338</v>
      </c>
      <c r="AB500" s="309">
        <v>2920199.646</v>
      </c>
      <c r="AC500" s="309">
        <v>3176153.4</v>
      </c>
      <c r="AD500" s="274"/>
      <c r="AE500" s="274"/>
      <c r="AF500" s="274"/>
      <c r="AG500" s="274"/>
      <c r="AH500" s="274"/>
      <c r="AI500" s="274"/>
      <c r="AJ500" s="274"/>
      <c r="AK500" s="274"/>
      <c r="AL500" s="274"/>
      <c r="AM500" s="274"/>
      <c r="AN500" s="274"/>
      <c r="AO500" s="274"/>
      <c r="AP500" s="274"/>
      <c r="AQ500" s="274"/>
      <c r="AR500" s="274"/>
      <c r="AS500" s="274"/>
      <c r="AT500" s="274"/>
      <c r="AU500" s="274"/>
      <c r="AV500" s="274"/>
      <c r="AW500" s="274"/>
    </row>
    <row r="501" ht="15.75" customHeight="1">
      <c r="A501" s="274"/>
      <c r="B501" s="274"/>
      <c r="C501" s="274"/>
      <c r="D501" s="274"/>
      <c r="E501" s="274"/>
      <c r="F501" s="274"/>
      <c r="G501" s="274"/>
      <c r="H501" s="274"/>
      <c r="I501" s="274"/>
      <c r="J501" s="274"/>
      <c r="K501" s="274"/>
      <c r="L501" s="274"/>
      <c r="M501" s="274"/>
      <c r="N501" s="274"/>
      <c r="O501" s="274"/>
      <c r="P501" s="274"/>
      <c r="Q501" s="274"/>
      <c r="R501" s="316"/>
      <c r="W501" s="274"/>
      <c r="X501" s="274"/>
      <c r="Y501" s="274"/>
      <c r="Z501" s="274">
        <v>28.875</v>
      </c>
      <c r="AA501" s="309">
        <v>3618255.338</v>
      </c>
      <c r="AB501" s="309">
        <v>2920199.646</v>
      </c>
      <c r="AC501" s="309">
        <v>3176153.4</v>
      </c>
      <c r="AD501" s="274"/>
      <c r="AE501" s="274"/>
      <c r="AF501" s="274"/>
      <c r="AG501" s="274"/>
      <c r="AH501" s="274"/>
      <c r="AI501" s="274"/>
      <c r="AJ501" s="274"/>
      <c r="AK501" s="274"/>
      <c r="AL501" s="274"/>
      <c r="AM501" s="274"/>
      <c r="AN501" s="274"/>
      <c r="AO501" s="274"/>
      <c r="AP501" s="274"/>
      <c r="AQ501" s="274"/>
      <c r="AR501" s="274"/>
      <c r="AS501" s="274"/>
      <c r="AT501" s="274"/>
      <c r="AU501" s="274"/>
      <c r="AV501" s="274"/>
      <c r="AW501" s="274"/>
    </row>
    <row r="502" ht="15.75" customHeight="1">
      <c r="A502" s="274"/>
      <c r="B502" s="274"/>
      <c r="C502" s="274"/>
      <c r="D502" s="274"/>
      <c r="E502" s="274"/>
      <c r="F502" s="274"/>
      <c r="G502" s="274"/>
      <c r="H502" s="274"/>
      <c r="I502" s="274"/>
      <c r="J502" s="274"/>
      <c r="K502" s="274"/>
      <c r="L502" s="274"/>
      <c r="M502" s="274"/>
      <c r="N502" s="274"/>
      <c r="O502" s="274"/>
      <c r="P502" s="274"/>
      <c r="Q502" s="274"/>
      <c r="R502" s="316"/>
      <c r="W502" s="274"/>
      <c r="X502" s="274"/>
      <c r="Y502" s="274"/>
      <c r="Z502" s="274">
        <v>28.937</v>
      </c>
      <c r="AA502" s="309">
        <v>3618255.338</v>
      </c>
      <c r="AB502" s="309">
        <v>2920199.646</v>
      </c>
      <c r="AC502" s="309">
        <v>3176153.4</v>
      </c>
      <c r="AD502" s="274"/>
      <c r="AE502" s="274"/>
      <c r="AF502" s="274"/>
      <c r="AG502" s="274"/>
      <c r="AH502" s="274"/>
      <c r="AI502" s="274"/>
      <c r="AJ502" s="274"/>
      <c r="AK502" s="274"/>
      <c r="AL502" s="274"/>
      <c r="AM502" s="274"/>
      <c r="AN502" s="274"/>
      <c r="AO502" s="274"/>
      <c r="AP502" s="274"/>
      <c r="AQ502" s="274"/>
      <c r="AR502" s="274"/>
      <c r="AS502" s="274"/>
      <c r="AT502" s="274"/>
      <c r="AU502" s="274"/>
      <c r="AV502" s="274"/>
      <c r="AW502" s="274"/>
    </row>
    <row r="503" ht="15.75" customHeight="1">
      <c r="A503" s="274"/>
      <c r="B503" s="274"/>
      <c r="C503" s="274"/>
      <c r="D503" s="274"/>
      <c r="E503" s="274"/>
      <c r="F503" s="274"/>
      <c r="G503" s="274"/>
      <c r="H503" s="274"/>
      <c r="I503" s="274"/>
      <c r="J503" s="274"/>
      <c r="K503" s="274"/>
      <c r="L503" s="274"/>
      <c r="M503" s="274"/>
      <c r="N503" s="274"/>
      <c r="O503" s="274"/>
      <c r="P503" s="274"/>
      <c r="Q503" s="274"/>
      <c r="R503" s="316"/>
      <c r="W503" s="274"/>
      <c r="X503" s="274"/>
      <c r="Y503" s="274"/>
      <c r="Z503" s="274">
        <v>29.0</v>
      </c>
      <c r="AA503" s="309">
        <v>3618255.338</v>
      </c>
      <c r="AB503" s="309">
        <v>2920199.646</v>
      </c>
      <c r="AC503" s="309">
        <v>3176153.4</v>
      </c>
      <c r="AD503" s="274"/>
      <c r="AE503" s="274"/>
      <c r="AF503" s="274"/>
      <c r="AG503" s="274"/>
      <c r="AH503" s="274"/>
      <c r="AI503" s="274"/>
      <c r="AJ503" s="274"/>
      <c r="AK503" s="274"/>
      <c r="AL503" s="274"/>
      <c r="AM503" s="274"/>
      <c r="AN503" s="274"/>
      <c r="AO503" s="274"/>
      <c r="AP503" s="274"/>
      <c r="AQ503" s="274"/>
      <c r="AR503" s="274"/>
      <c r="AS503" s="274"/>
      <c r="AT503" s="274"/>
      <c r="AU503" s="274"/>
      <c r="AV503" s="274"/>
      <c r="AW503" s="274"/>
    </row>
    <row r="504" ht="15.75" customHeight="1">
      <c r="A504" s="274"/>
      <c r="B504" s="274"/>
      <c r="C504" s="274"/>
      <c r="D504" s="274"/>
      <c r="E504" s="274"/>
      <c r="F504" s="274"/>
      <c r="G504" s="274"/>
      <c r="H504" s="274"/>
      <c r="I504" s="274"/>
      <c r="J504" s="274"/>
      <c r="K504" s="274"/>
      <c r="L504" s="274"/>
      <c r="M504" s="274"/>
      <c r="N504" s="274"/>
      <c r="O504" s="274"/>
      <c r="P504" s="274"/>
      <c r="Q504" s="274"/>
      <c r="R504" s="316"/>
      <c r="W504" s="274"/>
      <c r="X504" s="274"/>
      <c r="Y504" s="274"/>
      <c r="Z504" s="274">
        <v>29.062</v>
      </c>
      <c r="AA504" s="309">
        <v>3618255.338</v>
      </c>
      <c r="AB504" s="309">
        <v>2920199.646</v>
      </c>
      <c r="AC504" s="309">
        <v>3176153.4</v>
      </c>
      <c r="AD504" s="274"/>
      <c r="AE504" s="274"/>
      <c r="AF504" s="274"/>
      <c r="AG504" s="274"/>
      <c r="AH504" s="274"/>
      <c r="AI504" s="274"/>
      <c r="AJ504" s="274"/>
      <c r="AK504" s="274"/>
      <c r="AL504" s="274"/>
      <c r="AM504" s="274"/>
      <c r="AN504" s="274"/>
      <c r="AO504" s="274"/>
      <c r="AP504" s="274"/>
      <c r="AQ504" s="274"/>
      <c r="AR504" s="274"/>
      <c r="AS504" s="274"/>
      <c r="AT504" s="274"/>
      <c r="AU504" s="274"/>
      <c r="AV504" s="274"/>
      <c r="AW504" s="274"/>
    </row>
    <row r="505" ht="15.75" customHeight="1">
      <c r="A505" s="274"/>
      <c r="B505" s="274"/>
      <c r="C505" s="274"/>
      <c r="D505" s="274"/>
      <c r="E505" s="274"/>
      <c r="F505" s="274"/>
      <c r="G505" s="274"/>
      <c r="H505" s="274"/>
      <c r="I505" s="274"/>
      <c r="J505" s="274"/>
      <c r="K505" s="274"/>
      <c r="L505" s="274"/>
      <c r="M505" s="274"/>
      <c r="N505" s="274"/>
      <c r="O505" s="274"/>
      <c r="P505" s="274"/>
      <c r="Q505" s="274"/>
      <c r="R505" s="316"/>
      <c r="W505" s="274"/>
      <c r="X505" s="274"/>
      <c r="Y505" s="274"/>
      <c r="Z505" s="274">
        <v>29.125</v>
      </c>
      <c r="AA505" s="309">
        <v>3618255.338</v>
      </c>
      <c r="AB505" s="309">
        <v>2920199.646</v>
      </c>
      <c r="AC505" s="309">
        <v>3176153.4</v>
      </c>
      <c r="AD505" s="274"/>
      <c r="AE505" s="274"/>
      <c r="AF505" s="274"/>
      <c r="AG505" s="274"/>
      <c r="AH505" s="274"/>
      <c r="AI505" s="274"/>
      <c r="AJ505" s="274"/>
      <c r="AK505" s="274"/>
      <c r="AL505" s="274"/>
      <c r="AM505" s="274"/>
      <c r="AN505" s="274"/>
      <c r="AO505" s="274"/>
      <c r="AP505" s="274"/>
      <c r="AQ505" s="274"/>
      <c r="AR505" s="274"/>
      <c r="AS505" s="274"/>
      <c r="AT505" s="274"/>
      <c r="AU505" s="274"/>
      <c r="AV505" s="274"/>
      <c r="AW505" s="274"/>
    </row>
    <row r="506" ht="15.75" customHeight="1">
      <c r="A506" s="274"/>
      <c r="B506" s="274"/>
      <c r="C506" s="274"/>
      <c r="D506" s="274"/>
      <c r="E506" s="274"/>
      <c r="F506" s="274"/>
      <c r="G506" s="274"/>
      <c r="H506" s="274"/>
      <c r="I506" s="274"/>
      <c r="J506" s="274"/>
      <c r="K506" s="274"/>
      <c r="L506" s="274"/>
      <c r="M506" s="274"/>
      <c r="N506" s="274"/>
      <c r="O506" s="274"/>
      <c r="P506" s="274"/>
      <c r="Q506" s="274"/>
      <c r="R506" s="316"/>
      <c r="W506" s="274"/>
      <c r="X506" s="274"/>
      <c r="Y506" s="274"/>
      <c r="Z506" s="274">
        <v>29.187</v>
      </c>
      <c r="AA506" s="309">
        <v>3618255.338</v>
      </c>
      <c r="AB506" s="309">
        <v>2920199.646</v>
      </c>
      <c r="AC506" s="309">
        <v>3176153.4</v>
      </c>
      <c r="AD506" s="274"/>
      <c r="AE506" s="274"/>
      <c r="AF506" s="274"/>
      <c r="AG506" s="274"/>
      <c r="AH506" s="274"/>
      <c r="AI506" s="274"/>
      <c r="AJ506" s="274"/>
      <c r="AK506" s="274"/>
      <c r="AL506" s="274"/>
      <c r="AM506" s="274"/>
      <c r="AN506" s="274"/>
      <c r="AO506" s="274"/>
      <c r="AP506" s="274"/>
      <c r="AQ506" s="274"/>
      <c r="AR506" s="274"/>
      <c r="AS506" s="274"/>
      <c r="AT506" s="274"/>
      <c r="AU506" s="274"/>
      <c r="AV506" s="274"/>
      <c r="AW506" s="274"/>
    </row>
    <row r="507" ht="15.75" customHeight="1">
      <c r="A507" s="274"/>
      <c r="B507" s="274"/>
      <c r="C507" s="274"/>
      <c r="D507" s="274"/>
      <c r="E507" s="274"/>
      <c r="F507" s="274"/>
      <c r="G507" s="274"/>
      <c r="H507" s="274"/>
      <c r="I507" s="274"/>
      <c r="J507" s="274"/>
      <c r="K507" s="274"/>
      <c r="L507" s="274"/>
      <c r="M507" s="274"/>
      <c r="N507" s="274"/>
      <c r="O507" s="274"/>
      <c r="P507" s="274"/>
      <c r="Q507" s="274"/>
      <c r="R507" s="316"/>
      <c r="W507" s="274"/>
      <c r="X507" s="274"/>
      <c r="Y507" s="274"/>
      <c r="Z507" s="274">
        <v>29.25</v>
      </c>
      <c r="AA507" s="309">
        <v>3618255.338</v>
      </c>
      <c r="AB507" s="309">
        <v>2920199.646</v>
      </c>
      <c r="AC507" s="309">
        <v>3176153.4</v>
      </c>
      <c r="AD507" s="274"/>
      <c r="AE507" s="274"/>
      <c r="AF507" s="274"/>
      <c r="AG507" s="274"/>
      <c r="AH507" s="274"/>
      <c r="AI507" s="274"/>
      <c r="AJ507" s="274"/>
      <c r="AK507" s="274"/>
      <c r="AL507" s="274"/>
      <c r="AM507" s="274"/>
      <c r="AN507" s="274"/>
      <c r="AO507" s="274"/>
      <c r="AP507" s="274"/>
      <c r="AQ507" s="274"/>
      <c r="AR507" s="274"/>
      <c r="AS507" s="274"/>
      <c r="AT507" s="274"/>
      <c r="AU507" s="274"/>
      <c r="AV507" s="274"/>
      <c r="AW507" s="274"/>
    </row>
    <row r="508" ht="15.75" customHeight="1">
      <c r="A508" s="274"/>
      <c r="B508" s="274"/>
      <c r="C508" s="274"/>
      <c r="D508" s="274"/>
      <c r="E508" s="274"/>
      <c r="F508" s="274"/>
      <c r="G508" s="274"/>
      <c r="H508" s="274"/>
      <c r="I508" s="274"/>
      <c r="J508" s="274"/>
      <c r="K508" s="274"/>
      <c r="L508" s="274"/>
      <c r="M508" s="274"/>
      <c r="N508" s="274"/>
      <c r="O508" s="274"/>
      <c r="P508" s="274"/>
      <c r="Q508" s="274"/>
      <c r="R508" s="316"/>
      <c r="W508" s="274"/>
      <c r="X508" s="274"/>
      <c r="Y508" s="274"/>
      <c r="Z508" s="274">
        <v>29.312</v>
      </c>
      <c r="AA508" s="309">
        <v>3734597.954</v>
      </c>
      <c r="AB508" s="309">
        <v>3059810.785</v>
      </c>
      <c r="AC508" s="309">
        <v>3176153.4</v>
      </c>
      <c r="AD508" s="274"/>
      <c r="AE508" s="274"/>
      <c r="AF508" s="274"/>
      <c r="AG508" s="274"/>
      <c r="AH508" s="274"/>
      <c r="AI508" s="274"/>
      <c r="AJ508" s="274"/>
      <c r="AK508" s="274"/>
      <c r="AL508" s="274"/>
      <c r="AM508" s="274"/>
      <c r="AN508" s="274"/>
      <c r="AO508" s="274"/>
      <c r="AP508" s="274"/>
      <c r="AQ508" s="274"/>
      <c r="AR508" s="274"/>
      <c r="AS508" s="274"/>
      <c r="AT508" s="274"/>
      <c r="AU508" s="274"/>
      <c r="AV508" s="274"/>
      <c r="AW508" s="274"/>
    </row>
    <row r="509" ht="15.75" customHeight="1">
      <c r="A509" s="274"/>
      <c r="B509" s="274"/>
      <c r="C509" s="274"/>
      <c r="D509" s="274"/>
      <c r="E509" s="274"/>
      <c r="F509" s="274"/>
      <c r="G509" s="274"/>
      <c r="H509" s="274"/>
      <c r="I509" s="274"/>
      <c r="J509" s="274"/>
      <c r="K509" s="274"/>
      <c r="L509" s="274"/>
      <c r="M509" s="274"/>
      <c r="N509" s="274"/>
      <c r="O509" s="274"/>
      <c r="P509" s="274"/>
      <c r="Q509" s="274"/>
      <c r="R509" s="316"/>
      <c r="W509" s="274"/>
      <c r="X509" s="274"/>
      <c r="Y509" s="274"/>
      <c r="Z509" s="274">
        <v>29.375</v>
      </c>
      <c r="AA509" s="309">
        <v>3734597.954</v>
      </c>
      <c r="AB509" s="309">
        <v>3071445.046</v>
      </c>
      <c r="AC509" s="309">
        <v>3176153.4</v>
      </c>
      <c r="AD509" s="274"/>
      <c r="AE509" s="274"/>
      <c r="AF509" s="274"/>
      <c r="AG509" s="274"/>
      <c r="AH509" s="274"/>
      <c r="AI509" s="274"/>
      <c r="AJ509" s="274"/>
      <c r="AK509" s="274"/>
      <c r="AL509" s="274"/>
      <c r="AM509" s="274"/>
      <c r="AN509" s="274"/>
      <c r="AO509" s="274"/>
      <c r="AP509" s="274"/>
      <c r="AQ509" s="274"/>
      <c r="AR509" s="274"/>
      <c r="AS509" s="274"/>
      <c r="AT509" s="274"/>
      <c r="AU509" s="274"/>
      <c r="AV509" s="274"/>
      <c r="AW509" s="274"/>
    </row>
    <row r="510" ht="15.75" customHeight="1">
      <c r="A510" s="274"/>
      <c r="B510" s="274"/>
      <c r="C510" s="274"/>
      <c r="D510" s="274"/>
      <c r="E510" s="274"/>
      <c r="F510" s="274"/>
      <c r="G510" s="274"/>
      <c r="H510" s="274"/>
      <c r="I510" s="274"/>
      <c r="J510" s="274"/>
      <c r="K510" s="274"/>
      <c r="L510" s="274"/>
      <c r="M510" s="274"/>
      <c r="N510" s="274"/>
      <c r="O510" s="274"/>
      <c r="P510" s="274"/>
      <c r="Q510" s="274"/>
      <c r="R510" s="316"/>
      <c r="W510" s="274"/>
      <c r="X510" s="274"/>
      <c r="Y510" s="274"/>
      <c r="Z510" s="274">
        <v>29.437</v>
      </c>
      <c r="AA510" s="309">
        <v>3769500.738</v>
      </c>
      <c r="AB510" s="309">
        <v>3071445.046</v>
      </c>
      <c r="AC510" s="309">
        <v>3176153.4</v>
      </c>
      <c r="AD510" s="274"/>
      <c r="AE510" s="274"/>
      <c r="AF510" s="274"/>
      <c r="AG510" s="274"/>
      <c r="AH510" s="274"/>
      <c r="AI510" s="274"/>
      <c r="AJ510" s="274"/>
      <c r="AK510" s="274"/>
      <c r="AL510" s="274"/>
      <c r="AM510" s="274"/>
      <c r="AN510" s="274"/>
      <c r="AO510" s="274"/>
      <c r="AP510" s="274"/>
      <c r="AQ510" s="274"/>
      <c r="AR510" s="274"/>
      <c r="AS510" s="274"/>
      <c r="AT510" s="274"/>
      <c r="AU510" s="274"/>
      <c r="AV510" s="274"/>
      <c r="AW510" s="274"/>
    </row>
    <row r="511" ht="15.75" customHeight="1">
      <c r="A511" s="274"/>
      <c r="B511" s="274"/>
      <c r="C511" s="274"/>
      <c r="D511" s="274"/>
      <c r="E511" s="274"/>
      <c r="F511" s="274"/>
      <c r="G511" s="274"/>
      <c r="H511" s="274"/>
      <c r="I511" s="274"/>
      <c r="J511" s="274"/>
      <c r="K511" s="274"/>
      <c r="L511" s="274"/>
      <c r="M511" s="274"/>
      <c r="N511" s="274"/>
      <c r="O511" s="274"/>
      <c r="P511" s="274"/>
      <c r="Q511" s="274"/>
      <c r="R511" s="316"/>
      <c r="W511" s="274"/>
      <c r="X511" s="274"/>
      <c r="Y511" s="274"/>
      <c r="Z511" s="274">
        <v>29.5</v>
      </c>
      <c r="AA511" s="309">
        <v>3769500.738</v>
      </c>
      <c r="AB511" s="309">
        <v>3071445.046</v>
      </c>
      <c r="AC511" s="309">
        <v>3176153.4</v>
      </c>
      <c r="AD511" s="274"/>
      <c r="AE511" s="274"/>
      <c r="AF511" s="274"/>
      <c r="AG511" s="274"/>
      <c r="AH511" s="274"/>
      <c r="AI511" s="274"/>
      <c r="AJ511" s="274"/>
      <c r="AK511" s="274"/>
      <c r="AL511" s="274"/>
      <c r="AM511" s="274"/>
      <c r="AN511" s="274"/>
      <c r="AO511" s="274"/>
      <c r="AP511" s="274"/>
      <c r="AQ511" s="274"/>
      <c r="AR511" s="274"/>
      <c r="AS511" s="274"/>
      <c r="AT511" s="274"/>
      <c r="AU511" s="274"/>
      <c r="AV511" s="274"/>
      <c r="AW511" s="274"/>
    </row>
    <row r="512" ht="15.75" customHeight="1">
      <c r="A512" s="274"/>
      <c r="B512" s="274"/>
      <c r="C512" s="274"/>
      <c r="D512" s="274"/>
      <c r="E512" s="274"/>
      <c r="F512" s="274"/>
      <c r="G512" s="274"/>
      <c r="H512" s="274"/>
      <c r="I512" s="274"/>
      <c r="J512" s="274"/>
      <c r="K512" s="274"/>
      <c r="L512" s="274"/>
      <c r="M512" s="274"/>
      <c r="N512" s="274"/>
      <c r="O512" s="274"/>
      <c r="P512" s="274"/>
      <c r="Q512" s="274"/>
      <c r="R512" s="316"/>
      <c r="W512" s="274"/>
      <c r="X512" s="274"/>
      <c r="Y512" s="274"/>
      <c r="Z512" s="274">
        <v>29.562</v>
      </c>
      <c r="AA512" s="309">
        <v>3769500.738</v>
      </c>
      <c r="AB512" s="309">
        <v>3083079.308</v>
      </c>
      <c r="AC512" s="309">
        <v>3176153.4</v>
      </c>
      <c r="AD512" s="274"/>
      <c r="AE512" s="274"/>
      <c r="AF512" s="274"/>
      <c r="AG512" s="274"/>
      <c r="AH512" s="274"/>
      <c r="AI512" s="274"/>
      <c r="AJ512" s="274"/>
      <c r="AK512" s="274"/>
      <c r="AL512" s="274"/>
      <c r="AM512" s="274"/>
      <c r="AN512" s="274"/>
      <c r="AO512" s="274"/>
      <c r="AP512" s="274"/>
      <c r="AQ512" s="274"/>
      <c r="AR512" s="274"/>
      <c r="AS512" s="274"/>
      <c r="AT512" s="274"/>
      <c r="AU512" s="274"/>
      <c r="AV512" s="274"/>
      <c r="AW512" s="274"/>
    </row>
    <row r="513" ht="15.75" customHeight="1">
      <c r="A513" s="274"/>
      <c r="B513" s="274"/>
      <c r="C513" s="274"/>
      <c r="D513" s="274"/>
      <c r="E513" s="274"/>
      <c r="F513" s="274"/>
      <c r="G513" s="274"/>
      <c r="H513" s="274"/>
      <c r="I513" s="274"/>
      <c r="J513" s="274"/>
      <c r="K513" s="274"/>
      <c r="L513" s="274"/>
      <c r="M513" s="274"/>
      <c r="N513" s="274"/>
      <c r="O513" s="274"/>
      <c r="P513" s="274"/>
      <c r="Q513" s="274"/>
      <c r="R513" s="316"/>
      <c r="W513" s="274"/>
      <c r="X513" s="274"/>
      <c r="Y513" s="274"/>
      <c r="Z513" s="274">
        <v>29.625</v>
      </c>
      <c r="AA513" s="309">
        <v>3769500.738</v>
      </c>
      <c r="AB513" s="309">
        <v>3083079.308</v>
      </c>
      <c r="AC513" s="309">
        <v>3176153.4</v>
      </c>
      <c r="AD513" s="274"/>
      <c r="AE513" s="274"/>
      <c r="AF513" s="274"/>
      <c r="AG513" s="274"/>
      <c r="AH513" s="274"/>
      <c r="AI513" s="274"/>
      <c r="AJ513" s="274"/>
      <c r="AK513" s="274"/>
      <c r="AL513" s="274"/>
      <c r="AM513" s="274"/>
      <c r="AN513" s="274"/>
      <c r="AO513" s="274"/>
      <c r="AP513" s="274"/>
      <c r="AQ513" s="274"/>
      <c r="AR513" s="274"/>
      <c r="AS513" s="274"/>
      <c r="AT513" s="274"/>
      <c r="AU513" s="274"/>
      <c r="AV513" s="274"/>
      <c r="AW513" s="274"/>
    </row>
    <row r="514" ht="15.75" customHeight="1">
      <c r="A514" s="274"/>
      <c r="B514" s="274"/>
      <c r="C514" s="274"/>
      <c r="D514" s="274"/>
      <c r="E514" s="274"/>
      <c r="F514" s="274"/>
      <c r="G514" s="274"/>
      <c r="H514" s="274"/>
      <c r="I514" s="274"/>
      <c r="J514" s="274"/>
      <c r="K514" s="274"/>
      <c r="L514" s="274"/>
      <c r="M514" s="274"/>
      <c r="N514" s="274"/>
      <c r="O514" s="274"/>
      <c r="P514" s="274"/>
      <c r="Q514" s="274"/>
      <c r="R514" s="316"/>
      <c r="W514" s="274"/>
      <c r="X514" s="274"/>
      <c r="Y514" s="274"/>
      <c r="Z514" s="274">
        <v>29.687</v>
      </c>
      <c r="AA514" s="309">
        <v>3769500.738</v>
      </c>
      <c r="AB514" s="309">
        <v>3083079.308</v>
      </c>
      <c r="AC514" s="309">
        <v>3176153.4</v>
      </c>
      <c r="AD514" s="274"/>
      <c r="AE514" s="274"/>
      <c r="AF514" s="274"/>
      <c r="AG514" s="274"/>
      <c r="AH514" s="274"/>
      <c r="AI514" s="274"/>
      <c r="AJ514" s="274"/>
      <c r="AK514" s="274"/>
      <c r="AL514" s="274"/>
      <c r="AM514" s="274"/>
      <c r="AN514" s="274"/>
      <c r="AO514" s="274"/>
      <c r="AP514" s="274"/>
      <c r="AQ514" s="274"/>
      <c r="AR514" s="274"/>
      <c r="AS514" s="274"/>
      <c r="AT514" s="274"/>
      <c r="AU514" s="274"/>
      <c r="AV514" s="274"/>
      <c r="AW514" s="274"/>
    </row>
    <row r="515" ht="15.75" customHeight="1">
      <c r="A515" s="274"/>
      <c r="B515" s="274"/>
      <c r="C515" s="274"/>
      <c r="D515" s="274"/>
      <c r="E515" s="274"/>
      <c r="F515" s="274"/>
      <c r="G515" s="274"/>
      <c r="H515" s="274"/>
      <c r="I515" s="274"/>
      <c r="J515" s="274"/>
      <c r="K515" s="274"/>
      <c r="L515" s="274"/>
      <c r="M515" s="274"/>
      <c r="N515" s="274"/>
      <c r="O515" s="274"/>
      <c r="P515" s="274"/>
      <c r="Q515" s="274"/>
      <c r="R515" s="316"/>
      <c r="W515" s="274"/>
      <c r="X515" s="274"/>
      <c r="Y515" s="274"/>
      <c r="Z515" s="274">
        <v>29.75</v>
      </c>
      <c r="AA515" s="309">
        <v>3769500.738</v>
      </c>
      <c r="AB515" s="309">
        <v>3083079.308</v>
      </c>
      <c r="AC515" s="309">
        <v>3176153.4</v>
      </c>
      <c r="AD515" s="274"/>
      <c r="AE515" s="274"/>
      <c r="AF515" s="274"/>
      <c r="AG515" s="274"/>
      <c r="AH515" s="274"/>
      <c r="AI515" s="274"/>
      <c r="AJ515" s="274"/>
      <c r="AK515" s="274"/>
      <c r="AL515" s="274"/>
      <c r="AM515" s="274"/>
      <c r="AN515" s="274"/>
      <c r="AO515" s="274"/>
      <c r="AP515" s="274"/>
      <c r="AQ515" s="274"/>
      <c r="AR515" s="274"/>
      <c r="AS515" s="274"/>
      <c r="AT515" s="274"/>
      <c r="AU515" s="274"/>
      <c r="AV515" s="274"/>
      <c r="AW515" s="274"/>
    </row>
    <row r="516" ht="15.75" customHeight="1">
      <c r="A516" s="274"/>
      <c r="B516" s="274"/>
      <c r="C516" s="274"/>
      <c r="D516" s="274"/>
      <c r="E516" s="274"/>
      <c r="F516" s="274"/>
      <c r="G516" s="274"/>
      <c r="H516" s="274"/>
      <c r="I516" s="274"/>
      <c r="J516" s="274"/>
      <c r="K516" s="274"/>
      <c r="L516" s="274"/>
      <c r="M516" s="274"/>
      <c r="N516" s="274"/>
      <c r="O516" s="274"/>
      <c r="P516" s="274"/>
      <c r="Q516" s="274"/>
      <c r="R516" s="316"/>
      <c r="W516" s="274"/>
      <c r="X516" s="274"/>
      <c r="Y516" s="274"/>
      <c r="Z516" s="274">
        <v>29.812</v>
      </c>
      <c r="AA516" s="309">
        <v>3769500.738</v>
      </c>
      <c r="AB516" s="309">
        <v>3083079.308</v>
      </c>
      <c r="AC516" s="309">
        <v>3176153.4</v>
      </c>
      <c r="AD516" s="274"/>
      <c r="AE516" s="274"/>
      <c r="AF516" s="274"/>
      <c r="AG516" s="274"/>
      <c r="AH516" s="274"/>
      <c r="AI516" s="274"/>
      <c r="AJ516" s="274"/>
      <c r="AK516" s="274"/>
      <c r="AL516" s="274"/>
      <c r="AM516" s="274"/>
      <c r="AN516" s="274"/>
      <c r="AO516" s="274"/>
      <c r="AP516" s="274"/>
      <c r="AQ516" s="274"/>
      <c r="AR516" s="274"/>
      <c r="AS516" s="274"/>
      <c r="AT516" s="274"/>
      <c r="AU516" s="274"/>
      <c r="AV516" s="274"/>
      <c r="AW516" s="274"/>
    </row>
    <row r="517" ht="15.75" customHeight="1">
      <c r="A517" s="274"/>
      <c r="B517" s="274"/>
      <c r="C517" s="274"/>
      <c r="D517" s="274"/>
      <c r="E517" s="274"/>
      <c r="F517" s="274"/>
      <c r="G517" s="274"/>
      <c r="H517" s="274"/>
      <c r="I517" s="274"/>
      <c r="J517" s="274"/>
      <c r="K517" s="274"/>
      <c r="L517" s="274"/>
      <c r="M517" s="274"/>
      <c r="N517" s="274"/>
      <c r="O517" s="274"/>
      <c r="P517" s="274"/>
      <c r="Q517" s="274"/>
      <c r="R517" s="316"/>
      <c r="W517" s="274"/>
      <c r="X517" s="274"/>
      <c r="Y517" s="274"/>
      <c r="Z517" s="274">
        <v>29.875</v>
      </c>
      <c r="AA517" s="309">
        <v>3769500.738</v>
      </c>
      <c r="AB517" s="309">
        <v>3083079.308</v>
      </c>
      <c r="AC517" s="309">
        <v>3176153.4</v>
      </c>
      <c r="AD517" s="274"/>
      <c r="AE517" s="274"/>
      <c r="AF517" s="274"/>
      <c r="AG517" s="274"/>
      <c r="AH517" s="274"/>
      <c r="AI517" s="274"/>
      <c r="AJ517" s="274"/>
      <c r="AK517" s="274"/>
      <c r="AL517" s="274"/>
      <c r="AM517" s="274"/>
      <c r="AN517" s="274"/>
      <c r="AO517" s="274"/>
      <c r="AP517" s="274"/>
      <c r="AQ517" s="274"/>
      <c r="AR517" s="274"/>
      <c r="AS517" s="274"/>
      <c r="AT517" s="274"/>
      <c r="AU517" s="274"/>
      <c r="AV517" s="274"/>
      <c r="AW517" s="274"/>
    </row>
    <row r="518" ht="15.75" customHeight="1">
      <c r="A518" s="274"/>
      <c r="B518" s="274"/>
      <c r="C518" s="274"/>
      <c r="D518" s="274"/>
      <c r="E518" s="274"/>
      <c r="F518" s="274"/>
      <c r="G518" s="274"/>
      <c r="H518" s="274"/>
      <c r="I518" s="274"/>
      <c r="J518" s="274"/>
      <c r="K518" s="274"/>
      <c r="L518" s="274"/>
      <c r="M518" s="274"/>
      <c r="N518" s="274"/>
      <c r="O518" s="274"/>
      <c r="P518" s="274"/>
      <c r="Q518" s="274"/>
      <c r="R518" s="316"/>
      <c r="W518" s="274"/>
      <c r="X518" s="274"/>
      <c r="Y518" s="274"/>
      <c r="Z518" s="274">
        <v>29.937</v>
      </c>
      <c r="AA518" s="309">
        <v>3769500.738</v>
      </c>
      <c r="AB518" s="309">
        <v>3094713.569</v>
      </c>
      <c r="AC518" s="309">
        <v>3176153.4</v>
      </c>
      <c r="AD518" s="274"/>
      <c r="AE518" s="274"/>
      <c r="AF518" s="274"/>
      <c r="AG518" s="274"/>
      <c r="AH518" s="274"/>
      <c r="AI518" s="274"/>
      <c r="AJ518" s="274"/>
      <c r="AK518" s="274"/>
      <c r="AL518" s="274"/>
      <c r="AM518" s="274"/>
      <c r="AN518" s="274"/>
      <c r="AO518" s="274"/>
      <c r="AP518" s="274"/>
      <c r="AQ518" s="274"/>
      <c r="AR518" s="274"/>
      <c r="AS518" s="274"/>
      <c r="AT518" s="274"/>
      <c r="AU518" s="274"/>
      <c r="AV518" s="274"/>
      <c r="AW518" s="274"/>
    </row>
    <row r="519" ht="15.75" customHeight="1">
      <c r="A519" s="274"/>
      <c r="B519" s="274"/>
      <c r="C519" s="274"/>
      <c r="D519" s="274"/>
      <c r="E519" s="274"/>
      <c r="F519" s="274"/>
      <c r="G519" s="274"/>
      <c r="H519" s="274"/>
      <c r="I519" s="274"/>
      <c r="J519" s="274"/>
      <c r="K519" s="274"/>
      <c r="L519" s="274"/>
      <c r="M519" s="274"/>
      <c r="N519" s="274"/>
      <c r="O519" s="274"/>
      <c r="P519" s="274"/>
      <c r="Q519" s="274"/>
      <c r="R519" s="316"/>
      <c r="W519" s="274"/>
      <c r="X519" s="274"/>
      <c r="Y519" s="274"/>
      <c r="Z519" s="274">
        <v>30.0</v>
      </c>
      <c r="AA519" s="309">
        <v>3769500.738</v>
      </c>
      <c r="AB519" s="309">
        <v>3094713.569</v>
      </c>
      <c r="AC519" s="309">
        <v>3176153.4</v>
      </c>
      <c r="AD519" s="274"/>
      <c r="AE519" s="274"/>
      <c r="AF519" s="274"/>
      <c r="AG519" s="274"/>
      <c r="AH519" s="274"/>
      <c r="AI519" s="274"/>
      <c r="AJ519" s="274"/>
      <c r="AK519" s="274"/>
      <c r="AL519" s="274"/>
      <c r="AM519" s="274"/>
      <c r="AN519" s="274"/>
      <c r="AO519" s="274"/>
      <c r="AP519" s="274"/>
      <c r="AQ519" s="274"/>
      <c r="AR519" s="274"/>
      <c r="AS519" s="274"/>
      <c r="AT519" s="274"/>
      <c r="AU519" s="274"/>
      <c r="AV519" s="274"/>
      <c r="AW519" s="274"/>
    </row>
    <row r="520" ht="15.75" customHeight="1">
      <c r="A520" s="274"/>
      <c r="B520" s="274"/>
      <c r="C520" s="274"/>
      <c r="D520" s="274"/>
      <c r="E520" s="274"/>
      <c r="F520" s="274"/>
      <c r="G520" s="274"/>
      <c r="H520" s="274"/>
      <c r="I520" s="274"/>
      <c r="J520" s="274"/>
      <c r="K520" s="274"/>
      <c r="L520" s="274"/>
      <c r="M520" s="274"/>
      <c r="N520" s="274"/>
      <c r="O520" s="274"/>
      <c r="P520" s="274"/>
      <c r="Q520" s="274"/>
      <c r="R520" s="316"/>
      <c r="W520" s="274"/>
      <c r="X520" s="274"/>
      <c r="Y520" s="274"/>
      <c r="Z520" s="274">
        <v>30.062</v>
      </c>
      <c r="AA520" s="309">
        <v>3769500.738</v>
      </c>
      <c r="AB520" s="309">
        <v>3094713.569</v>
      </c>
      <c r="AC520" s="309">
        <v>3176153.4</v>
      </c>
      <c r="AD520" s="274"/>
      <c r="AE520" s="274"/>
      <c r="AF520" s="274"/>
      <c r="AG520" s="274"/>
      <c r="AH520" s="274"/>
      <c r="AI520" s="274"/>
      <c r="AJ520" s="274"/>
      <c r="AK520" s="274"/>
      <c r="AL520" s="274"/>
      <c r="AM520" s="274"/>
      <c r="AN520" s="274"/>
      <c r="AO520" s="274"/>
      <c r="AP520" s="274"/>
      <c r="AQ520" s="274"/>
      <c r="AR520" s="274"/>
      <c r="AS520" s="274"/>
      <c r="AT520" s="274"/>
      <c r="AU520" s="274"/>
      <c r="AV520" s="274"/>
      <c r="AW520" s="274"/>
    </row>
    <row r="521" ht="15.75" customHeight="1">
      <c r="A521" s="274"/>
      <c r="B521" s="274"/>
      <c r="C521" s="274"/>
      <c r="D521" s="274"/>
      <c r="E521" s="274"/>
      <c r="F521" s="274"/>
      <c r="G521" s="274"/>
      <c r="H521" s="274"/>
      <c r="I521" s="274"/>
      <c r="J521" s="274"/>
      <c r="K521" s="274"/>
      <c r="L521" s="274"/>
      <c r="M521" s="274"/>
      <c r="N521" s="274"/>
      <c r="O521" s="274"/>
      <c r="P521" s="274"/>
      <c r="Q521" s="274"/>
      <c r="R521" s="316"/>
      <c r="W521" s="274"/>
      <c r="X521" s="274"/>
      <c r="Y521" s="274"/>
      <c r="Z521" s="274">
        <v>30.125</v>
      </c>
      <c r="AA521" s="309">
        <v>3804403.523</v>
      </c>
      <c r="AB521" s="309">
        <v>3094713.569</v>
      </c>
      <c r="AC521" s="309">
        <v>3222690.446</v>
      </c>
      <c r="AD521" s="274"/>
      <c r="AE521" s="274"/>
      <c r="AF521" s="274"/>
      <c r="AG521" s="274"/>
      <c r="AH521" s="274"/>
      <c r="AI521" s="274"/>
      <c r="AJ521" s="274"/>
      <c r="AK521" s="274"/>
      <c r="AL521" s="274"/>
      <c r="AM521" s="274"/>
      <c r="AN521" s="274"/>
      <c r="AO521" s="274"/>
      <c r="AP521" s="274"/>
      <c r="AQ521" s="274"/>
      <c r="AR521" s="274"/>
      <c r="AS521" s="274"/>
      <c r="AT521" s="274"/>
      <c r="AU521" s="274"/>
      <c r="AV521" s="274"/>
      <c r="AW521" s="274"/>
    </row>
    <row r="522" ht="15.75" customHeight="1">
      <c r="A522" s="274"/>
      <c r="B522" s="274"/>
      <c r="C522" s="274"/>
      <c r="D522" s="274"/>
      <c r="E522" s="274"/>
      <c r="F522" s="274"/>
      <c r="G522" s="274"/>
      <c r="H522" s="274"/>
      <c r="I522" s="274"/>
      <c r="J522" s="274"/>
      <c r="K522" s="274"/>
      <c r="L522" s="274"/>
      <c r="M522" s="274"/>
      <c r="N522" s="274"/>
      <c r="O522" s="274"/>
      <c r="P522" s="274"/>
      <c r="Q522" s="274"/>
      <c r="R522" s="316"/>
      <c r="W522" s="274"/>
      <c r="X522" s="274"/>
      <c r="Y522" s="274"/>
      <c r="Z522" s="274">
        <v>30.187</v>
      </c>
      <c r="AA522" s="309">
        <v>3804403.523</v>
      </c>
      <c r="AB522" s="309">
        <v>3094713.569</v>
      </c>
      <c r="AC522" s="309">
        <v>3222690.446</v>
      </c>
      <c r="AD522" s="274"/>
      <c r="AE522" s="274"/>
      <c r="AF522" s="274"/>
      <c r="AG522" s="274"/>
      <c r="AH522" s="274"/>
      <c r="AI522" s="274"/>
      <c r="AJ522" s="274"/>
      <c r="AK522" s="274"/>
      <c r="AL522" s="274"/>
      <c r="AM522" s="274"/>
      <c r="AN522" s="274"/>
      <c r="AO522" s="274"/>
      <c r="AP522" s="274"/>
      <c r="AQ522" s="274"/>
      <c r="AR522" s="274"/>
      <c r="AS522" s="274"/>
      <c r="AT522" s="274"/>
      <c r="AU522" s="274"/>
      <c r="AV522" s="274"/>
      <c r="AW522" s="274"/>
    </row>
    <row r="523" ht="15.75" customHeight="1">
      <c r="A523" s="274"/>
      <c r="B523" s="274"/>
      <c r="C523" s="274"/>
      <c r="D523" s="274"/>
      <c r="E523" s="274"/>
      <c r="F523" s="274"/>
      <c r="G523" s="274"/>
      <c r="H523" s="274"/>
      <c r="I523" s="274"/>
      <c r="J523" s="274"/>
      <c r="K523" s="274"/>
      <c r="L523" s="274"/>
      <c r="M523" s="274"/>
      <c r="N523" s="274"/>
      <c r="O523" s="274"/>
      <c r="P523" s="274"/>
      <c r="Q523" s="274"/>
      <c r="R523" s="316"/>
      <c r="W523" s="274"/>
      <c r="X523" s="274"/>
      <c r="Y523" s="274"/>
      <c r="Z523" s="274">
        <v>30.25</v>
      </c>
      <c r="AA523" s="309">
        <v>3839306.308</v>
      </c>
      <c r="AB523" s="309">
        <v>3094713.569</v>
      </c>
      <c r="AC523" s="309">
        <v>3222690.446</v>
      </c>
      <c r="AD523" s="274"/>
      <c r="AE523" s="274"/>
      <c r="AF523" s="274"/>
      <c r="AG523" s="274"/>
      <c r="AH523" s="274"/>
      <c r="AI523" s="274"/>
      <c r="AJ523" s="274"/>
      <c r="AK523" s="274"/>
      <c r="AL523" s="274"/>
      <c r="AM523" s="274"/>
      <c r="AN523" s="274"/>
      <c r="AO523" s="274"/>
      <c r="AP523" s="274"/>
      <c r="AQ523" s="274"/>
      <c r="AR523" s="274"/>
      <c r="AS523" s="274"/>
      <c r="AT523" s="274"/>
      <c r="AU523" s="274"/>
      <c r="AV523" s="274"/>
      <c r="AW523" s="274"/>
    </row>
    <row r="524" ht="15.75" customHeight="1">
      <c r="A524" s="274"/>
      <c r="B524" s="274"/>
      <c r="C524" s="274"/>
      <c r="D524" s="274"/>
      <c r="E524" s="274"/>
      <c r="F524" s="274"/>
      <c r="G524" s="274"/>
      <c r="H524" s="274"/>
      <c r="I524" s="274"/>
      <c r="J524" s="274"/>
      <c r="K524" s="274"/>
      <c r="L524" s="274"/>
      <c r="M524" s="274"/>
      <c r="N524" s="274"/>
      <c r="O524" s="274"/>
      <c r="P524" s="274"/>
      <c r="Q524" s="274"/>
      <c r="R524" s="316"/>
      <c r="W524" s="274"/>
      <c r="X524" s="274"/>
      <c r="Y524" s="274"/>
      <c r="Z524" s="274">
        <v>30.312</v>
      </c>
      <c r="AA524" s="274"/>
      <c r="AB524" s="309">
        <v>3094713.569</v>
      </c>
      <c r="AC524" s="309">
        <v>3222690.446</v>
      </c>
      <c r="AD524" s="274"/>
      <c r="AE524" s="274"/>
      <c r="AF524" s="274"/>
      <c r="AG524" s="274"/>
      <c r="AH524" s="274"/>
      <c r="AI524" s="274"/>
      <c r="AJ524" s="274"/>
      <c r="AK524" s="274"/>
      <c r="AL524" s="274"/>
      <c r="AM524" s="274"/>
      <c r="AN524" s="274"/>
      <c r="AO524" s="274"/>
      <c r="AP524" s="274"/>
      <c r="AQ524" s="274"/>
      <c r="AR524" s="274"/>
      <c r="AS524" s="274"/>
      <c r="AT524" s="274"/>
      <c r="AU524" s="274"/>
      <c r="AV524" s="274"/>
      <c r="AW524" s="274"/>
    </row>
    <row r="525" ht="15.75" customHeight="1">
      <c r="A525" s="274"/>
      <c r="B525" s="274"/>
      <c r="C525" s="274"/>
      <c r="D525" s="274"/>
      <c r="E525" s="274"/>
      <c r="F525" s="274"/>
      <c r="G525" s="274"/>
      <c r="H525" s="274"/>
      <c r="I525" s="274"/>
      <c r="J525" s="274"/>
      <c r="K525" s="274"/>
      <c r="L525" s="274"/>
      <c r="M525" s="274"/>
      <c r="N525" s="274"/>
      <c r="O525" s="274"/>
      <c r="P525" s="274"/>
      <c r="Q525" s="274"/>
      <c r="R525" s="316"/>
      <c r="W525" s="274"/>
      <c r="X525" s="274"/>
      <c r="Y525" s="274"/>
      <c r="Z525" s="274">
        <v>30.375</v>
      </c>
      <c r="AA525" s="274"/>
      <c r="AB525" s="309">
        <v>3094713.569</v>
      </c>
      <c r="AC525" s="309">
        <v>3222690.446</v>
      </c>
      <c r="AD525" s="274"/>
      <c r="AE525" s="274"/>
      <c r="AF525" s="274"/>
      <c r="AG525" s="274"/>
      <c r="AH525" s="274"/>
      <c r="AI525" s="274"/>
      <c r="AJ525" s="274"/>
      <c r="AK525" s="274"/>
      <c r="AL525" s="274"/>
      <c r="AM525" s="274"/>
      <c r="AN525" s="274"/>
      <c r="AO525" s="274"/>
      <c r="AP525" s="274"/>
      <c r="AQ525" s="274"/>
      <c r="AR525" s="274"/>
      <c r="AS525" s="274"/>
      <c r="AT525" s="274"/>
      <c r="AU525" s="274"/>
      <c r="AV525" s="274"/>
      <c r="AW525" s="274"/>
    </row>
    <row r="526" ht="15.75" customHeight="1">
      <c r="A526" s="274"/>
      <c r="B526" s="274"/>
      <c r="C526" s="274"/>
      <c r="D526" s="274"/>
      <c r="E526" s="274"/>
      <c r="F526" s="274"/>
      <c r="G526" s="274"/>
      <c r="H526" s="274"/>
      <c r="I526" s="274"/>
      <c r="J526" s="274"/>
      <c r="K526" s="274"/>
      <c r="L526" s="274"/>
      <c r="M526" s="274"/>
      <c r="N526" s="274"/>
      <c r="O526" s="274"/>
      <c r="P526" s="274"/>
      <c r="Q526" s="274"/>
      <c r="R526" s="316"/>
      <c r="W526" s="274"/>
      <c r="X526" s="274"/>
      <c r="Y526" s="274"/>
      <c r="Z526" s="274">
        <v>30.437</v>
      </c>
      <c r="AA526" s="274"/>
      <c r="AB526" s="309">
        <v>3094713.569</v>
      </c>
      <c r="AC526" s="309">
        <v>3222690.446</v>
      </c>
      <c r="AD526" s="274"/>
      <c r="AE526" s="274"/>
      <c r="AF526" s="274"/>
      <c r="AG526" s="274"/>
      <c r="AH526" s="274"/>
      <c r="AI526" s="274"/>
      <c r="AJ526" s="274"/>
      <c r="AK526" s="274"/>
      <c r="AL526" s="274"/>
      <c r="AM526" s="274"/>
      <c r="AN526" s="274"/>
      <c r="AO526" s="274"/>
      <c r="AP526" s="274"/>
      <c r="AQ526" s="274"/>
      <c r="AR526" s="274"/>
      <c r="AS526" s="274"/>
      <c r="AT526" s="274"/>
      <c r="AU526" s="274"/>
      <c r="AV526" s="274"/>
      <c r="AW526" s="274"/>
    </row>
    <row r="527" ht="15.75" customHeight="1">
      <c r="A527" s="274"/>
      <c r="B527" s="274"/>
      <c r="C527" s="274"/>
      <c r="D527" s="274"/>
      <c r="E527" s="274"/>
      <c r="F527" s="274"/>
      <c r="G527" s="274"/>
      <c r="H527" s="274"/>
      <c r="I527" s="274"/>
      <c r="J527" s="274"/>
      <c r="K527" s="274"/>
      <c r="L527" s="274"/>
      <c r="M527" s="274"/>
      <c r="N527" s="274"/>
      <c r="O527" s="274"/>
      <c r="P527" s="274"/>
      <c r="Q527" s="274"/>
      <c r="R527" s="316"/>
      <c r="W527" s="274"/>
      <c r="X527" s="274"/>
      <c r="Y527" s="274"/>
      <c r="Z527" s="274">
        <v>30.5</v>
      </c>
      <c r="AA527" s="274"/>
      <c r="AB527" s="309">
        <v>3304130.277</v>
      </c>
      <c r="AC527" s="309">
        <v>3222690.446</v>
      </c>
      <c r="AD527" s="274"/>
      <c r="AE527" s="274"/>
      <c r="AF527" s="274"/>
      <c r="AG527" s="274"/>
      <c r="AH527" s="274"/>
      <c r="AI527" s="274"/>
      <c r="AJ527" s="274"/>
      <c r="AK527" s="274"/>
      <c r="AL527" s="274"/>
      <c r="AM527" s="274"/>
      <c r="AN527" s="274"/>
      <c r="AO527" s="274"/>
      <c r="AP527" s="274"/>
      <c r="AQ527" s="274"/>
      <c r="AR527" s="274"/>
      <c r="AS527" s="274"/>
      <c r="AT527" s="274"/>
      <c r="AU527" s="274"/>
      <c r="AV527" s="274"/>
      <c r="AW527" s="274"/>
    </row>
    <row r="528" ht="15.75" customHeight="1">
      <c r="A528" s="274"/>
      <c r="B528" s="274"/>
      <c r="C528" s="274"/>
      <c r="D528" s="274"/>
      <c r="E528" s="274"/>
      <c r="F528" s="274"/>
      <c r="G528" s="274"/>
      <c r="H528" s="274"/>
      <c r="I528" s="274"/>
      <c r="J528" s="274"/>
      <c r="K528" s="274"/>
      <c r="L528" s="274"/>
      <c r="M528" s="274"/>
      <c r="N528" s="274"/>
      <c r="O528" s="274"/>
      <c r="P528" s="274"/>
      <c r="Q528" s="274"/>
      <c r="R528" s="316"/>
      <c r="W528" s="274"/>
      <c r="X528" s="274"/>
      <c r="Y528" s="274"/>
      <c r="Z528" s="274">
        <v>30.562</v>
      </c>
      <c r="AA528" s="274"/>
      <c r="AB528" s="309">
        <v>3304130.277</v>
      </c>
      <c r="AC528" s="309">
        <v>3222690.446</v>
      </c>
      <c r="AD528" s="274"/>
      <c r="AE528" s="274"/>
      <c r="AF528" s="274"/>
      <c r="AG528" s="274"/>
      <c r="AH528" s="274"/>
      <c r="AI528" s="274"/>
      <c r="AJ528" s="274"/>
      <c r="AK528" s="274"/>
      <c r="AL528" s="274"/>
      <c r="AM528" s="274"/>
      <c r="AN528" s="274"/>
      <c r="AO528" s="274"/>
      <c r="AP528" s="274"/>
      <c r="AQ528" s="274"/>
      <c r="AR528" s="274"/>
      <c r="AS528" s="274"/>
      <c r="AT528" s="274"/>
      <c r="AU528" s="274"/>
      <c r="AV528" s="274"/>
      <c r="AW528" s="274"/>
    </row>
    <row r="529" ht="15.75" customHeight="1">
      <c r="A529" s="274"/>
      <c r="B529" s="274"/>
      <c r="C529" s="274"/>
      <c r="D529" s="274"/>
      <c r="E529" s="274"/>
      <c r="F529" s="274"/>
      <c r="G529" s="274"/>
      <c r="H529" s="274"/>
      <c r="I529" s="274"/>
      <c r="J529" s="274"/>
      <c r="K529" s="274"/>
      <c r="L529" s="274"/>
      <c r="M529" s="274"/>
      <c r="N529" s="274"/>
      <c r="O529" s="274"/>
      <c r="P529" s="274"/>
      <c r="Q529" s="274"/>
      <c r="R529" s="316"/>
      <c r="W529" s="274"/>
      <c r="X529" s="274"/>
      <c r="Y529" s="274"/>
      <c r="Z529" s="274">
        <v>30.625</v>
      </c>
      <c r="AA529" s="274"/>
      <c r="AB529" s="309">
        <v>3304130.277</v>
      </c>
      <c r="AC529" s="309">
        <v>3222690.446</v>
      </c>
      <c r="AD529" s="274"/>
      <c r="AE529" s="274"/>
      <c r="AF529" s="274"/>
      <c r="AG529" s="274"/>
      <c r="AH529" s="274"/>
      <c r="AI529" s="274"/>
      <c r="AJ529" s="274"/>
      <c r="AK529" s="274"/>
      <c r="AL529" s="274"/>
      <c r="AM529" s="274"/>
      <c r="AN529" s="274"/>
      <c r="AO529" s="274"/>
      <c r="AP529" s="274"/>
      <c r="AQ529" s="274"/>
      <c r="AR529" s="274"/>
      <c r="AS529" s="274"/>
      <c r="AT529" s="274"/>
      <c r="AU529" s="274"/>
      <c r="AV529" s="274"/>
      <c r="AW529" s="274"/>
    </row>
    <row r="530" ht="15.75" customHeight="1">
      <c r="A530" s="274"/>
      <c r="B530" s="274"/>
      <c r="C530" s="274"/>
      <c r="D530" s="274"/>
      <c r="E530" s="274"/>
      <c r="F530" s="274"/>
      <c r="G530" s="274"/>
      <c r="H530" s="274"/>
      <c r="I530" s="274"/>
      <c r="J530" s="274"/>
      <c r="K530" s="274"/>
      <c r="L530" s="274"/>
      <c r="M530" s="274"/>
      <c r="N530" s="274"/>
      <c r="O530" s="274"/>
      <c r="P530" s="274"/>
      <c r="Q530" s="274"/>
      <c r="R530" s="316"/>
      <c r="W530" s="274"/>
      <c r="X530" s="274"/>
      <c r="Y530" s="274"/>
      <c r="Z530" s="274">
        <v>30.687</v>
      </c>
      <c r="AA530" s="274"/>
      <c r="AB530" s="309">
        <v>3304130.277</v>
      </c>
      <c r="AC530" s="309">
        <v>3222690.446</v>
      </c>
      <c r="AD530" s="274"/>
      <c r="AE530" s="274"/>
      <c r="AF530" s="274"/>
      <c r="AG530" s="274"/>
      <c r="AH530" s="274"/>
      <c r="AI530" s="274"/>
      <c r="AJ530" s="274"/>
      <c r="AK530" s="274"/>
      <c r="AL530" s="274"/>
      <c r="AM530" s="274"/>
      <c r="AN530" s="274"/>
      <c r="AO530" s="274"/>
      <c r="AP530" s="274"/>
      <c r="AQ530" s="274"/>
      <c r="AR530" s="274"/>
      <c r="AS530" s="274"/>
      <c r="AT530" s="274"/>
      <c r="AU530" s="274"/>
      <c r="AV530" s="274"/>
      <c r="AW530" s="274"/>
    </row>
    <row r="531" ht="15.75" customHeight="1">
      <c r="A531" s="274"/>
      <c r="B531" s="274"/>
      <c r="C531" s="274"/>
      <c r="D531" s="274"/>
      <c r="E531" s="274"/>
      <c r="F531" s="274"/>
      <c r="G531" s="274"/>
      <c r="H531" s="274"/>
      <c r="I531" s="274"/>
      <c r="J531" s="274"/>
      <c r="K531" s="274"/>
      <c r="L531" s="274"/>
      <c r="M531" s="274"/>
      <c r="N531" s="274"/>
      <c r="O531" s="274"/>
      <c r="P531" s="274"/>
      <c r="Q531" s="274"/>
      <c r="R531" s="316"/>
      <c r="W531" s="274"/>
      <c r="X531" s="274"/>
      <c r="Y531" s="274"/>
      <c r="Z531" s="274">
        <v>30.75</v>
      </c>
      <c r="AA531" s="274"/>
      <c r="AB531" s="309">
        <v>3304130.277</v>
      </c>
      <c r="AC531" s="309">
        <v>3315764.538</v>
      </c>
      <c r="AD531" s="274"/>
      <c r="AE531" s="274"/>
      <c r="AF531" s="274"/>
      <c r="AG531" s="274"/>
      <c r="AH531" s="274"/>
      <c r="AI531" s="274"/>
      <c r="AJ531" s="274"/>
      <c r="AK531" s="274"/>
      <c r="AL531" s="274"/>
      <c r="AM531" s="274"/>
      <c r="AN531" s="274"/>
      <c r="AO531" s="274"/>
      <c r="AP531" s="274"/>
      <c r="AQ531" s="274"/>
      <c r="AR531" s="274"/>
      <c r="AS531" s="274"/>
      <c r="AT531" s="274"/>
      <c r="AU531" s="274"/>
      <c r="AV531" s="274"/>
      <c r="AW531" s="274"/>
    </row>
    <row r="532" ht="15.75" customHeight="1">
      <c r="A532" s="274"/>
      <c r="B532" s="274"/>
      <c r="C532" s="274"/>
      <c r="D532" s="274"/>
      <c r="E532" s="274"/>
      <c r="F532" s="274"/>
      <c r="G532" s="274"/>
      <c r="H532" s="274"/>
      <c r="I532" s="274"/>
      <c r="J532" s="274"/>
      <c r="K532" s="274"/>
      <c r="L532" s="274"/>
      <c r="M532" s="274"/>
      <c r="N532" s="274"/>
      <c r="O532" s="274"/>
      <c r="P532" s="274"/>
      <c r="Q532" s="274"/>
      <c r="R532" s="316"/>
      <c r="W532" s="274"/>
      <c r="X532" s="274"/>
      <c r="Y532" s="274"/>
      <c r="Z532" s="274">
        <v>30.812</v>
      </c>
      <c r="AA532" s="274"/>
      <c r="AB532" s="309">
        <v>3304130.277</v>
      </c>
      <c r="AC532" s="309">
        <v>3315764.538</v>
      </c>
      <c r="AD532" s="274"/>
      <c r="AE532" s="274"/>
      <c r="AF532" s="274"/>
      <c r="AG532" s="274"/>
      <c r="AH532" s="274"/>
      <c r="AI532" s="274"/>
      <c r="AJ532" s="274"/>
      <c r="AK532" s="274"/>
      <c r="AL532" s="274"/>
      <c r="AM532" s="274"/>
      <c r="AN532" s="274"/>
      <c r="AO532" s="274"/>
      <c r="AP532" s="274"/>
      <c r="AQ532" s="274"/>
      <c r="AR532" s="274"/>
      <c r="AS532" s="274"/>
      <c r="AT532" s="274"/>
      <c r="AU532" s="274"/>
      <c r="AV532" s="274"/>
      <c r="AW532" s="274"/>
    </row>
    <row r="533" ht="15.75" customHeight="1">
      <c r="A533" s="274"/>
      <c r="B533" s="274"/>
      <c r="C533" s="274"/>
      <c r="D533" s="274"/>
      <c r="E533" s="274"/>
      <c r="F533" s="274"/>
      <c r="G533" s="274"/>
      <c r="H533" s="274"/>
      <c r="I533" s="274"/>
      <c r="J533" s="274"/>
      <c r="K533" s="274"/>
      <c r="L533" s="274"/>
      <c r="M533" s="274"/>
      <c r="N533" s="274"/>
      <c r="O533" s="274"/>
      <c r="P533" s="274"/>
      <c r="Q533" s="274"/>
      <c r="R533" s="316"/>
      <c r="W533" s="274"/>
      <c r="X533" s="274"/>
      <c r="Y533" s="274"/>
      <c r="Z533" s="274">
        <v>30.875</v>
      </c>
      <c r="AA533" s="274"/>
      <c r="AB533" s="309">
        <v>3304130.277</v>
      </c>
      <c r="AC533" s="309">
        <v>3315764.538</v>
      </c>
      <c r="AD533" s="274"/>
      <c r="AE533" s="274"/>
      <c r="AF533" s="274"/>
      <c r="AG533" s="274"/>
      <c r="AH533" s="274"/>
      <c r="AI533" s="274"/>
      <c r="AJ533" s="274"/>
      <c r="AK533" s="274"/>
      <c r="AL533" s="274"/>
      <c r="AM533" s="274"/>
      <c r="AN533" s="274"/>
      <c r="AO533" s="274"/>
      <c r="AP533" s="274"/>
      <c r="AQ533" s="274"/>
      <c r="AR533" s="274"/>
      <c r="AS533" s="274"/>
      <c r="AT533" s="274"/>
      <c r="AU533" s="274"/>
      <c r="AV533" s="274"/>
      <c r="AW533" s="274"/>
    </row>
    <row r="534" ht="15.75" customHeight="1">
      <c r="A534" s="274"/>
      <c r="B534" s="274"/>
      <c r="C534" s="274"/>
      <c r="D534" s="274"/>
      <c r="E534" s="274"/>
      <c r="F534" s="274"/>
      <c r="G534" s="274"/>
      <c r="H534" s="274"/>
      <c r="I534" s="274"/>
      <c r="J534" s="274"/>
      <c r="K534" s="274"/>
      <c r="L534" s="274"/>
      <c r="M534" s="274"/>
      <c r="N534" s="274"/>
      <c r="O534" s="274"/>
      <c r="P534" s="274"/>
      <c r="Q534" s="274"/>
      <c r="R534" s="316"/>
      <c r="W534" s="274"/>
      <c r="X534" s="274"/>
      <c r="Y534" s="274"/>
      <c r="Z534" s="274">
        <v>30.937</v>
      </c>
      <c r="AA534" s="274"/>
      <c r="AB534" s="309">
        <v>3304130.277</v>
      </c>
      <c r="AC534" s="309">
        <v>3315764.538</v>
      </c>
      <c r="AD534" s="274"/>
      <c r="AE534" s="274"/>
      <c r="AF534" s="274"/>
      <c r="AG534" s="274"/>
      <c r="AH534" s="274"/>
      <c r="AI534" s="274"/>
      <c r="AJ534" s="274"/>
      <c r="AK534" s="274"/>
      <c r="AL534" s="274"/>
      <c r="AM534" s="274"/>
      <c r="AN534" s="274"/>
      <c r="AO534" s="274"/>
      <c r="AP534" s="274"/>
      <c r="AQ534" s="274"/>
      <c r="AR534" s="274"/>
      <c r="AS534" s="274"/>
      <c r="AT534" s="274"/>
      <c r="AU534" s="274"/>
      <c r="AV534" s="274"/>
      <c r="AW534" s="274"/>
    </row>
    <row r="535" ht="15.75" customHeight="1">
      <c r="A535" s="274"/>
      <c r="B535" s="274"/>
      <c r="C535" s="274"/>
      <c r="D535" s="274"/>
      <c r="E535" s="274"/>
      <c r="F535" s="274"/>
      <c r="G535" s="274"/>
      <c r="H535" s="274"/>
      <c r="I535" s="274"/>
      <c r="J535" s="274"/>
      <c r="K535" s="274"/>
      <c r="L535" s="274"/>
      <c r="M535" s="274"/>
      <c r="N535" s="274"/>
      <c r="O535" s="274"/>
      <c r="P535" s="274"/>
      <c r="Q535" s="274"/>
      <c r="R535" s="316"/>
      <c r="W535" s="274"/>
      <c r="X535" s="274"/>
      <c r="Y535" s="274"/>
      <c r="Z535" s="274">
        <v>31.0</v>
      </c>
      <c r="AA535" s="274"/>
      <c r="AB535" s="309">
        <v>3304130.277</v>
      </c>
      <c r="AC535" s="309">
        <v>3315764.538</v>
      </c>
      <c r="AD535" s="274"/>
      <c r="AE535" s="274"/>
      <c r="AF535" s="274"/>
      <c r="AG535" s="274"/>
      <c r="AH535" s="274"/>
      <c r="AI535" s="274"/>
      <c r="AJ535" s="274"/>
      <c r="AK535" s="274"/>
      <c r="AL535" s="274"/>
      <c r="AM535" s="274"/>
      <c r="AN535" s="274"/>
      <c r="AO535" s="274"/>
      <c r="AP535" s="274"/>
      <c r="AQ535" s="274"/>
      <c r="AR535" s="274"/>
      <c r="AS535" s="274"/>
      <c r="AT535" s="274"/>
      <c r="AU535" s="274"/>
      <c r="AV535" s="274"/>
      <c r="AW535" s="274"/>
    </row>
    <row r="536" ht="15.75" customHeight="1">
      <c r="A536" s="274"/>
      <c r="B536" s="274"/>
      <c r="C536" s="274"/>
      <c r="D536" s="274"/>
      <c r="E536" s="274"/>
      <c r="F536" s="274"/>
      <c r="G536" s="274"/>
      <c r="H536" s="274"/>
      <c r="I536" s="274"/>
      <c r="J536" s="274"/>
      <c r="K536" s="274"/>
      <c r="L536" s="274"/>
      <c r="M536" s="274"/>
      <c r="N536" s="274"/>
      <c r="O536" s="274"/>
      <c r="P536" s="274"/>
      <c r="Q536" s="274"/>
      <c r="R536" s="316"/>
      <c r="W536" s="274"/>
      <c r="X536" s="274"/>
      <c r="Y536" s="274"/>
      <c r="Z536" s="274">
        <v>31.062</v>
      </c>
      <c r="AA536" s="274"/>
      <c r="AB536" s="309">
        <v>3304130.277</v>
      </c>
      <c r="AC536" s="309">
        <v>3315764.538</v>
      </c>
      <c r="AD536" s="274"/>
      <c r="AE536" s="274"/>
      <c r="AF536" s="274"/>
      <c r="AG536" s="274"/>
      <c r="AH536" s="274"/>
      <c r="AI536" s="274"/>
      <c r="AJ536" s="274"/>
      <c r="AK536" s="274"/>
      <c r="AL536" s="274"/>
      <c r="AM536" s="274"/>
      <c r="AN536" s="274"/>
      <c r="AO536" s="274"/>
      <c r="AP536" s="274"/>
      <c r="AQ536" s="274"/>
      <c r="AR536" s="274"/>
      <c r="AS536" s="274"/>
      <c r="AT536" s="274"/>
      <c r="AU536" s="274"/>
      <c r="AV536" s="274"/>
      <c r="AW536" s="274"/>
    </row>
    <row r="537" ht="15.75" customHeight="1">
      <c r="A537" s="274"/>
      <c r="B537" s="274"/>
      <c r="C537" s="274"/>
      <c r="D537" s="274"/>
      <c r="E537" s="274"/>
      <c r="F537" s="274"/>
      <c r="G537" s="274"/>
      <c r="H537" s="274"/>
      <c r="I537" s="274"/>
      <c r="J537" s="274"/>
      <c r="K537" s="274"/>
      <c r="L537" s="274"/>
      <c r="M537" s="274"/>
      <c r="N537" s="274"/>
      <c r="O537" s="274"/>
      <c r="P537" s="274"/>
      <c r="Q537" s="274"/>
      <c r="R537" s="316"/>
      <c r="W537" s="274"/>
      <c r="X537" s="274"/>
      <c r="Y537" s="274"/>
      <c r="Z537" s="274">
        <v>31.125</v>
      </c>
      <c r="AA537" s="274"/>
      <c r="AB537" s="309">
        <v>3304130.277</v>
      </c>
      <c r="AC537" s="309">
        <v>3315764.538</v>
      </c>
      <c r="AD537" s="274"/>
      <c r="AE537" s="274"/>
      <c r="AF537" s="274"/>
      <c r="AG537" s="274"/>
      <c r="AH537" s="274"/>
      <c r="AI537" s="274"/>
      <c r="AJ537" s="274"/>
      <c r="AK537" s="274"/>
      <c r="AL537" s="274"/>
      <c r="AM537" s="274"/>
      <c r="AN537" s="274"/>
      <c r="AO537" s="274"/>
      <c r="AP537" s="274"/>
      <c r="AQ537" s="274"/>
      <c r="AR537" s="274"/>
      <c r="AS537" s="274"/>
      <c r="AT537" s="274"/>
      <c r="AU537" s="274"/>
      <c r="AV537" s="274"/>
      <c r="AW537" s="274"/>
    </row>
    <row r="538" ht="15.75" customHeight="1">
      <c r="A538" s="274"/>
      <c r="B538" s="274"/>
      <c r="C538" s="274"/>
      <c r="D538" s="274"/>
      <c r="E538" s="274"/>
      <c r="F538" s="274"/>
      <c r="G538" s="274"/>
      <c r="H538" s="274"/>
      <c r="I538" s="274"/>
      <c r="J538" s="274"/>
      <c r="K538" s="274"/>
      <c r="L538" s="274"/>
      <c r="M538" s="274"/>
      <c r="N538" s="274"/>
      <c r="O538" s="274"/>
      <c r="P538" s="274"/>
      <c r="Q538" s="274"/>
      <c r="R538" s="316"/>
      <c r="W538" s="274"/>
      <c r="X538" s="274"/>
      <c r="Y538" s="274"/>
      <c r="Z538" s="274">
        <v>31.187</v>
      </c>
      <c r="AA538" s="274"/>
      <c r="AB538" s="309">
        <v>3304130.277</v>
      </c>
      <c r="AC538" s="309">
        <v>3315764.538</v>
      </c>
      <c r="AD538" s="274"/>
      <c r="AE538" s="274"/>
      <c r="AF538" s="274"/>
      <c r="AG538" s="274"/>
      <c r="AH538" s="274"/>
      <c r="AI538" s="274"/>
      <c r="AJ538" s="274"/>
      <c r="AK538" s="274"/>
      <c r="AL538" s="274"/>
      <c r="AM538" s="274"/>
      <c r="AN538" s="274"/>
      <c r="AO538" s="274"/>
      <c r="AP538" s="274"/>
      <c r="AQ538" s="274"/>
      <c r="AR538" s="274"/>
      <c r="AS538" s="274"/>
      <c r="AT538" s="274"/>
      <c r="AU538" s="274"/>
      <c r="AV538" s="274"/>
      <c r="AW538" s="274"/>
    </row>
    <row r="539" ht="15.75" customHeight="1">
      <c r="A539" s="274"/>
      <c r="B539" s="274"/>
      <c r="C539" s="274"/>
      <c r="D539" s="274"/>
      <c r="E539" s="274"/>
      <c r="F539" s="274"/>
      <c r="G539" s="274"/>
      <c r="H539" s="274"/>
      <c r="I539" s="274"/>
      <c r="J539" s="274"/>
      <c r="K539" s="274"/>
      <c r="L539" s="274"/>
      <c r="M539" s="274"/>
      <c r="N539" s="274"/>
      <c r="O539" s="274"/>
      <c r="P539" s="274"/>
      <c r="Q539" s="274"/>
      <c r="R539" s="316"/>
      <c r="W539" s="274"/>
      <c r="X539" s="274"/>
      <c r="Y539" s="274"/>
      <c r="Z539" s="274">
        <v>31.25</v>
      </c>
      <c r="AA539" s="274"/>
      <c r="AB539" s="309">
        <v>3304130.277</v>
      </c>
      <c r="AC539" s="309">
        <v>3315764.538</v>
      </c>
      <c r="AD539" s="274"/>
      <c r="AE539" s="274"/>
      <c r="AF539" s="274"/>
      <c r="AG539" s="274"/>
      <c r="AH539" s="274"/>
      <c r="AI539" s="274"/>
      <c r="AJ539" s="274"/>
      <c r="AK539" s="274"/>
      <c r="AL539" s="274"/>
      <c r="AM539" s="274"/>
      <c r="AN539" s="274"/>
      <c r="AO539" s="274"/>
      <c r="AP539" s="274"/>
      <c r="AQ539" s="274"/>
      <c r="AR539" s="274"/>
      <c r="AS539" s="274"/>
      <c r="AT539" s="274"/>
      <c r="AU539" s="274"/>
      <c r="AV539" s="274"/>
      <c r="AW539" s="274"/>
    </row>
    <row r="540" ht="15.75" customHeight="1">
      <c r="A540" s="274"/>
      <c r="B540" s="274"/>
      <c r="C540" s="274"/>
      <c r="D540" s="274"/>
      <c r="E540" s="274"/>
      <c r="F540" s="274"/>
      <c r="G540" s="274"/>
      <c r="H540" s="274"/>
      <c r="I540" s="274"/>
      <c r="J540" s="274"/>
      <c r="K540" s="274"/>
      <c r="L540" s="274"/>
      <c r="M540" s="274"/>
      <c r="N540" s="274"/>
      <c r="O540" s="274"/>
      <c r="P540" s="274"/>
      <c r="Q540" s="274"/>
      <c r="R540" s="316"/>
      <c r="W540" s="274"/>
      <c r="X540" s="274"/>
      <c r="Y540" s="274"/>
      <c r="Z540" s="274">
        <v>31.312</v>
      </c>
      <c r="AA540" s="274"/>
      <c r="AB540" s="309">
        <v>3304130.277</v>
      </c>
      <c r="AC540" s="309">
        <v>3315764.538</v>
      </c>
      <c r="AD540" s="274"/>
      <c r="AE540" s="274"/>
      <c r="AF540" s="274"/>
      <c r="AG540" s="274"/>
      <c r="AH540" s="274"/>
      <c r="AI540" s="274"/>
      <c r="AJ540" s="274"/>
      <c r="AK540" s="274"/>
      <c r="AL540" s="274"/>
      <c r="AM540" s="274"/>
      <c r="AN540" s="274"/>
      <c r="AO540" s="274"/>
      <c r="AP540" s="274"/>
      <c r="AQ540" s="274"/>
      <c r="AR540" s="274"/>
      <c r="AS540" s="274"/>
      <c r="AT540" s="274"/>
      <c r="AU540" s="274"/>
      <c r="AV540" s="274"/>
      <c r="AW540" s="274"/>
    </row>
    <row r="541" ht="15.75" customHeight="1">
      <c r="A541" s="274"/>
      <c r="B541" s="274"/>
      <c r="C541" s="274"/>
      <c r="D541" s="274"/>
      <c r="E541" s="274"/>
      <c r="F541" s="274"/>
      <c r="G541" s="274"/>
      <c r="H541" s="274"/>
      <c r="I541" s="274"/>
      <c r="J541" s="274"/>
      <c r="K541" s="274"/>
      <c r="L541" s="274"/>
      <c r="M541" s="274"/>
      <c r="N541" s="274"/>
      <c r="O541" s="274"/>
      <c r="P541" s="274"/>
      <c r="Q541" s="274"/>
      <c r="R541" s="316"/>
      <c r="W541" s="274"/>
      <c r="X541" s="274"/>
      <c r="Y541" s="274"/>
      <c r="Z541" s="274">
        <v>31.375</v>
      </c>
      <c r="AA541" s="274"/>
      <c r="AB541" s="309">
        <v>3304130.277</v>
      </c>
      <c r="AC541" s="309">
        <v>3362301.585</v>
      </c>
      <c r="AD541" s="274"/>
      <c r="AE541" s="274"/>
      <c r="AF541" s="274"/>
      <c r="AG541" s="274"/>
      <c r="AH541" s="274"/>
      <c r="AI541" s="274"/>
      <c r="AJ541" s="274"/>
      <c r="AK541" s="274"/>
      <c r="AL541" s="274"/>
      <c r="AM541" s="274"/>
      <c r="AN541" s="274"/>
      <c r="AO541" s="274"/>
      <c r="AP541" s="274"/>
      <c r="AQ541" s="274"/>
      <c r="AR541" s="274"/>
      <c r="AS541" s="274"/>
      <c r="AT541" s="274"/>
      <c r="AU541" s="274"/>
      <c r="AV541" s="274"/>
      <c r="AW541" s="274"/>
    </row>
    <row r="542" ht="15.75" customHeight="1">
      <c r="A542" s="274"/>
      <c r="B542" s="274"/>
      <c r="C542" s="274"/>
      <c r="D542" s="274"/>
      <c r="E542" s="274"/>
      <c r="F542" s="274"/>
      <c r="G542" s="274"/>
      <c r="H542" s="274"/>
      <c r="I542" s="274"/>
      <c r="J542" s="274"/>
      <c r="K542" s="274"/>
      <c r="L542" s="274"/>
      <c r="M542" s="274"/>
      <c r="N542" s="274"/>
      <c r="O542" s="274"/>
      <c r="P542" s="274"/>
      <c r="Q542" s="274"/>
      <c r="R542" s="316"/>
      <c r="W542" s="274"/>
      <c r="X542" s="274"/>
      <c r="Y542" s="274"/>
      <c r="Z542" s="274">
        <v>31.437</v>
      </c>
      <c r="AA542" s="274"/>
      <c r="AB542" s="309">
        <v>3304130.277</v>
      </c>
      <c r="AC542" s="309">
        <v>3362301.585</v>
      </c>
      <c r="AD542" s="274"/>
      <c r="AE542" s="274"/>
      <c r="AF542" s="274"/>
      <c r="AG542" s="274"/>
      <c r="AH542" s="274"/>
      <c r="AI542" s="274"/>
      <c r="AJ542" s="274"/>
      <c r="AK542" s="274"/>
      <c r="AL542" s="274"/>
      <c r="AM542" s="274"/>
      <c r="AN542" s="274"/>
      <c r="AO542" s="274"/>
      <c r="AP542" s="274"/>
      <c r="AQ542" s="274"/>
      <c r="AR542" s="274"/>
      <c r="AS542" s="274"/>
      <c r="AT542" s="274"/>
      <c r="AU542" s="274"/>
      <c r="AV542" s="274"/>
      <c r="AW542" s="274"/>
    </row>
    <row r="543" ht="15.75" customHeight="1">
      <c r="A543" s="274"/>
      <c r="B543" s="274"/>
      <c r="C543" s="274"/>
      <c r="D543" s="274"/>
      <c r="E543" s="274"/>
      <c r="F543" s="274"/>
      <c r="G543" s="274"/>
      <c r="H543" s="274"/>
      <c r="I543" s="274"/>
      <c r="J543" s="274"/>
      <c r="K543" s="274"/>
      <c r="L543" s="274"/>
      <c r="M543" s="274"/>
      <c r="N543" s="274"/>
      <c r="O543" s="274"/>
      <c r="P543" s="274"/>
      <c r="Q543" s="274"/>
      <c r="R543" s="316"/>
      <c r="W543" s="274"/>
      <c r="X543" s="274"/>
      <c r="Y543" s="274"/>
      <c r="Z543" s="274">
        <v>31.5</v>
      </c>
      <c r="AA543" s="274"/>
      <c r="AB543" s="309">
        <v>3408838.631</v>
      </c>
      <c r="AC543" s="309">
        <v>3362301.585</v>
      </c>
      <c r="AD543" s="274"/>
      <c r="AE543" s="274"/>
      <c r="AF543" s="274"/>
      <c r="AG543" s="274"/>
      <c r="AH543" s="274"/>
      <c r="AI543" s="274"/>
      <c r="AJ543" s="274"/>
      <c r="AK543" s="274"/>
      <c r="AL543" s="274"/>
      <c r="AM543" s="274"/>
      <c r="AN543" s="274"/>
      <c r="AO543" s="274"/>
      <c r="AP543" s="274"/>
      <c r="AQ543" s="274"/>
      <c r="AR543" s="274"/>
      <c r="AS543" s="274"/>
      <c r="AT543" s="274"/>
      <c r="AU543" s="274"/>
      <c r="AV543" s="274"/>
      <c r="AW543" s="274"/>
    </row>
    <row r="544" ht="15.75" customHeight="1">
      <c r="A544" s="274"/>
      <c r="B544" s="274"/>
      <c r="C544" s="274"/>
      <c r="D544" s="274"/>
      <c r="E544" s="274"/>
      <c r="F544" s="274"/>
      <c r="G544" s="274"/>
      <c r="H544" s="274"/>
      <c r="I544" s="274"/>
      <c r="J544" s="274"/>
      <c r="K544" s="274"/>
      <c r="L544" s="274"/>
      <c r="M544" s="274"/>
      <c r="N544" s="274"/>
      <c r="O544" s="274"/>
      <c r="P544" s="274"/>
      <c r="Q544" s="274"/>
      <c r="R544" s="316"/>
      <c r="W544" s="274"/>
      <c r="X544" s="274"/>
      <c r="Y544" s="274"/>
      <c r="Z544" s="274">
        <v>31.562</v>
      </c>
      <c r="AA544" s="274"/>
      <c r="AB544" s="309">
        <v>3408838.631</v>
      </c>
      <c r="AC544" s="309">
        <v>3362301.585</v>
      </c>
      <c r="AD544" s="274"/>
      <c r="AE544" s="274"/>
      <c r="AF544" s="274"/>
      <c r="AG544" s="274"/>
      <c r="AH544" s="274"/>
      <c r="AI544" s="274"/>
      <c r="AJ544" s="274"/>
      <c r="AK544" s="274"/>
      <c r="AL544" s="274"/>
      <c r="AM544" s="274"/>
      <c r="AN544" s="274"/>
      <c r="AO544" s="274"/>
      <c r="AP544" s="274"/>
      <c r="AQ544" s="274"/>
      <c r="AR544" s="274"/>
      <c r="AS544" s="274"/>
      <c r="AT544" s="274"/>
      <c r="AU544" s="274"/>
      <c r="AV544" s="274"/>
      <c r="AW544" s="274"/>
    </row>
    <row r="545" ht="15.75" customHeight="1">
      <c r="A545" s="274"/>
      <c r="B545" s="274"/>
      <c r="C545" s="274"/>
      <c r="D545" s="274"/>
      <c r="E545" s="274"/>
      <c r="F545" s="274"/>
      <c r="G545" s="274"/>
      <c r="H545" s="274"/>
      <c r="I545" s="274"/>
      <c r="J545" s="274"/>
      <c r="K545" s="274"/>
      <c r="L545" s="274"/>
      <c r="M545" s="274"/>
      <c r="N545" s="274"/>
      <c r="O545" s="274"/>
      <c r="P545" s="274"/>
      <c r="Q545" s="274"/>
      <c r="R545" s="316"/>
      <c r="W545" s="274"/>
      <c r="X545" s="274"/>
      <c r="Y545" s="274"/>
      <c r="Z545" s="274">
        <v>31.625</v>
      </c>
      <c r="AA545" s="274"/>
      <c r="AB545" s="309">
        <v>3455375.677</v>
      </c>
      <c r="AC545" s="309">
        <v>3362301.585</v>
      </c>
      <c r="AD545" s="274"/>
      <c r="AE545" s="274"/>
      <c r="AF545" s="274"/>
      <c r="AG545" s="274"/>
      <c r="AH545" s="274"/>
      <c r="AI545" s="274"/>
      <c r="AJ545" s="274"/>
      <c r="AK545" s="274"/>
      <c r="AL545" s="274"/>
      <c r="AM545" s="274"/>
      <c r="AN545" s="274"/>
      <c r="AO545" s="274"/>
      <c r="AP545" s="274"/>
      <c r="AQ545" s="274"/>
      <c r="AR545" s="274"/>
      <c r="AS545" s="274"/>
      <c r="AT545" s="274"/>
      <c r="AU545" s="274"/>
      <c r="AV545" s="274"/>
      <c r="AW545" s="274"/>
    </row>
    <row r="546" ht="15.75" customHeight="1">
      <c r="A546" s="274"/>
      <c r="B546" s="274"/>
      <c r="C546" s="274"/>
      <c r="D546" s="274"/>
      <c r="E546" s="274"/>
      <c r="F546" s="274"/>
      <c r="G546" s="274"/>
      <c r="H546" s="274"/>
      <c r="I546" s="274"/>
      <c r="J546" s="274"/>
      <c r="K546" s="274"/>
      <c r="L546" s="274"/>
      <c r="M546" s="274"/>
      <c r="N546" s="274"/>
      <c r="O546" s="274"/>
      <c r="P546" s="274"/>
      <c r="Q546" s="274"/>
      <c r="R546" s="316"/>
      <c r="W546" s="274"/>
      <c r="X546" s="274"/>
      <c r="Y546" s="274"/>
      <c r="Z546" s="274">
        <v>31.687</v>
      </c>
      <c r="AA546" s="274"/>
      <c r="AB546" s="309">
        <v>3455375.677</v>
      </c>
      <c r="AC546" s="309">
        <v>3362301.585</v>
      </c>
      <c r="AD546" s="274"/>
      <c r="AE546" s="274"/>
      <c r="AF546" s="274"/>
      <c r="AG546" s="274"/>
      <c r="AH546" s="274"/>
      <c r="AI546" s="274"/>
      <c r="AJ546" s="274"/>
      <c r="AK546" s="274"/>
      <c r="AL546" s="274"/>
      <c r="AM546" s="274"/>
      <c r="AN546" s="274"/>
      <c r="AO546" s="274"/>
      <c r="AP546" s="274"/>
      <c r="AQ546" s="274"/>
      <c r="AR546" s="274"/>
      <c r="AS546" s="274"/>
      <c r="AT546" s="274"/>
      <c r="AU546" s="274"/>
      <c r="AV546" s="274"/>
      <c r="AW546" s="274"/>
    </row>
    <row r="547" ht="15.75" customHeight="1">
      <c r="A547" s="274"/>
      <c r="B547" s="274"/>
      <c r="C547" s="274"/>
      <c r="D547" s="274"/>
      <c r="E547" s="274"/>
      <c r="F547" s="274"/>
      <c r="G547" s="274"/>
      <c r="H547" s="274"/>
      <c r="I547" s="274"/>
      <c r="J547" s="274"/>
      <c r="K547" s="274"/>
      <c r="L547" s="274"/>
      <c r="M547" s="274"/>
      <c r="N547" s="274"/>
      <c r="O547" s="274"/>
      <c r="P547" s="274"/>
      <c r="Q547" s="274"/>
      <c r="R547" s="316"/>
      <c r="W547" s="274"/>
      <c r="X547" s="274"/>
      <c r="Y547" s="274"/>
      <c r="Z547" s="274">
        <v>31.75</v>
      </c>
      <c r="AA547" s="274"/>
      <c r="AB547" s="309">
        <v>3455375.677</v>
      </c>
      <c r="AC547" s="309">
        <v>3408838.631</v>
      </c>
      <c r="AD547" s="274"/>
      <c r="AE547" s="274"/>
      <c r="AF547" s="274"/>
      <c r="AG547" s="274"/>
      <c r="AH547" s="274"/>
      <c r="AI547" s="274"/>
      <c r="AJ547" s="274"/>
      <c r="AK547" s="274"/>
      <c r="AL547" s="274"/>
      <c r="AM547" s="274"/>
      <c r="AN547" s="274"/>
      <c r="AO547" s="274"/>
      <c r="AP547" s="274"/>
      <c r="AQ547" s="274"/>
      <c r="AR547" s="274"/>
      <c r="AS547" s="274"/>
      <c r="AT547" s="274"/>
      <c r="AU547" s="274"/>
      <c r="AV547" s="274"/>
      <c r="AW547" s="274"/>
    </row>
    <row r="548" ht="15.75" customHeight="1">
      <c r="A548" s="274"/>
      <c r="B548" s="274"/>
      <c r="C548" s="274"/>
      <c r="D548" s="274"/>
      <c r="E548" s="274"/>
      <c r="F548" s="274"/>
      <c r="G548" s="274"/>
      <c r="H548" s="274"/>
      <c r="I548" s="274"/>
      <c r="J548" s="274"/>
      <c r="K548" s="274"/>
      <c r="L548" s="274"/>
      <c r="M548" s="274"/>
      <c r="N548" s="274"/>
      <c r="O548" s="274"/>
      <c r="P548" s="274"/>
      <c r="Q548" s="274"/>
      <c r="R548" s="316"/>
      <c r="W548" s="274"/>
      <c r="X548" s="274"/>
      <c r="Y548" s="274"/>
      <c r="Z548" s="274">
        <v>31.812</v>
      </c>
      <c r="AA548" s="274"/>
      <c r="AB548" s="309">
        <v>3455375.677</v>
      </c>
      <c r="AC548" s="309">
        <v>3408838.631</v>
      </c>
      <c r="AD548" s="274"/>
      <c r="AE548" s="274"/>
      <c r="AF548" s="274"/>
      <c r="AG548" s="274"/>
      <c r="AH548" s="274"/>
      <c r="AI548" s="274"/>
      <c r="AJ548" s="274"/>
      <c r="AK548" s="274"/>
      <c r="AL548" s="274"/>
      <c r="AM548" s="274"/>
      <c r="AN548" s="274"/>
      <c r="AO548" s="274"/>
      <c r="AP548" s="274"/>
      <c r="AQ548" s="274"/>
      <c r="AR548" s="274"/>
      <c r="AS548" s="274"/>
      <c r="AT548" s="274"/>
      <c r="AU548" s="274"/>
      <c r="AV548" s="274"/>
      <c r="AW548" s="274"/>
    </row>
    <row r="549" ht="15.75" customHeight="1">
      <c r="A549" s="274"/>
      <c r="B549" s="274"/>
      <c r="C549" s="274"/>
      <c r="D549" s="274"/>
      <c r="E549" s="274"/>
      <c r="F549" s="274"/>
      <c r="G549" s="274"/>
      <c r="H549" s="274"/>
      <c r="I549" s="274"/>
      <c r="J549" s="274"/>
      <c r="K549" s="274"/>
      <c r="L549" s="274"/>
      <c r="M549" s="274"/>
      <c r="N549" s="274"/>
      <c r="O549" s="274"/>
      <c r="P549" s="274"/>
      <c r="Q549" s="274"/>
      <c r="R549" s="316"/>
      <c r="W549" s="274"/>
      <c r="X549" s="274"/>
      <c r="Y549" s="274"/>
      <c r="Z549" s="274">
        <v>31.875</v>
      </c>
      <c r="AA549" s="274"/>
      <c r="AB549" s="309">
        <v>3455375.677</v>
      </c>
      <c r="AC549" s="309">
        <v>3467009.938</v>
      </c>
      <c r="AD549" s="274"/>
      <c r="AE549" s="274"/>
      <c r="AF549" s="274"/>
      <c r="AG549" s="274"/>
      <c r="AH549" s="274"/>
      <c r="AI549" s="274"/>
      <c r="AJ549" s="274"/>
      <c r="AK549" s="274"/>
      <c r="AL549" s="274"/>
      <c r="AM549" s="274"/>
      <c r="AN549" s="274"/>
      <c r="AO549" s="274"/>
      <c r="AP549" s="274"/>
      <c r="AQ549" s="274"/>
      <c r="AR549" s="274"/>
      <c r="AS549" s="274"/>
      <c r="AT549" s="274"/>
      <c r="AU549" s="274"/>
      <c r="AV549" s="274"/>
      <c r="AW549" s="274"/>
    </row>
    <row r="550" ht="15.75" customHeight="1">
      <c r="A550" s="274"/>
      <c r="B550" s="274"/>
      <c r="C550" s="274"/>
      <c r="D550" s="274"/>
      <c r="E550" s="274"/>
      <c r="F550" s="274"/>
      <c r="G550" s="274"/>
      <c r="H550" s="274"/>
      <c r="I550" s="274"/>
      <c r="J550" s="274"/>
      <c r="K550" s="274"/>
      <c r="L550" s="274"/>
      <c r="M550" s="274"/>
      <c r="N550" s="274"/>
      <c r="O550" s="274"/>
      <c r="P550" s="274"/>
      <c r="Q550" s="274"/>
      <c r="R550" s="316"/>
      <c r="W550" s="274"/>
      <c r="X550" s="274"/>
      <c r="Y550" s="274"/>
      <c r="Z550" s="274">
        <v>31.937</v>
      </c>
      <c r="AA550" s="274"/>
      <c r="AB550" s="309">
        <v>3455375.677</v>
      </c>
      <c r="AC550" s="309">
        <v>3467009.938</v>
      </c>
      <c r="AD550" s="274"/>
      <c r="AE550" s="274"/>
      <c r="AF550" s="274"/>
      <c r="AG550" s="274"/>
      <c r="AH550" s="274"/>
      <c r="AI550" s="274"/>
      <c r="AJ550" s="274"/>
      <c r="AK550" s="274"/>
      <c r="AL550" s="274"/>
      <c r="AM550" s="274"/>
      <c r="AN550" s="274"/>
      <c r="AO550" s="274"/>
      <c r="AP550" s="274"/>
      <c r="AQ550" s="274"/>
      <c r="AR550" s="274"/>
      <c r="AS550" s="274"/>
      <c r="AT550" s="274"/>
      <c r="AU550" s="274"/>
      <c r="AV550" s="274"/>
      <c r="AW550" s="274"/>
    </row>
    <row r="551" ht="15.75" customHeight="1">
      <c r="A551" s="274"/>
      <c r="B551" s="274"/>
      <c r="C551" s="274"/>
      <c r="D551" s="274"/>
      <c r="E551" s="274"/>
      <c r="F551" s="274"/>
      <c r="G551" s="274"/>
      <c r="H551" s="274"/>
      <c r="I551" s="274"/>
      <c r="J551" s="274"/>
      <c r="K551" s="274"/>
      <c r="L551" s="274"/>
      <c r="M551" s="274"/>
      <c r="N551" s="274"/>
      <c r="O551" s="274"/>
      <c r="P551" s="274"/>
      <c r="Q551" s="274"/>
      <c r="R551" s="316"/>
      <c r="W551" s="274"/>
      <c r="X551" s="274"/>
      <c r="Y551" s="274"/>
      <c r="Z551" s="274">
        <v>32.0</v>
      </c>
      <c r="AA551" s="274"/>
      <c r="AB551" s="309">
        <v>3467009.938</v>
      </c>
      <c r="AC551" s="309">
        <v>3467009.938</v>
      </c>
      <c r="AD551" s="274"/>
      <c r="AE551" s="274"/>
      <c r="AF551" s="274"/>
      <c r="AG551" s="274"/>
      <c r="AH551" s="274"/>
      <c r="AI551" s="274"/>
      <c r="AJ551" s="274"/>
      <c r="AK551" s="274"/>
      <c r="AL551" s="274"/>
      <c r="AM551" s="274"/>
      <c r="AN551" s="274"/>
      <c r="AO551" s="274"/>
      <c r="AP551" s="274"/>
      <c r="AQ551" s="274"/>
      <c r="AR551" s="274"/>
      <c r="AS551" s="274"/>
      <c r="AT551" s="274"/>
      <c r="AU551" s="274"/>
      <c r="AV551" s="274"/>
      <c r="AW551" s="274"/>
    </row>
    <row r="552" ht="15.75" customHeight="1">
      <c r="A552" s="274"/>
      <c r="B552" s="274"/>
      <c r="C552" s="274"/>
      <c r="D552" s="274"/>
      <c r="E552" s="274"/>
      <c r="F552" s="274"/>
      <c r="G552" s="274"/>
      <c r="H552" s="274"/>
      <c r="I552" s="274"/>
      <c r="J552" s="274"/>
      <c r="K552" s="274"/>
      <c r="L552" s="274"/>
      <c r="M552" s="274"/>
      <c r="N552" s="274"/>
      <c r="O552" s="274"/>
      <c r="P552" s="274"/>
      <c r="Q552" s="274"/>
      <c r="R552" s="316"/>
      <c r="W552" s="274"/>
      <c r="X552" s="274"/>
      <c r="Y552" s="274"/>
      <c r="Z552" s="274">
        <v>32.062</v>
      </c>
      <c r="AA552" s="274"/>
      <c r="AB552" s="309">
        <v>3467009.938</v>
      </c>
      <c r="AC552" s="309">
        <v>3467009.938</v>
      </c>
      <c r="AD552" s="274"/>
      <c r="AE552" s="274"/>
      <c r="AF552" s="274"/>
      <c r="AG552" s="274"/>
      <c r="AH552" s="274"/>
      <c r="AI552" s="274"/>
      <c r="AJ552" s="274"/>
      <c r="AK552" s="274"/>
      <c r="AL552" s="274"/>
      <c r="AM552" s="274"/>
      <c r="AN552" s="274"/>
      <c r="AO552" s="274"/>
      <c r="AP552" s="274"/>
      <c r="AQ552" s="274"/>
      <c r="AR552" s="274"/>
      <c r="AS552" s="274"/>
      <c r="AT552" s="274"/>
      <c r="AU552" s="274"/>
      <c r="AV552" s="274"/>
      <c r="AW552" s="274"/>
    </row>
    <row r="553" ht="15.75" customHeight="1">
      <c r="A553" s="274"/>
      <c r="B553" s="274"/>
      <c r="C553" s="274"/>
      <c r="D553" s="274"/>
      <c r="E553" s="274"/>
      <c r="F553" s="274"/>
      <c r="G553" s="274"/>
      <c r="H553" s="274"/>
      <c r="I553" s="274"/>
      <c r="J553" s="274"/>
      <c r="K553" s="274"/>
      <c r="L553" s="274"/>
      <c r="M553" s="274"/>
      <c r="N553" s="274"/>
      <c r="O553" s="274"/>
      <c r="P553" s="274"/>
      <c r="Q553" s="274"/>
      <c r="R553" s="316"/>
      <c r="W553" s="274"/>
      <c r="X553" s="274"/>
      <c r="Y553" s="274"/>
      <c r="Z553" s="274">
        <v>32.125</v>
      </c>
      <c r="AA553" s="274"/>
      <c r="AB553" s="309">
        <v>3467009.938</v>
      </c>
      <c r="AC553" s="309">
        <v>3467009.938</v>
      </c>
      <c r="AD553" s="274"/>
      <c r="AE553" s="274"/>
      <c r="AF553" s="274"/>
      <c r="AG553" s="274"/>
      <c r="AH553" s="274"/>
      <c r="AI553" s="274"/>
      <c r="AJ553" s="274"/>
      <c r="AK553" s="274"/>
      <c r="AL553" s="274"/>
      <c r="AM553" s="274"/>
      <c r="AN553" s="274"/>
      <c r="AO553" s="274"/>
      <c r="AP553" s="274"/>
      <c r="AQ553" s="274"/>
      <c r="AR553" s="274"/>
      <c r="AS553" s="274"/>
      <c r="AT553" s="274"/>
      <c r="AU553" s="274"/>
      <c r="AV553" s="274"/>
      <c r="AW553" s="274"/>
    </row>
    <row r="554" ht="15.75" customHeight="1">
      <c r="A554" s="274"/>
      <c r="B554" s="274"/>
      <c r="C554" s="274"/>
      <c r="D554" s="274"/>
      <c r="E554" s="274"/>
      <c r="F554" s="274"/>
      <c r="G554" s="274"/>
      <c r="H554" s="274"/>
      <c r="I554" s="274"/>
      <c r="J554" s="274"/>
      <c r="K554" s="274"/>
      <c r="L554" s="274"/>
      <c r="M554" s="274"/>
      <c r="N554" s="274"/>
      <c r="O554" s="274"/>
      <c r="P554" s="274"/>
      <c r="Q554" s="274"/>
      <c r="R554" s="316"/>
      <c r="W554" s="274"/>
      <c r="X554" s="274"/>
      <c r="Y554" s="274"/>
      <c r="Z554" s="274">
        <v>32.187</v>
      </c>
      <c r="AA554" s="274"/>
      <c r="AB554" s="309">
        <v>3467009.938</v>
      </c>
      <c r="AC554" s="309">
        <v>3467009.938</v>
      </c>
      <c r="AD554" s="274"/>
      <c r="AE554" s="274"/>
      <c r="AF554" s="274"/>
      <c r="AG554" s="274"/>
      <c r="AH554" s="274"/>
      <c r="AI554" s="274"/>
      <c r="AJ554" s="274"/>
      <c r="AK554" s="274"/>
      <c r="AL554" s="274"/>
      <c r="AM554" s="274"/>
      <c r="AN554" s="274"/>
      <c r="AO554" s="274"/>
      <c r="AP554" s="274"/>
      <c r="AQ554" s="274"/>
      <c r="AR554" s="274"/>
      <c r="AS554" s="274"/>
      <c r="AT554" s="274"/>
      <c r="AU554" s="274"/>
      <c r="AV554" s="274"/>
      <c r="AW554" s="274"/>
    </row>
    <row r="555" ht="15.75" customHeight="1">
      <c r="A555" s="274"/>
      <c r="B555" s="274"/>
      <c r="C555" s="274"/>
      <c r="D555" s="274"/>
      <c r="E555" s="274"/>
      <c r="F555" s="274"/>
      <c r="G555" s="274"/>
      <c r="H555" s="274"/>
      <c r="I555" s="274"/>
      <c r="J555" s="274"/>
      <c r="K555" s="274"/>
      <c r="L555" s="274"/>
      <c r="M555" s="274"/>
      <c r="N555" s="274"/>
      <c r="O555" s="274"/>
      <c r="P555" s="274"/>
      <c r="Q555" s="274"/>
      <c r="R555" s="316"/>
      <c r="W555" s="274"/>
      <c r="X555" s="274"/>
      <c r="Y555" s="274"/>
      <c r="Z555" s="274">
        <v>32.25</v>
      </c>
      <c r="AA555" s="274"/>
      <c r="AB555" s="309">
        <v>3467009.938</v>
      </c>
      <c r="AC555" s="309">
        <v>3467009.938</v>
      </c>
      <c r="AD555" s="274"/>
      <c r="AE555" s="274"/>
      <c r="AF555" s="274"/>
      <c r="AG555" s="274"/>
      <c r="AH555" s="274"/>
      <c r="AI555" s="274"/>
      <c r="AJ555" s="274"/>
      <c r="AK555" s="274"/>
      <c r="AL555" s="274"/>
      <c r="AM555" s="274"/>
      <c r="AN555" s="274"/>
      <c r="AO555" s="274"/>
      <c r="AP555" s="274"/>
      <c r="AQ555" s="274"/>
      <c r="AR555" s="274"/>
      <c r="AS555" s="274"/>
      <c r="AT555" s="274"/>
      <c r="AU555" s="274"/>
      <c r="AV555" s="274"/>
      <c r="AW555" s="274"/>
    </row>
    <row r="556" ht="15.75" customHeight="1">
      <c r="A556" s="274"/>
      <c r="B556" s="274"/>
      <c r="C556" s="274"/>
      <c r="D556" s="274"/>
      <c r="E556" s="274"/>
      <c r="F556" s="274"/>
      <c r="G556" s="274"/>
      <c r="H556" s="274"/>
      <c r="I556" s="274"/>
      <c r="J556" s="274"/>
      <c r="K556" s="274"/>
      <c r="L556" s="274"/>
      <c r="M556" s="274"/>
      <c r="N556" s="274"/>
      <c r="O556" s="274"/>
      <c r="P556" s="274"/>
      <c r="Q556" s="274"/>
      <c r="R556" s="316"/>
      <c r="W556" s="274"/>
      <c r="X556" s="274"/>
      <c r="Y556" s="274"/>
      <c r="Z556" s="274">
        <v>32.312</v>
      </c>
      <c r="AA556" s="274"/>
      <c r="AB556" s="309">
        <v>3467009.938</v>
      </c>
      <c r="AC556" s="309">
        <v>3467009.938</v>
      </c>
      <c r="AD556" s="274"/>
      <c r="AE556" s="274"/>
      <c r="AF556" s="274"/>
      <c r="AG556" s="274"/>
      <c r="AH556" s="274"/>
      <c r="AI556" s="274"/>
      <c r="AJ556" s="274"/>
      <c r="AK556" s="274"/>
      <c r="AL556" s="274"/>
      <c r="AM556" s="274"/>
      <c r="AN556" s="274"/>
      <c r="AO556" s="274"/>
      <c r="AP556" s="274"/>
      <c r="AQ556" s="274"/>
      <c r="AR556" s="274"/>
      <c r="AS556" s="274"/>
      <c r="AT556" s="274"/>
      <c r="AU556" s="274"/>
      <c r="AV556" s="274"/>
      <c r="AW556" s="274"/>
    </row>
    <row r="557" ht="15.75" customHeight="1">
      <c r="A557" s="274"/>
      <c r="B557" s="274"/>
      <c r="C557" s="274"/>
      <c r="D557" s="274"/>
      <c r="E557" s="274"/>
      <c r="F557" s="274"/>
      <c r="G557" s="274"/>
      <c r="H557" s="274"/>
      <c r="I557" s="274"/>
      <c r="J557" s="274"/>
      <c r="K557" s="274"/>
      <c r="L557" s="274"/>
      <c r="M557" s="274"/>
      <c r="N557" s="274"/>
      <c r="O557" s="274"/>
      <c r="P557" s="274"/>
      <c r="Q557" s="274"/>
      <c r="R557" s="316"/>
      <c r="W557" s="274"/>
      <c r="X557" s="274"/>
      <c r="Y557" s="274"/>
      <c r="Z557" s="274">
        <v>32.375</v>
      </c>
      <c r="AA557" s="274"/>
      <c r="AB557" s="309">
        <v>3467009.938</v>
      </c>
      <c r="AC557" s="309">
        <v>3467009.938</v>
      </c>
      <c r="AD557" s="274"/>
      <c r="AE557" s="274"/>
      <c r="AF557" s="274"/>
      <c r="AG557" s="274"/>
      <c r="AH557" s="274"/>
      <c r="AI557" s="274"/>
      <c r="AJ557" s="274"/>
      <c r="AK557" s="274"/>
      <c r="AL557" s="274"/>
      <c r="AM557" s="274"/>
      <c r="AN557" s="274"/>
      <c r="AO557" s="274"/>
      <c r="AP557" s="274"/>
      <c r="AQ557" s="274"/>
      <c r="AR557" s="274"/>
      <c r="AS557" s="274"/>
      <c r="AT557" s="274"/>
      <c r="AU557" s="274"/>
      <c r="AV557" s="274"/>
      <c r="AW557" s="274"/>
    </row>
    <row r="558" ht="15.75" customHeight="1">
      <c r="A558" s="274"/>
      <c r="B558" s="274"/>
      <c r="C558" s="274"/>
      <c r="D558" s="274"/>
      <c r="E558" s="274"/>
      <c r="F558" s="274"/>
      <c r="G558" s="274"/>
      <c r="H558" s="274"/>
      <c r="I558" s="274"/>
      <c r="J558" s="274"/>
      <c r="K558" s="274"/>
      <c r="L558" s="274"/>
      <c r="M558" s="274"/>
      <c r="N558" s="274"/>
      <c r="O558" s="274"/>
      <c r="P558" s="274"/>
      <c r="Q558" s="274"/>
      <c r="R558" s="316"/>
      <c r="W558" s="274"/>
      <c r="X558" s="274"/>
      <c r="Y558" s="274"/>
      <c r="Z558" s="274">
        <v>32.437</v>
      </c>
      <c r="AA558" s="274"/>
      <c r="AB558" s="309">
        <v>3467009.938</v>
      </c>
      <c r="AC558" s="309">
        <v>3467009.938</v>
      </c>
      <c r="AD558" s="274"/>
      <c r="AE558" s="274"/>
      <c r="AF558" s="274"/>
      <c r="AG558" s="274"/>
      <c r="AH558" s="274"/>
      <c r="AI558" s="274"/>
      <c r="AJ558" s="274"/>
      <c r="AK558" s="274"/>
      <c r="AL558" s="274"/>
      <c r="AM558" s="274"/>
      <c r="AN558" s="274"/>
      <c r="AO558" s="274"/>
      <c r="AP558" s="274"/>
      <c r="AQ558" s="274"/>
      <c r="AR558" s="274"/>
      <c r="AS558" s="274"/>
      <c r="AT558" s="274"/>
      <c r="AU558" s="274"/>
      <c r="AV558" s="274"/>
      <c r="AW558" s="274"/>
    </row>
    <row r="559" ht="15.75" customHeight="1">
      <c r="A559" s="274"/>
      <c r="B559" s="274"/>
      <c r="C559" s="274"/>
      <c r="D559" s="274"/>
      <c r="E559" s="274"/>
      <c r="F559" s="274"/>
      <c r="G559" s="274"/>
      <c r="H559" s="274"/>
      <c r="I559" s="274"/>
      <c r="J559" s="274"/>
      <c r="K559" s="274"/>
      <c r="L559" s="274"/>
      <c r="M559" s="274"/>
      <c r="N559" s="274"/>
      <c r="O559" s="274"/>
      <c r="P559" s="274"/>
      <c r="Q559" s="274"/>
      <c r="R559" s="316"/>
      <c r="W559" s="274"/>
      <c r="X559" s="274"/>
      <c r="Y559" s="274"/>
      <c r="Z559" s="274">
        <v>32.5</v>
      </c>
      <c r="AA559" s="274"/>
      <c r="AB559" s="309">
        <v>3467009.938</v>
      </c>
      <c r="AC559" s="309">
        <v>3467009.938</v>
      </c>
      <c r="AD559" s="274"/>
      <c r="AE559" s="274"/>
      <c r="AF559" s="274"/>
      <c r="AG559" s="274"/>
      <c r="AH559" s="274"/>
      <c r="AI559" s="274"/>
      <c r="AJ559" s="274"/>
      <c r="AK559" s="274"/>
      <c r="AL559" s="274"/>
      <c r="AM559" s="274"/>
      <c r="AN559" s="274"/>
      <c r="AO559" s="274"/>
      <c r="AP559" s="274"/>
      <c r="AQ559" s="274"/>
      <c r="AR559" s="274"/>
      <c r="AS559" s="274"/>
      <c r="AT559" s="274"/>
      <c r="AU559" s="274"/>
      <c r="AV559" s="274"/>
      <c r="AW559" s="274"/>
    </row>
    <row r="560" ht="15.75" customHeight="1">
      <c r="A560" s="274"/>
      <c r="B560" s="274"/>
      <c r="C560" s="274"/>
      <c r="D560" s="274"/>
      <c r="E560" s="274"/>
      <c r="F560" s="274"/>
      <c r="G560" s="274"/>
      <c r="H560" s="274"/>
      <c r="I560" s="274"/>
      <c r="J560" s="274"/>
      <c r="K560" s="274"/>
      <c r="L560" s="274"/>
      <c r="M560" s="274"/>
      <c r="N560" s="274"/>
      <c r="O560" s="274"/>
      <c r="P560" s="274"/>
      <c r="Q560" s="274"/>
      <c r="R560" s="316"/>
      <c r="W560" s="274"/>
      <c r="X560" s="274"/>
      <c r="Y560" s="274"/>
      <c r="Z560" s="274">
        <v>32.562</v>
      </c>
      <c r="AA560" s="274"/>
      <c r="AB560" s="309">
        <v>3467009.938</v>
      </c>
      <c r="AC560" s="309">
        <v>3513546.985</v>
      </c>
      <c r="AD560" s="274"/>
      <c r="AE560" s="274"/>
      <c r="AF560" s="274"/>
      <c r="AG560" s="274"/>
      <c r="AH560" s="274"/>
      <c r="AI560" s="274"/>
      <c r="AJ560" s="274"/>
      <c r="AK560" s="274"/>
      <c r="AL560" s="274"/>
      <c r="AM560" s="274"/>
      <c r="AN560" s="274"/>
      <c r="AO560" s="274"/>
      <c r="AP560" s="274"/>
      <c r="AQ560" s="274"/>
      <c r="AR560" s="274"/>
      <c r="AS560" s="274"/>
      <c r="AT560" s="274"/>
      <c r="AU560" s="274"/>
      <c r="AV560" s="274"/>
      <c r="AW560" s="274"/>
    </row>
    <row r="561" ht="15.75" customHeight="1">
      <c r="A561" s="274"/>
      <c r="B561" s="274"/>
      <c r="C561" s="274"/>
      <c r="D561" s="274"/>
      <c r="E561" s="274"/>
      <c r="F561" s="274"/>
      <c r="G561" s="274"/>
      <c r="H561" s="274"/>
      <c r="I561" s="274"/>
      <c r="J561" s="274"/>
      <c r="K561" s="274"/>
      <c r="L561" s="274"/>
      <c r="M561" s="274"/>
      <c r="N561" s="274"/>
      <c r="O561" s="274"/>
      <c r="P561" s="274"/>
      <c r="Q561" s="274"/>
      <c r="R561" s="316"/>
      <c r="W561" s="274"/>
      <c r="X561" s="274"/>
      <c r="Y561" s="274"/>
      <c r="Z561" s="274">
        <v>32.625</v>
      </c>
      <c r="AA561" s="274"/>
      <c r="AB561" s="309">
        <v>3467009.938</v>
      </c>
      <c r="AC561" s="309">
        <v>3513546.985</v>
      </c>
      <c r="AD561" s="274"/>
      <c r="AE561" s="274"/>
      <c r="AF561" s="274"/>
      <c r="AG561" s="274"/>
      <c r="AH561" s="274"/>
      <c r="AI561" s="274"/>
      <c r="AJ561" s="274"/>
      <c r="AK561" s="274"/>
      <c r="AL561" s="274"/>
      <c r="AM561" s="274"/>
      <c r="AN561" s="274"/>
      <c r="AO561" s="274"/>
      <c r="AP561" s="274"/>
      <c r="AQ561" s="274"/>
      <c r="AR561" s="274"/>
      <c r="AS561" s="274"/>
      <c r="AT561" s="274"/>
      <c r="AU561" s="274"/>
      <c r="AV561" s="274"/>
      <c r="AW561" s="274"/>
    </row>
    <row r="562" ht="15.75" customHeight="1">
      <c r="A562" s="274"/>
      <c r="B562" s="274"/>
      <c r="C562" s="274"/>
      <c r="D562" s="274"/>
      <c r="E562" s="274"/>
      <c r="F562" s="274"/>
      <c r="G562" s="274"/>
      <c r="H562" s="274"/>
      <c r="I562" s="274"/>
      <c r="J562" s="274"/>
      <c r="K562" s="274"/>
      <c r="L562" s="274"/>
      <c r="M562" s="274"/>
      <c r="N562" s="274"/>
      <c r="O562" s="274"/>
      <c r="P562" s="274"/>
      <c r="Q562" s="274"/>
      <c r="R562" s="316"/>
      <c r="W562" s="274"/>
      <c r="X562" s="274"/>
      <c r="Y562" s="274"/>
      <c r="Z562" s="274">
        <v>32.687</v>
      </c>
      <c r="AA562" s="274"/>
      <c r="AB562" s="309">
        <v>3467009.938</v>
      </c>
      <c r="AC562" s="309">
        <v>3513546.985</v>
      </c>
      <c r="AD562" s="274"/>
      <c r="AE562" s="274"/>
      <c r="AF562" s="274"/>
      <c r="AG562" s="274"/>
      <c r="AH562" s="274"/>
      <c r="AI562" s="274"/>
      <c r="AJ562" s="274"/>
      <c r="AK562" s="274"/>
      <c r="AL562" s="274"/>
      <c r="AM562" s="274"/>
      <c r="AN562" s="274"/>
      <c r="AO562" s="274"/>
      <c r="AP562" s="274"/>
      <c r="AQ562" s="274"/>
      <c r="AR562" s="274"/>
      <c r="AS562" s="274"/>
      <c r="AT562" s="274"/>
      <c r="AU562" s="274"/>
      <c r="AV562" s="274"/>
      <c r="AW562" s="274"/>
    </row>
    <row r="563" ht="15.75" customHeight="1">
      <c r="A563" s="274"/>
      <c r="B563" s="274"/>
      <c r="C563" s="274"/>
      <c r="D563" s="274"/>
      <c r="E563" s="274"/>
      <c r="F563" s="274"/>
      <c r="G563" s="274"/>
      <c r="H563" s="274"/>
      <c r="I563" s="274"/>
      <c r="J563" s="274"/>
      <c r="K563" s="274"/>
      <c r="L563" s="274"/>
      <c r="M563" s="274"/>
      <c r="N563" s="274"/>
      <c r="O563" s="274"/>
      <c r="P563" s="274"/>
      <c r="Q563" s="274"/>
      <c r="R563" s="316"/>
      <c r="W563" s="274"/>
      <c r="X563" s="274"/>
      <c r="Y563" s="274"/>
      <c r="Z563" s="274">
        <v>32.75</v>
      </c>
      <c r="AA563" s="274"/>
      <c r="AB563" s="309">
        <v>3467009.938</v>
      </c>
      <c r="AC563" s="309">
        <v>3513546.985</v>
      </c>
      <c r="AD563" s="274"/>
      <c r="AE563" s="274"/>
      <c r="AF563" s="274"/>
      <c r="AG563" s="274"/>
      <c r="AH563" s="274"/>
      <c r="AI563" s="274"/>
      <c r="AJ563" s="274"/>
      <c r="AK563" s="274"/>
      <c r="AL563" s="274"/>
      <c r="AM563" s="274"/>
      <c r="AN563" s="274"/>
      <c r="AO563" s="274"/>
      <c r="AP563" s="274"/>
      <c r="AQ563" s="274"/>
      <c r="AR563" s="274"/>
      <c r="AS563" s="274"/>
      <c r="AT563" s="274"/>
      <c r="AU563" s="274"/>
      <c r="AV563" s="274"/>
      <c r="AW563" s="274"/>
    </row>
    <row r="564" ht="15.75" customHeight="1">
      <c r="A564" s="274"/>
      <c r="B564" s="274"/>
      <c r="C564" s="274"/>
      <c r="D564" s="274"/>
      <c r="E564" s="274"/>
      <c r="F564" s="274"/>
      <c r="G564" s="274"/>
      <c r="H564" s="274"/>
      <c r="I564" s="274"/>
      <c r="J564" s="274"/>
      <c r="K564" s="274"/>
      <c r="L564" s="274"/>
      <c r="M564" s="274"/>
      <c r="N564" s="274"/>
      <c r="O564" s="274"/>
      <c r="P564" s="274"/>
      <c r="Q564" s="274"/>
      <c r="R564" s="316"/>
      <c r="W564" s="274"/>
      <c r="X564" s="274"/>
      <c r="Y564" s="274"/>
      <c r="Z564" s="274">
        <v>32.812</v>
      </c>
      <c r="AA564" s="274"/>
      <c r="AB564" s="309">
        <v>3467009.938</v>
      </c>
      <c r="AC564" s="309">
        <v>3560084.031</v>
      </c>
      <c r="AD564" s="274"/>
      <c r="AE564" s="274"/>
      <c r="AF564" s="274"/>
      <c r="AG564" s="274"/>
      <c r="AH564" s="274"/>
      <c r="AI564" s="274"/>
      <c r="AJ564" s="274"/>
      <c r="AK564" s="274"/>
      <c r="AL564" s="274"/>
      <c r="AM564" s="274"/>
      <c r="AN564" s="274"/>
      <c r="AO564" s="274"/>
      <c r="AP564" s="274"/>
      <c r="AQ564" s="274"/>
      <c r="AR564" s="274"/>
      <c r="AS564" s="274"/>
      <c r="AT564" s="274"/>
      <c r="AU564" s="274"/>
      <c r="AV564" s="274"/>
      <c r="AW564" s="274"/>
    </row>
    <row r="565" ht="15.75" customHeight="1">
      <c r="A565" s="274"/>
      <c r="B565" s="274"/>
      <c r="C565" s="274"/>
      <c r="D565" s="274"/>
      <c r="E565" s="274"/>
      <c r="F565" s="274"/>
      <c r="G565" s="274"/>
      <c r="H565" s="274"/>
      <c r="I565" s="274"/>
      <c r="J565" s="274"/>
      <c r="K565" s="274"/>
      <c r="L565" s="274"/>
      <c r="M565" s="274"/>
      <c r="N565" s="274"/>
      <c r="O565" s="274"/>
      <c r="P565" s="274"/>
      <c r="Q565" s="274"/>
      <c r="R565" s="316"/>
      <c r="W565" s="274"/>
      <c r="X565" s="274"/>
      <c r="Y565" s="274"/>
      <c r="Z565" s="274">
        <v>32.875</v>
      </c>
      <c r="AA565" s="274"/>
      <c r="AB565" s="309">
        <v>3467009.938</v>
      </c>
      <c r="AC565" s="309">
        <v>3560084.031</v>
      </c>
      <c r="AD565" s="274"/>
      <c r="AE565" s="274"/>
      <c r="AF565" s="274"/>
      <c r="AG565" s="274"/>
      <c r="AH565" s="274"/>
      <c r="AI565" s="274"/>
      <c r="AJ565" s="274"/>
      <c r="AK565" s="274"/>
      <c r="AL565" s="274"/>
      <c r="AM565" s="274"/>
      <c r="AN565" s="274"/>
      <c r="AO565" s="274"/>
      <c r="AP565" s="274"/>
      <c r="AQ565" s="274"/>
      <c r="AR565" s="274"/>
      <c r="AS565" s="274"/>
      <c r="AT565" s="274"/>
      <c r="AU565" s="274"/>
      <c r="AV565" s="274"/>
      <c r="AW565" s="274"/>
    </row>
    <row r="566" ht="15.75" customHeight="1">
      <c r="A566" s="274"/>
      <c r="B566" s="274"/>
      <c r="C566" s="274"/>
      <c r="D566" s="274"/>
      <c r="E566" s="274"/>
      <c r="F566" s="274"/>
      <c r="G566" s="274"/>
      <c r="H566" s="274"/>
      <c r="I566" s="274"/>
      <c r="J566" s="274"/>
      <c r="K566" s="274"/>
      <c r="L566" s="274"/>
      <c r="M566" s="274"/>
      <c r="N566" s="274"/>
      <c r="O566" s="274"/>
      <c r="P566" s="274"/>
      <c r="Q566" s="274"/>
      <c r="R566" s="316"/>
      <c r="W566" s="274"/>
      <c r="X566" s="274"/>
      <c r="Y566" s="274"/>
      <c r="Z566" s="274">
        <v>32.937</v>
      </c>
      <c r="AA566" s="274"/>
      <c r="AB566" s="309">
        <v>3467009.938</v>
      </c>
      <c r="AC566" s="309">
        <v>3606621.077</v>
      </c>
      <c r="AD566" s="274"/>
      <c r="AE566" s="274"/>
      <c r="AF566" s="274"/>
      <c r="AG566" s="274"/>
      <c r="AH566" s="274"/>
      <c r="AI566" s="274"/>
      <c r="AJ566" s="274"/>
      <c r="AK566" s="274"/>
      <c r="AL566" s="274"/>
      <c r="AM566" s="274"/>
      <c r="AN566" s="274"/>
      <c r="AO566" s="274"/>
      <c r="AP566" s="274"/>
      <c r="AQ566" s="274"/>
      <c r="AR566" s="274"/>
      <c r="AS566" s="274"/>
      <c r="AT566" s="274"/>
      <c r="AU566" s="274"/>
      <c r="AV566" s="274"/>
      <c r="AW566" s="274"/>
    </row>
    <row r="567" ht="15.75" customHeight="1">
      <c r="A567" s="274"/>
      <c r="B567" s="274"/>
      <c r="C567" s="274"/>
      <c r="D567" s="274"/>
      <c r="E567" s="274"/>
      <c r="F567" s="274"/>
      <c r="G567" s="274"/>
      <c r="H567" s="274"/>
      <c r="I567" s="274"/>
      <c r="J567" s="274"/>
      <c r="K567" s="274"/>
      <c r="L567" s="274"/>
      <c r="M567" s="274"/>
      <c r="N567" s="274"/>
      <c r="O567" s="274"/>
      <c r="P567" s="274"/>
      <c r="Q567" s="274"/>
      <c r="R567" s="316"/>
      <c r="W567" s="274"/>
      <c r="X567" s="274"/>
      <c r="Y567" s="274"/>
      <c r="Z567" s="274">
        <v>33.0</v>
      </c>
      <c r="AA567" s="274"/>
      <c r="AB567" s="309">
        <v>3467009.938</v>
      </c>
      <c r="AC567" s="309">
        <v>3606621.077</v>
      </c>
      <c r="AD567" s="274"/>
      <c r="AE567" s="274"/>
      <c r="AF567" s="274"/>
      <c r="AG567" s="274"/>
      <c r="AH567" s="274"/>
      <c r="AI567" s="274"/>
      <c r="AJ567" s="274"/>
      <c r="AK567" s="274"/>
      <c r="AL567" s="274"/>
      <c r="AM567" s="274"/>
      <c r="AN567" s="274"/>
      <c r="AO567" s="274"/>
      <c r="AP567" s="274"/>
      <c r="AQ567" s="274"/>
      <c r="AR567" s="274"/>
      <c r="AS567" s="274"/>
      <c r="AT567" s="274"/>
      <c r="AU567" s="274"/>
      <c r="AV567" s="274"/>
      <c r="AW567" s="274"/>
    </row>
    <row r="568" ht="15.75" customHeight="1">
      <c r="A568" s="274"/>
      <c r="B568" s="274"/>
      <c r="C568" s="274"/>
      <c r="D568" s="274"/>
      <c r="E568" s="274"/>
      <c r="F568" s="274"/>
      <c r="G568" s="274"/>
      <c r="H568" s="274"/>
      <c r="I568" s="274"/>
      <c r="J568" s="274"/>
      <c r="K568" s="274"/>
      <c r="L568" s="274"/>
      <c r="M568" s="274"/>
      <c r="N568" s="274"/>
      <c r="O568" s="274"/>
      <c r="P568" s="274"/>
      <c r="Q568" s="274"/>
      <c r="R568" s="316"/>
      <c r="W568" s="274"/>
      <c r="X568" s="274"/>
      <c r="Y568" s="274"/>
      <c r="Z568" s="274">
        <v>33.062</v>
      </c>
      <c r="AA568" s="274"/>
      <c r="AB568" s="309">
        <v>3467009.938</v>
      </c>
      <c r="AC568" s="309">
        <v>3606621.077</v>
      </c>
      <c r="AD568" s="274"/>
      <c r="AE568" s="274"/>
      <c r="AF568" s="274"/>
      <c r="AG568" s="274"/>
      <c r="AH568" s="274"/>
      <c r="AI568" s="274"/>
      <c r="AJ568" s="274"/>
      <c r="AK568" s="274"/>
      <c r="AL568" s="274"/>
      <c r="AM568" s="274"/>
      <c r="AN568" s="274"/>
      <c r="AO568" s="274"/>
      <c r="AP568" s="274"/>
      <c r="AQ568" s="274"/>
      <c r="AR568" s="274"/>
      <c r="AS568" s="274"/>
      <c r="AT568" s="274"/>
      <c r="AU568" s="274"/>
      <c r="AV568" s="274"/>
      <c r="AW568" s="274"/>
    </row>
    <row r="569" ht="15.75" customHeight="1">
      <c r="A569" s="274"/>
      <c r="B569" s="274"/>
      <c r="C569" s="274"/>
      <c r="D569" s="274"/>
      <c r="E569" s="274"/>
      <c r="F569" s="274"/>
      <c r="G569" s="274"/>
      <c r="H569" s="274"/>
      <c r="I569" s="274"/>
      <c r="J569" s="274"/>
      <c r="K569" s="274"/>
      <c r="L569" s="274"/>
      <c r="M569" s="274"/>
      <c r="N569" s="274"/>
      <c r="O569" s="274"/>
      <c r="P569" s="274"/>
      <c r="Q569" s="274"/>
      <c r="R569" s="316"/>
      <c r="W569" s="274"/>
      <c r="X569" s="274"/>
      <c r="Y569" s="274"/>
      <c r="Z569" s="274">
        <v>33.125</v>
      </c>
      <c r="AA569" s="274"/>
      <c r="AB569" s="309">
        <v>3467009.938</v>
      </c>
      <c r="AC569" s="309">
        <v>3606621.077</v>
      </c>
      <c r="AD569" s="274"/>
      <c r="AE569" s="274"/>
      <c r="AF569" s="274"/>
      <c r="AG569" s="274"/>
      <c r="AH569" s="274"/>
      <c r="AI569" s="274"/>
      <c r="AJ569" s="274"/>
      <c r="AK569" s="274"/>
      <c r="AL569" s="274"/>
      <c r="AM569" s="274"/>
      <c r="AN569" s="274"/>
      <c r="AO569" s="274"/>
      <c r="AP569" s="274"/>
      <c r="AQ569" s="274"/>
      <c r="AR569" s="274"/>
      <c r="AS569" s="274"/>
      <c r="AT569" s="274"/>
      <c r="AU569" s="274"/>
      <c r="AV569" s="274"/>
      <c r="AW569" s="274"/>
    </row>
    <row r="570" ht="15.75" customHeight="1">
      <c r="A570" s="274"/>
      <c r="B570" s="274"/>
      <c r="C570" s="274"/>
      <c r="D570" s="274"/>
      <c r="E570" s="274"/>
      <c r="F570" s="274"/>
      <c r="G570" s="274"/>
      <c r="H570" s="274"/>
      <c r="I570" s="274"/>
      <c r="J570" s="274"/>
      <c r="K570" s="274"/>
      <c r="L570" s="274"/>
      <c r="M570" s="274"/>
      <c r="N570" s="274"/>
      <c r="O570" s="274"/>
      <c r="P570" s="274"/>
      <c r="Q570" s="274"/>
      <c r="R570" s="316"/>
      <c r="W570" s="274"/>
      <c r="X570" s="274"/>
      <c r="Y570" s="274"/>
      <c r="Z570" s="274">
        <v>33.187</v>
      </c>
      <c r="AA570" s="274"/>
      <c r="AB570" s="309">
        <v>3467009.938</v>
      </c>
      <c r="AC570" s="309">
        <v>3606621.077</v>
      </c>
      <c r="AD570" s="274"/>
      <c r="AE570" s="274"/>
      <c r="AF570" s="274"/>
      <c r="AG570" s="274"/>
      <c r="AH570" s="274"/>
      <c r="AI570" s="274"/>
      <c r="AJ570" s="274"/>
      <c r="AK570" s="274"/>
      <c r="AL570" s="274"/>
      <c r="AM570" s="274"/>
      <c r="AN570" s="274"/>
      <c r="AO570" s="274"/>
      <c r="AP570" s="274"/>
      <c r="AQ570" s="274"/>
      <c r="AR570" s="274"/>
      <c r="AS570" s="274"/>
      <c r="AT570" s="274"/>
      <c r="AU570" s="274"/>
      <c r="AV570" s="274"/>
      <c r="AW570" s="274"/>
    </row>
    <row r="571" ht="15.75" customHeight="1">
      <c r="A571" s="274"/>
      <c r="B571" s="274"/>
      <c r="C571" s="274"/>
      <c r="D571" s="274"/>
      <c r="E571" s="274"/>
      <c r="F571" s="274"/>
      <c r="G571" s="274"/>
      <c r="H571" s="274"/>
      <c r="I571" s="274"/>
      <c r="J571" s="274"/>
      <c r="K571" s="274"/>
      <c r="L571" s="274"/>
      <c r="M571" s="274"/>
      <c r="N571" s="274"/>
      <c r="O571" s="274"/>
      <c r="P571" s="274"/>
      <c r="Q571" s="274"/>
      <c r="R571" s="316"/>
      <c r="W571" s="274"/>
      <c r="X571" s="274"/>
      <c r="Y571" s="274"/>
      <c r="Z571" s="274">
        <v>33.25</v>
      </c>
      <c r="AA571" s="274"/>
      <c r="AB571" s="309">
        <v>3467009.938</v>
      </c>
      <c r="AC571" s="309">
        <v>3606621.077</v>
      </c>
      <c r="AD571" s="274"/>
      <c r="AE571" s="274"/>
      <c r="AF571" s="274"/>
      <c r="AG571" s="274"/>
      <c r="AH571" s="274"/>
      <c r="AI571" s="274"/>
      <c r="AJ571" s="274"/>
      <c r="AK571" s="274"/>
      <c r="AL571" s="274"/>
      <c r="AM571" s="274"/>
      <c r="AN571" s="274"/>
      <c r="AO571" s="274"/>
      <c r="AP571" s="274"/>
      <c r="AQ571" s="274"/>
      <c r="AR571" s="274"/>
      <c r="AS571" s="274"/>
      <c r="AT571" s="274"/>
      <c r="AU571" s="274"/>
      <c r="AV571" s="274"/>
      <c r="AW571" s="274"/>
    </row>
    <row r="572" ht="15.75" customHeight="1">
      <c r="A572" s="274"/>
      <c r="B572" s="274"/>
      <c r="C572" s="274"/>
      <c r="D572" s="274"/>
      <c r="E572" s="274"/>
      <c r="F572" s="274"/>
      <c r="G572" s="274"/>
      <c r="H572" s="274"/>
      <c r="I572" s="274"/>
      <c r="J572" s="274"/>
      <c r="K572" s="274"/>
      <c r="L572" s="274"/>
      <c r="M572" s="274"/>
      <c r="N572" s="274"/>
      <c r="O572" s="274"/>
      <c r="P572" s="274"/>
      <c r="Q572" s="274"/>
      <c r="R572" s="316"/>
      <c r="W572" s="274"/>
      <c r="X572" s="274"/>
      <c r="Y572" s="274"/>
      <c r="Z572" s="274">
        <v>33.312</v>
      </c>
      <c r="AA572" s="274"/>
      <c r="AB572" s="309">
        <v>3467009.938</v>
      </c>
      <c r="AC572" s="309">
        <v>3606621.077</v>
      </c>
      <c r="AD572" s="274"/>
      <c r="AE572" s="274"/>
      <c r="AF572" s="274"/>
      <c r="AG572" s="274"/>
      <c r="AH572" s="274"/>
      <c r="AI572" s="274"/>
      <c r="AJ572" s="274"/>
      <c r="AK572" s="274"/>
      <c r="AL572" s="274"/>
      <c r="AM572" s="274"/>
      <c r="AN572" s="274"/>
      <c r="AO572" s="274"/>
      <c r="AP572" s="274"/>
      <c r="AQ572" s="274"/>
      <c r="AR572" s="274"/>
      <c r="AS572" s="274"/>
      <c r="AT572" s="274"/>
      <c r="AU572" s="274"/>
      <c r="AV572" s="274"/>
      <c r="AW572" s="274"/>
    </row>
    <row r="573" ht="15.75" customHeight="1">
      <c r="A573" s="274"/>
      <c r="B573" s="274"/>
      <c r="C573" s="274"/>
      <c r="D573" s="274"/>
      <c r="E573" s="274"/>
      <c r="F573" s="274"/>
      <c r="G573" s="274"/>
      <c r="H573" s="274"/>
      <c r="I573" s="274"/>
      <c r="J573" s="274"/>
      <c r="K573" s="274"/>
      <c r="L573" s="274"/>
      <c r="M573" s="274"/>
      <c r="N573" s="274"/>
      <c r="O573" s="274"/>
      <c r="P573" s="274"/>
      <c r="Q573" s="274"/>
      <c r="R573" s="316"/>
      <c r="W573" s="274"/>
      <c r="X573" s="274"/>
      <c r="Y573" s="274"/>
      <c r="Z573" s="274">
        <v>33.375</v>
      </c>
      <c r="AA573" s="274"/>
      <c r="AB573" s="309">
        <v>3467009.938</v>
      </c>
      <c r="AC573" s="309">
        <v>3606621.077</v>
      </c>
      <c r="AD573" s="274"/>
      <c r="AE573" s="274"/>
      <c r="AF573" s="274"/>
      <c r="AG573" s="274"/>
      <c r="AH573" s="274"/>
      <c r="AI573" s="274"/>
      <c r="AJ573" s="274"/>
      <c r="AK573" s="274"/>
      <c r="AL573" s="274"/>
      <c r="AM573" s="274"/>
      <c r="AN573" s="274"/>
      <c r="AO573" s="274"/>
      <c r="AP573" s="274"/>
      <c r="AQ573" s="274"/>
      <c r="AR573" s="274"/>
      <c r="AS573" s="274"/>
      <c r="AT573" s="274"/>
      <c r="AU573" s="274"/>
      <c r="AV573" s="274"/>
      <c r="AW573" s="274"/>
    </row>
    <row r="574" ht="15.75" customHeight="1">
      <c r="A574" s="274"/>
      <c r="B574" s="274"/>
      <c r="C574" s="274"/>
      <c r="D574" s="274"/>
      <c r="E574" s="274"/>
      <c r="F574" s="274"/>
      <c r="G574" s="274"/>
      <c r="H574" s="274"/>
      <c r="I574" s="274"/>
      <c r="J574" s="274"/>
      <c r="K574" s="274"/>
      <c r="L574" s="274"/>
      <c r="M574" s="274"/>
      <c r="N574" s="274"/>
      <c r="O574" s="274"/>
      <c r="P574" s="274"/>
      <c r="Q574" s="274"/>
      <c r="R574" s="316"/>
      <c r="W574" s="274"/>
      <c r="X574" s="274"/>
      <c r="Y574" s="274"/>
      <c r="Z574" s="274">
        <v>33.437</v>
      </c>
      <c r="AA574" s="274"/>
      <c r="AB574" s="309">
        <v>3467009.938</v>
      </c>
      <c r="AC574" s="309">
        <v>3606621.077</v>
      </c>
      <c r="AD574" s="274"/>
      <c r="AE574" s="274"/>
      <c r="AF574" s="274"/>
      <c r="AG574" s="274"/>
      <c r="AH574" s="274"/>
      <c r="AI574" s="274"/>
      <c r="AJ574" s="274"/>
      <c r="AK574" s="274"/>
      <c r="AL574" s="274"/>
      <c r="AM574" s="274"/>
      <c r="AN574" s="274"/>
      <c r="AO574" s="274"/>
      <c r="AP574" s="274"/>
      <c r="AQ574" s="274"/>
      <c r="AR574" s="274"/>
      <c r="AS574" s="274"/>
      <c r="AT574" s="274"/>
      <c r="AU574" s="274"/>
      <c r="AV574" s="274"/>
      <c r="AW574" s="274"/>
    </row>
    <row r="575" ht="15.75" customHeight="1">
      <c r="A575" s="274"/>
      <c r="B575" s="274"/>
      <c r="C575" s="274"/>
      <c r="D575" s="274"/>
      <c r="E575" s="274"/>
      <c r="F575" s="274"/>
      <c r="G575" s="274"/>
      <c r="H575" s="274"/>
      <c r="I575" s="274"/>
      <c r="J575" s="274"/>
      <c r="K575" s="274"/>
      <c r="L575" s="274"/>
      <c r="M575" s="274"/>
      <c r="N575" s="274"/>
      <c r="O575" s="274"/>
      <c r="P575" s="274"/>
      <c r="Q575" s="274"/>
      <c r="R575" s="316"/>
      <c r="W575" s="274"/>
      <c r="X575" s="274"/>
      <c r="Y575" s="274"/>
      <c r="Z575" s="274">
        <v>33.5</v>
      </c>
      <c r="AA575" s="274"/>
      <c r="AB575" s="309">
        <v>3467009.938</v>
      </c>
      <c r="AC575" s="309">
        <v>3606621.077</v>
      </c>
      <c r="AD575" s="274"/>
      <c r="AE575" s="274"/>
      <c r="AF575" s="274"/>
      <c r="AG575" s="274"/>
      <c r="AH575" s="274"/>
      <c r="AI575" s="274"/>
      <c r="AJ575" s="274"/>
      <c r="AK575" s="274"/>
      <c r="AL575" s="274"/>
      <c r="AM575" s="274"/>
      <c r="AN575" s="274"/>
      <c r="AO575" s="274"/>
      <c r="AP575" s="274"/>
      <c r="AQ575" s="274"/>
      <c r="AR575" s="274"/>
      <c r="AS575" s="274"/>
      <c r="AT575" s="274"/>
      <c r="AU575" s="274"/>
      <c r="AV575" s="274"/>
      <c r="AW575" s="274"/>
    </row>
    <row r="576" ht="15.75" customHeight="1">
      <c r="A576" s="274"/>
      <c r="B576" s="274"/>
      <c r="C576" s="274"/>
      <c r="D576" s="274"/>
      <c r="E576" s="274"/>
      <c r="F576" s="274"/>
      <c r="G576" s="274"/>
      <c r="H576" s="274"/>
      <c r="I576" s="274"/>
      <c r="J576" s="274"/>
      <c r="K576" s="274"/>
      <c r="L576" s="274"/>
      <c r="M576" s="274"/>
      <c r="N576" s="274"/>
      <c r="O576" s="274"/>
      <c r="P576" s="274"/>
      <c r="Q576" s="274"/>
      <c r="R576" s="316"/>
      <c r="W576" s="274"/>
      <c r="X576" s="274"/>
      <c r="Y576" s="274"/>
      <c r="Z576" s="274">
        <v>33.562</v>
      </c>
      <c r="AA576" s="274"/>
      <c r="AB576" s="309">
        <v>3467009.938</v>
      </c>
      <c r="AC576" s="309">
        <v>3606621.077</v>
      </c>
      <c r="AD576" s="274"/>
      <c r="AE576" s="274"/>
      <c r="AF576" s="274"/>
      <c r="AG576" s="274"/>
      <c r="AH576" s="274"/>
      <c r="AI576" s="274"/>
      <c r="AJ576" s="274"/>
      <c r="AK576" s="274"/>
      <c r="AL576" s="274"/>
      <c r="AM576" s="274"/>
      <c r="AN576" s="274"/>
      <c r="AO576" s="274"/>
      <c r="AP576" s="274"/>
      <c r="AQ576" s="274"/>
      <c r="AR576" s="274"/>
      <c r="AS576" s="274"/>
      <c r="AT576" s="274"/>
      <c r="AU576" s="274"/>
      <c r="AV576" s="274"/>
      <c r="AW576" s="274"/>
    </row>
    <row r="577" ht="15.75" customHeight="1">
      <c r="A577" s="274"/>
      <c r="B577" s="274"/>
      <c r="C577" s="274"/>
      <c r="D577" s="274"/>
      <c r="E577" s="274"/>
      <c r="F577" s="274"/>
      <c r="G577" s="274"/>
      <c r="H577" s="274"/>
      <c r="I577" s="274"/>
      <c r="J577" s="274"/>
      <c r="K577" s="274"/>
      <c r="L577" s="274"/>
      <c r="M577" s="274"/>
      <c r="N577" s="274"/>
      <c r="O577" s="274"/>
      <c r="P577" s="274"/>
      <c r="Q577" s="274"/>
      <c r="R577" s="316"/>
      <c r="W577" s="274"/>
      <c r="X577" s="274"/>
      <c r="Y577" s="274"/>
      <c r="Z577" s="274">
        <v>33.625</v>
      </c>
      <c r="AA577" s="274"/>
      <c r="AB577" s="309">
        <v>3467009.938</v>
      </c>
      <c r="AC577" s="309">
        <v>3606621.077</v>
      </c>
      <c r="AD577" s="274"/>
      <c r="AE577" s="274"/>
      <c r="AF577" s="274"/>
      <c r="AG577" s="274"/>
      <c r="AH577" s="274"/>
      <c r="AI577" s="274"/>
      <c r="AJ577" s="274"/>
      <c r="AK577" s="274"/>
      <c r="AL577" s="274"/>
      <c r="AM577" s="274"/>
      <c r="AN577" s="274"/>
      <c r="AO577" s="274"/>
      <c r="AP577" s="274"/>
      <c r="AQ577" s="274"/>
      <c r="AR577" s="274"/>
      <c r="AS577" s="274"/>
      <c r="AT577" s="274"/>
      <c r="AU577" s="274"/>
      <c r="AV577" s="274"/>
      <c r="AW577" s="274"/>
    </row>
    <row r="578" ht="15.75" customHeight="1">
      <c r="A578" s="274"/>
      <c r="B578" s="274"/>
      <c r="C578" s="274"/>
      <c r="D578" s="274"/>
      <c r="E578" s="274"/>
      <c r="F578" s="274"/>
      <c r="G578" s="274"/>
      <c r="H578" s="274"/>
      <c r="I578" s="274"/>
      <c r="J578" s="274"/>
      <c r="K578" s="274"/>
      <c r="L578" s="274"/>
      <c r="M578" s="274"/>
      <c r="N578" s="274"/>
      <c r="O578" s="274"/>
      <c r="P578" s="274"/>
      <c r="Q578" s="274"/>
      <c r="R578" s="316"/>
      <c r="W578" s="274"/>
      <c r="X578" s="274"/>
      <c r="Y578" s="274"/>
      <c r="Z578" s="274">
        <v>33.687</v>
      </c>
      <c r="AA578" s="274"/>
      <c r="AB578" s="309">
        <v>3467009.938</v>
      </c>
      <c r="AC578" s="309">
        <v>3606621.077</v>
      </c>
      <c r="AD578" s="274"/>
      <c r="AE578" s="274"/>
      <c r="AF578" s="274"/>
      <c r="AG578" s="274"/>
      <c r="AH578" s="274"/>
      <c r="AI578" s="274"/>
      <c r="AJ578" s="274"/>
      <c r="AK578" s="274"/>
      <c r="AL578" s="274"/>
      <c r="AM578" s="274"/>
      <c r="AN578" s="274"/>
      <c r="AO578" s="274"/>
      <c r="AP578" s="274"/>
      <c r="AQ578" s="274"/>
      <c r="AR578" s="274"/>
      <c r="AS578" s="274"/>
      <c r="AT578" s="274"/>
      <c r="AU578" s="274"/>
      <c r="AV578" s="274"/>
      <c r="AW578" s="274"/>
    </row>
    <row r="579" ht="15.75" customHeight="1">
      <c r="A579" s="274"/>
      <c r="B579" s="274"/>
      <c r="C579" s="274"/>
      <c r="D579" s="274"/>
      <c r="E579" s="274"/>
      <c r="F579" s="274"/>
      <c r="G579" s="274"/>
      <c r="H579" s="274"/>
      <c r="I579" s="274"/>
      <c r="J579" s="274"/>
      <c r="K579" s="274"/>
      <c r="L579" s="274"/>
      <c r="M579" s="274"/>
      <c r="N579" s="274"/>
      <c r="O579" s="274"/>
      <c r="P579" s="274"/>
      <c r="Q579" s="274"/>
      <c r="R579" s="316"/>
      <c r="W579" s="274"/>
      <c r="X579" s="274"/>
      <c r="Y579" s="274"/>
      <c r="Z579" s="274">
        <v>33.75</v>
      </c>
      <c r="AA579" s="274"/>
      <c r="AB579" s="309">
        <v>3467009.938</v>
      </c>
      <c r="AC579" s="309">
        <v>3653158.123</v>
      </c>
      <c r="AD579" s="274"/>
      <c r="AE579" s="274"/>
      <c r="AF579" s="274"/>
      <c r="AG579" s="274"/>
      <c r="AH579" s="274"/>
      <c r="AI579" s="274"/>
      <c r="AJ579" s="274"/>
      <c r="AK579" s="274"/>
      <c r="AL579" s="274"/>
      <c r="AM579" s="274"/>
      <c r="AN579" s="274"/>
      <c r="AO579" s="274"/>
      <c r="AP579" s="274"/>
      <c r="AQ579" s="274"/>
      <c r="AR579" s="274"/>
      <c r="AS579" s="274"/>
      <c r="AT579" s="274"/>
      <c r="AU579" s="274"/>
      <c r="AV579" s="274"/>
      <c r="AW579" s="274"/>
    </row>
    <row r="580" ht="15.75" customHeight="1">
      <c r="A580" s="274"/>
      <c r="B580" s="274"/>
      <c r="C580" s="274"/>
      <c r="D580" s="274"/>
      <c r="E580" s="274"/>
      <c r="F580" s="274"/>
      <c r="G580" s="274"/>
      <c r="H580" s="274"/>
      <c r="I580" s="274"/>
      <c r="J580" s="274"/>
      <c r="K580" s="274"/>
      <c r="L580" s="274"/>
      <c r="M580" s="274"/>
      <c r="N580" s="274"/>
      <c r="O580" s="274"/>
      <c r="P580" s="274"/>
      <c r="Q580" s="274"/>
      <c r="R580" s="316"/>
      <c r="W580" s="274"/>
      <c r="X580" s="274"/>
      <c r="Y580" s="274"/>
      <c r="Z580" s="274">
        <v>33.812</v>
      </c>
      <c r="AA580" s="274"/>
      <c r="AB580" s="309">
        <v>3467009.938</v>
      </c>
      <c r="AC580" s="309">
        <v>3653158.123</v>
      </c>
      <c r="AD580" s="274"/>
      <c r="AE580" s="274"/>
      <c r="AF580" s="274"/>
      <c r="AG580" s="274"/>
      <c r="AH580" s="274"/>
      <c r="AI580" s="274"/>
      <c r="AJ580" s="274"/>
      <c r="AK580" s="274"/>
      <c r="AL580" s="274"/>
      <c r="AM580" s="274"/>
      <c r="AN580" s="274"/>
      <c r="AO580" s="274"/>
      <c r="AP580" s="274"/>
      <c r="AQ580" s="274"/>
      <c r="AR580" s="274"/>
      <c r="AS580" s="274"/>
      <c r="AT580" s="274"/>
      <c r="AU580" s="274"/>
      <c r="AV580" s="274"/>
      <c r="AW580" s="274"/>
    </row>
    <row r="581" ht="15.75" customHeight="1">
      <c r="A581" s="274"/>
      <c r="B581" s="274"/>
      <c r="C581" s="274"/>
      <c r="D581" s="274"/>
      <c r="E581" s="274"/>
      <c r="F581" s="274"/>
      <c r="G581" s="274"/>
      <c r="H581" s="274"/>
      <c r="I581" s="274"/>
      <c r="J581" s="274"/>
      <c r="K581" s="274"/>
      <c r="L581" s="274"/>
      <c r="M581" s="274"/>
      <c r="N581" s="274"/>
      <c r="O581" s="274"/>
      <c r="P581" s="274"/>
      <c r="Q581" s="274"/>
      <c r="R581" s="316"/>
      <c r="W581" s="274"/>
      <c r="X581" s="274"/>
      <c r="Y581" s="274"/>
      <c r="Z581" s="274">
        <v>33.875</v>
      </c>
      <c r="AA581" s="274"/>
      <c r="AB581" s="309">
        <v>3467009.938</v>
      </c>
      <c r="AC581" s="309">
        <v>3653158.123</v>
      </c>
      <c r="AD581" s="274"/>
      <c r="AE581" s="274"/>
      <c r="AF581" s="274"/>
      <c r="AG581" s="274"/>
      <c r="AH581" s="274"/>
      <c r="AI581" s="274"/>
      <c r="AJ581" s="274"/>
      <c r="AK581" s="274"/>
      <c r="AL581" s="274"/>
      <c r="AM581" s="274"/>
      <c r="AN581" s="274"/>
      <c r="AO581" s="274"/>
      <c r="AP581" s="274"/>
      <c r="AQ581" s="274"/>
      <c r="AR581" s="274"/>
      <c r="AS581" s="274"/>
      <c r="AT581" s="274"/>
      <c r="AU581" s="274"/>
      <c r="AV581" s="274"/>
      <c r="AW581" s="274"/>
    </row>
    <row r="582" ht="15.75" customHeight="1">
      <c r="A582" s="274"/>
      <c r="B582" s="274"/>
      <c r="C582" s="274"/>
      <c r="D582" s="274"/>
      <c r="E582" s="274"/>
      <c r="F582" s="274"/>
      <c r="G582" s="274"/>
      <c r="H582" s="274"/>
      <c r="I582" s="274"/>
      <c r="J582" s="274"/>
      <c r="K582" s="274"/>
      <c r="L582" s="274"/>
      <c r="M582" s="274"/>
      <c r="N582" s="274"/>
      <c r="O582" s="274"/>
      <c r="P582" s="274"/>
      <c r="Q582" s="274"/>
      <c r="R582" s="316"/>
      <c r="W582" s="274"/>
      <c r="X582" s="274"/>
      <c r="Y582" s="274"/>
      <c r="Z582" s="274">
        <v>33.937</v>
      </c>
      <c r="AA582" s="274"/>
      <c r="AB582" s="309">
        <v>3467009.938</v>
      </c>
      <c r="AC582" s="309">
        <v>3653158.123</v>
      </c>
      <c r="AD582" s="274"/>
      <c r="AE582" s="274"/>
      <c r="AF582" s="274"/>
      <c r="AG582" s="274"/>
      <c r="AH582" s="274"/>
      <c r="AI582" s="274"/>
      <c r="AJ582" s="274"/>
      <c r="AK582" s="274"/>
      <c r="AL582" s="274"/>
      <c r="AM582" s="274"/>
      <c r="AN582" s="274"/>
      <c r="AO582" s="274"/>
      <c r="AP582" s="274"/>
      <c r="AQ582" s="274"/>
      <c r="AR582" s="274"/>
      <c r="AS582" s="274"/>
      <c r="AT582" s="274"/>
      <c r="AU582" s="274"/>
      <c r="AV582" s="274"/>
      <c r="AW582" s="274"/>
    </row>
    <row r="583" ht="15.75" customHeight="1">
      <c r="A583" s="274"/>
      <c r="B583" s="274"/>
      <c r="C583" s="274"/>
      <c r="D583" s="274"/>
      <c r="E583" s="274"/>
      <c r="F583" s="274"/>
      <c r="G583" s="274"/>
      <c r="H583" s="274"/>
      <c r="I583" s="274"/>
      <c r="J583" s="274"/>
      <c r="K583" s="274"/>
      <c r="L583" s="274"/>
      <c r="M583" s="274"/>
      <c r="N583" s="274"/>
      <c r="O583" s="274"/>
      <c r="P583" s="274"/>
      <c r="Q583" s="274"/>
      <c r="R583" s="316"/>
      <c r="W583" s="274"/>
      <c r="X583" s="274"/>
      <c r="Y583" s="274"/>
      <c r="Z583" s="274">
        <v>34.0</v>
      </c>
      <c r="AA583" s="274"/>
      <c r="AB583" s="309">
        <v>3467009.938</v>
      </c>
      <c r="AC583" s="309">
        <v>3711329.431</v>
      </c>
      <c r="AD583" s="274"/>
      <c r="AE583" s="274"/>
      <c r="AF583" s="274"/>
      <c r="AG583" s="274"/>
      <c r="AH583" s="274"/>
      <c r="AI583" s="274"/>
      <c r="AJ583" s="274"/>
      <c r="AK583" s="274"/>
      <c r="AL583" s="274"/>
      <c r="AM583" s="274"/>
      <c r="AN583" s="274"/>
      <c r="AO583" s="274"/>
      <c r="AP583" s="274"/>
      <c r="AQ583" s="274"/>
      <c r="AR583" s="274"/>
      <c r="AS583" s="274"/>
      <c r="AT583" s="274"/>
      <c r="AU583" s="274"/>
      <c r="AV583" s="274"/>
      <c r="AW583" s="274"/>
    </row>
    <row r="584" ht="15.75" customHeight="1">
      <c r="A584" s="274"/>
      <c r="B584" s="274"/>
      <c r="C584" s="274"/>
      <c r="D584" s="274"/>
      <c r="E584" s="274"/>
      <c r="F584" s="274"/>
      <c r="G584" s="274"/>
      <c r="H584" s="274"/>
      <c r="I584" s="274"/>
      <c r="J584" s="274"/>
      <c r="K584" s="274"/>
      <c r="L584" s="274"/>
      <c r="M584" s="274"/>
      <c r="N584" s="274"/>
      <c r="O584" s="274"/>
      <c r="P584" s="274"/>
      <c r="Q584" s="274"/>
      <c r="R584" s="316"/>
      <c r="W584" s="274"/>
      <c r="X584" s="274"/>
      <c r="Y584" s="274"/>
      <c r="Z584" s="274">
        <v>34.062</v>
      </c>
      <c r="AA584" s="274"/>
      <c r="AB584" s="309">
        <v>3467009.938</v>
      </c>
      <c r="AC584" s="309">
        <v>3711329.431</v>
      </c>
      <c r="AD584" s="274"/>
      <c r="AE584" s="274"/>
      <c r="AF584" s="274"/>
      <c r="AG584" s="274"/>
      <c r="AH584" s="274"/>
      <c r="AI584" s="274"/>
      <c r="AJ584" s="274"/>
      <c r="AK584" s="274"/>
      <c r="AL584" s="274"/>
      <c r="AM584" s="274"/>
      <c r="AN584" s="274"/>
      <c r="AO584" s="274"/>
      <c r="AP584" s="274"/>
      <c r="AQ584" s="274"/>
      <c r="AR584" s="274"/>
      <c r="AS584" s="274"/>
      <c r="AT584" s="274"/>
      <c r="AU584" s="274"/>
      <c r="AV584" s="274"/>
      <c r="AW584" s="274"/>
    </row>
    <row r="585" ht="15.75" customHeight="1">
      <c r="A585" s="274"/>
      <c r="B585" s="274"/>
      <c r="C585" s="274"/>
      <c r="D585" s="274"/>
      <c r="E585" s="274"/>
      <c r="F585" s="274"/>
      <c r="G585" s="274"/>
      <c r="H585" s="274"/>
      <c r="I585" s="274"/>
      <c r="J585" s="274"/>
      <c r="K585" s="274"/>
      <c r="L585" s="274"/>
      <c r="M585" s="274"/>
      <c r="N585" s="274"/>
      <c r="O585" s="274"/>
      <c r="P585" s="274"/>
      <c r="Q585" s="274"/>
      <c r="R585" s="316"/>
      <c r="W585" s="274"/>
      <c r="X585" s="274"/>
      <c r="Y585" s="274"/>
      <c r="Z585" s="274">
        <v>34.125</v>
      </c>
      <c r="AA585" s="274"/>
      <c r="AB585" s="309">
        <v>3467009.938</v>
      </c>
      <c r="AC585" s="309">
        <v>3711329.431</v>
      </c>
      <c r="AD585" s="274"/>
      <c r="AE585" s="274"/>
      <c r="AF585" s="274"/>
      <c r="AG585" s="274"/>
      <c r="AH585" s="274"/>
      <c r="AI585" s="274"/>
      <c r="AJ585" s="274"/>
      <c r="AK585" s="274"/>
      <c r="AL585" s="274"/>
      <c r="AM585" s="274"/>
      <c r="AN585" s="274"/>
      <c r="AO585" s="274"/>
      <c r="AP585" s="274"/>
      <c r="AQ585" s="274"/>
      <c r="AR585" s="274"/>
      <c r="AS585" s="274"/>
      <c r="AT585" s="274"/>
      <c r="AU585" s="274"/>
      <c r="AV585" s="274"/>
      <c r="AW585" s="274"/>
    </row>
    <row r="586" ht="15.75" customHeight="1">
      <c r="A586" s="274"/>
      <c r="B586" s="274"/>
      <c r="C586" s="274"/>
      <c r="D586" s="274"/>
      <c r="E586" s="274"/>
      <c r="F586" s="274"/>
      <c r="G586" s="274"/>
      <c r="H586" s="274"/>
      <c r="I586" s="274"/>
      <c r="J586" s="274"/>
      <c r="K586" s="274"/>
      <c r="L586" s="274"/>
      <c r="M586" s="274"/>
      <c r="N586" s="274"/>
      <c r="O586" s="274"/>
      <c r="P586" s="274"/>
      <c r="Q586" s="274"/>
      <c r="R586" s="316"/>
      <c r="W586" s="274"/>
      <c r="X586" s="274"/>
      <c r="Y586" s="274"/>
      <c r="Z586" s="274">
        <v>34.187</v>
      </c>
      <c r="AA586" s="274"/>
      <c r="AB586" s="309">
        <v>3467009.938</v>
      </c>
      <c r="AC586" s="309">
        <v>3711329.431</v>
      </c>
      <c r="AD586" s="274"/>
      <c r="AE586" s="274"/>
      <c r="AF586" s="274"/>
      <c r="AG586" s="274"/>
      <c r="AH586" s="274"/>
      <c r="AI586" s="274"/>
      <c r="AJ586" s="274"/>
      <c r="AK586" s="274"/>
      <c r="AL586" s="274"/>
      <c r="AM586" s="274"/>
      <c r="AN586" s="274"/>
      <c r="AO586" s="274"/>
      <c r="AP586" s="274"/>
      <c r="AQ586" s="274"/>
      <c r="AR586" s="274"/>
      <c r="AS586" s="274"/>
      <c r="AT586" s="274"/>
      <c r="AU586" s="274"/>
      <c r="AV586" s="274"/>
      <c r="AW586" s="274"/>
    </row>
    <row r="587" ht="15.75" customHeight="1">
      <c r="A587" s="274"/>
      <c r="B587" s="274"/>
      <c r="C587" s="274"/>
      <c r="D587" s="274"/>
      <c r="E587" s="274"/>
      <c r="F587" s="274"/>
      <c r="G587" s="274"/>
      <c r="H587" s="274"/>
      <c r="I587" s="274"/>
      <c r="J587" s="274"/>
      <c r="K587" s="274"/>
      <c r="L587" s="274"/>
      <c r="M587" s="274"/>
      <c r="N587" s="274"/>
      <c r="O587" s="274"/>
      <c r="P587" s="274"/>
      <c r="Q587" s="274"/>
      <c r="R587" s="316"/>
      <c r="W587" s="274"/>
      <c r="X587" s="274"/>
      <c r="Y587" s="274"/>
      <c r="Z587" s="274">
        <v>34.25</v>
      </c>
      <c r="AA587" s="274"/>
      <c r="AB587" s="309">
        <v>3467009.938</v>
      </c>
      <c r="AC587" s="309">
        <v>3711329.431</v>
      </c>
      <c r="AD587" s="274"/>
      <c r="AE587" s="274"/>
      <c r="AF587" s="274"/>
      <c r="AG587" s="274"/>
      <c r="AH587" s="274"/>
      <c r="AI587" s="274"/>
      <c r="AJ587" s="274"/>
      <c r="AK587" s="274"/>
      <c r="AL587" s="274"/>
      <c r="AM587" s="274"/>
      <c r="AN587" s="274"/>
      <c r="AO587" s="274"/>
      <c r="AP587" s="274"/>
      <c r="AQ587" s="274"/>
      <c r="AR587" s="274"/>
      <c r="AS587" s="274"/>
      <c r="AT587" s="274"/>
      <c r="AU587" s="274"/>
      <c r="AV587" s="274"/>
      <c r="AW587" s="274"/>
    </row>
    <row r="588" ht="15.75" customHeight="1">
      <c r="A588" s="274"/>
      <c r="B588" s="274"/>
      <c r="C588" s="274"/>
      <c r="D588" s="274"/>
      <c r="E588" s="274"/>
      <c r="F588" s="274"/>
      <c r="G588" s="274"/>
      <c r="H588" s="274"/>
      <c r="I588" s="274"/>
      <c r="J588" s="274"/>
      <c r="K588" s="274"/>
      <c r="L588" s="274"/>
      <c r="M588" s="274"/>
      <c r="N588" s="274"/>
      <c r="O588" s="274"/>
      <c r="P588" s="274"/>
      <c r="Q588" s="274"/>
      <c r="R588" s="316"/>
      <c r="W588" s="274"/>
      <c r="X588" s="274"/>
      <c r="Y588" s="274"/>
      <c r="Z588" s="274">
        <v>34.312</v>
      </c>
      <c r="AA588" s="274"/>
      <c r="AB588" s="309">
        <v>3467009.938</v>
      </c>
      <c r="AC588" s="309">
        <v>3711329.431</v>
      </c>
      <c r="AD588" s="274"/>
      <c r="AE588" s="274"/>
      <c r="AF588" s="274"/>
      <c r="AG588" s="274"/>
      <c r="AH588" s="274"/>
      <c r="AI588" s="274"/>
      <c r="AJ588" s="274"/>
      <c r="AK588" s="274"/>
      <c r="AL588" s="274"/>
      <c r="AM588" s="274"/>
      <c r="AN588" s="274"/>
      <c r="AO588" s="274"/>
      <c r="AP588" s="274"/>
      <c r="AQ588" s="274"/>
      <c r="AR588" s="274"/>
      <c r="AS588" s="274"/>
      <c r="AT588" s="274"/>
      <c r="AU588" s="274"/>
      <c r="AV588" s="274"/>
      <c r="AW588" s="274"/>
    </row>
    <row r="589" ht="15.75" customHeight="1">
      <c r="A589" s="274"/>
      <c r="B589" s="274"/>
      <c r="C589" s="274"/>
      <c r="D589" s="274"/>
      <c r="E589" s="274"/>
      <c r="F589" s="274"/>
      <c r="G589" s="274"/>
      <c r="H589" s="274"/>
      <c r="I589" s="274"/>
      <c r="J589" s="274"/>
      <c r="K589" s="274"/>
      <c r="L589" s="274"/>
      <c r="M589" s="274"/>
      <c r="N589" s="274"/>
      <c r="O589" s="274"/>
      <c r="P589" s="274"/>
      <c r="Q589" s="274"/>
      <c r="R589" s="316"/>
      <c r="W589" s="274"/>
      <c r="X589" s="274"/>
      <c r="Y589" s="274"/>
      <c r="Z589" s="274">
        <v>34.375</v>
      </c>
      <c r="AA589" s="274"/>
      <c r="AB589" s="309">
        <v>3467009.938</v>
      </c>
      <c r="AC589" s="309">
        <v>3757866.477</v>
      </c>
      <c r="AD589" s="274"/>
      <c r="AE589" s="274"/>
      <c r="AF589" s="274"/>
      <c r="AG589" s="274"/>
      <c r="AH589" s="274"/>
      <c r="AI589" s="274"/>
      <c r="AJ589" s="274"/>
      <c r="AK589" s="274"/>
      <c r="AL589" s="274"/>
      <c r="AM589" s="274"/>
      <c r="AN589" s="274"/>
      <c r="AO589" s="274"/>
      <c r="AP589" s="274"/>
      <c r="AQ589" s="274"/>
      <c r="AR589" s="274"/>
      <c r="AS589" s="274"/>
      <c r="AT589" s="274"/>
      <c r="AU589" s="274"/>
      <c r="AV589" s="274"/>
      <c r="AW589" s="274"/>
    </row>
    <row r="590" ht="15.75" customHeight="1">
      <c r="A590" s="274"/>
      <c r="B590" s="274"/>
      <c r="C590" s="274"/>
      <c r="D590" s="274"/>
      <c r="E590" s="274"/>
      <c r="F590" s="274"/>
      <c r="G590" s="274"/>
      <c r="H590" s="274"/>
      <c r="I590" s="274"/>
      <c r="J590" s="274"/>
      <c r="K590" s="274"/>
      <c r="L590" s="274"/>
      <c r="M590" s="274"/>
      <c r="N590" s="274"/>
      <c r="O590" s="274"/>
      <c r="P590" s="274"/>
      <c r="Q590" s="274"/>
      <c r="R590" s="316"/>
      <c r="W590" s="274"/>
      <c r="X590" s="274"/>
      <c r="Y590" s="274"/>
      <c r="Z590" s="274">
        <v>34.437</v>
      </c>
      <c r="AA590" s="274"/>
      <c r="AB590" s="309">
        <v>3467009.938</v>
      </c>
      <c r="AC590" s="309">
        <v>3757866.477</v>
      </c>
      <c r="AD590" s="274"/>
      <c r="AE590" s="274"/>
      <c r="AF590" s="274"/>
      <c r="AG590" s="274"/>
      <c r="AH590" s="274"/>
      <c r="AI590" s="274"/>
      <c r="AJ590" s="274"/>
      <c r="AK590" s="274"/>
      <c r="AL590" s="274"/>
      <c r="AM590" s="274"/>
      <c r="AN590" s="274"/>
      <c r="AO590" s="274"/>
      <c r="AP590" s="274"/>
      <c r="AQ590" s="274"/>
      <c r="AR590" s="274"/>
      <c r="AS590" s="274"/>
      <c r="AT590" s="274"/>
      <c r="AU590" s="274"/>
      <c r="AV590" s="274"/>
      <c r="AW590" s="274"/>
    </row>
    <row r="591" ht="15.75" customHeight="1">
      <c r="A591" s="274"/>
      <c r="B591" s="274"/>
      <c r="C591" s="274"/>
      <c r="D591" s="274"/>
      <c r="E591" s="274"/>
      <c r="F591" s="274"/>
      <c r="G591" s="274"/>
      <c r="H591" s="274"/>
      <c r="I591" s="274"/>
      <c r="J591" s="274"/>
      <c r="K591" s="274"/>
      <c r="L591" s="274"/>
      <c r="M591" s="274"/>
      <c r="N591" s="274"/>
      <c r="O591" s="274"/>
      <c r="P591" s="274"/>
      <c r="Q591" s="274"/>
      <c r="R591" s="316"/>
      <c r="W591" s="274"/>
      <c r="X591" s="274"/>
      <c r="Y591" s="274"/>
      <c r="Z591" s="274">
        <v>34.5</v>
      </c>
      <c r="AA591" s="274"/>
      <c r="AB591" s="309">
        <v>3467009.938</v>
      </c>
      <c r="AC591" s="309">
        <v>3757866.477</v>
      </c>
      <c r="AD591" s="274"/>
      <c r="AE591" s="274"/>
      <c r="AF591" s="274"/>
      <c r="AG591" s="274"/>
      <c r="AH591" s="274"/>
      <c r="AI591" s="274"/>
      <c r="AJ591" s="274"/>
      <c r="AK591" s="274"/>
      <c r="AL591" s="274"/>
      <c r="AM591" s="274"/>
      <c r="AN591" s="274"/>
      <c r="AO591" s="274"/>
      <c r="AP591" s="274"/>
      <c r="AQ591" s="274"/>
      <c r="AR591" s="274"/>
      <c r="AS591" s="274"/>
      <c r="AT591" s="274"/>
      <c r="AU591" s="274"/>
      <c r="AV591" s="274"/>
      <c r="AW591" s="274"/>
    </row>
    <row r="592" ht="15.75" customHeight="1">
      <c r="A592" s="274"/>
      <c r="B592" s="274"/>
      <c r="C592" s="274"/>
      <c r="D592" s="274"/>
      <c r="E592" s="274"/>
      <c r="F592" s="274"/>
      <c r="G592" s="274"/>
      <c r="H592" s="274"/>
      <c r="I592" s="274"/>
      <c r="J592" s="274"/>
      <c r="K592" s="274"/>
      <c r="L592" s="274"/>
      <c r="M592" s="274"/>
      <c r="N592" s="274"/>
      <c r="O592" s="274"/>
      <c r="P592" s="274"/>
      <c r="Q592" s="274"/>
      <c r="R592" s="316"/>
      <c r="W592" s="274"/>
      <c r="X592" s="274"/>
      <c r="Y592" s="274"/>
      <c r="Z592" s="274">
        <v>34.562</v>
      </c>
      <c r="AA592" s="274"/>
      <c r="AB592" s="309">
        <v>3467009.938</v>
      </c>
      <c r="AC592" s="309">
        <v>3757866.477</v>
      </c>
      <c r="AD592" s="274"/>
      <c r="AE592" s="274"/>
      <c r="AF592" s="274"/>
      <c r="AG592" s="274"/>
      <c r="AH592" s="274"/>
      <c r="AI592" s="274"/>
      <c r="AJ592" s="274"/>
      <c r="AK592" s="274"/>
      <c r="AL592" s="274"/>
      <c r="AM592" s="274"/>
      <c r="AN592" s="274"/>
      <c r="AO592" s="274"/>
      <c r="AP592" s="274"/>
      <c r="AQ592" s="274"/>
      <c r="AR592" s="274"/>
      <c r="AS592" s="274"/>
      <c r="AT592" s="274"/>
      <c r="AU592" s="274"/>
      <c r="AV592" s="274"/>
      <c r="AW592" s="274"/>
    </row>
    <row r="593" ht="15.75" customHeight="1">
      <c r="A593" s="274"/>
      <c r="B593" s="274"/>
      <c r="C593" s="274"/>
      <c r="D593" s="274"/>
      <c r="E593" s="274"/>
      <c r="F593" s="274"/>
      <c r="G593" s="274"/>
      <c r="H593" s="274"/>
      <c r="I593" s="274"/>
      <c r="J593" s="274"/>
      <c r="K593" s="274"/>
      <c r="L593" s="274"/>
      <c r="M593" s="274"/>
      <c r="N593" s="274"/>
      <c r="O593" s="274"/>
      <c r="P593" s="274"/>
      <c r="Q593" s="274"/>
      <c r="R593" s="316"/>
      <c r="W593" s="274"/>
      <c r="X593" s="274"/>
      <c r="Y593" s="274"/>
      <c r="Z593" s="274">
        <v>34.625</v>
      </c>
      <c r="AA593" s="274"/>
      <c r="AB593" s="309">
        <v>3467009.938</v>
      </c>
      <c r="AC593" s="309">
        <v>3757866.477</v>
      </c>
      <c r="AD593" s="274"/>
      <c r="AE593" s="274"/>
      <c r="AF593" s="274"/>
      <c r="AG593" s="274"/>
      <c r="AH593" s="274"/>
      <c r="AI593" s="274"/>
      <c r="AJ593" s="274"/>
      <c r="AK593" s="274"/>
      <c r="AL593" s="274"/>
      <c r="AM593" s="274"/>
      <c r="AN593" s="274"/>
      <c r="AO593" s="274"/>
      <c r="AP593" s="274"/>
      <c r="AQ593" s="274"/>
      <c r="AR593" s="274"/>
      <c r="AS593" s="274"/>
      <c r="AT593" s="274"/>
      <c r="AU593" s="274"/>
      <c r="AV593" s="274"/>
      <c r="AW593" s="274"/>
    </row>
    <row r="594" ht="15.75" customHeight="1">
      <c r="A594" s="274"/>
      <c r="B594" s="274"/>
      <c r="C594" s="274"/>
      <c r="D594" s="274"/>
      <c r="E594" s="274"/>
      <c r="F594" s="274"/>
      <c r="G594" s="274"/>
      <c r="H594" s="274"/>
      <c r="I594" s="274"/>
      <c r="J594" s="274"/>
      <c r="K594" s="274"/>
      <c r="L594" s="274"/>
      <c r="M594" s="274"/>
      <c r="N594" s="274"/>
      <c r="O594" s="274"/>
      <c r="P594" s="274"/>
      <c r="Q594" s="274"/>
      <c r="R594" s="316"/>
      <c r="W594" s="274"/>
      <c r="X594" s="274"/>
      <c r="Y594" s="274"/>
      <c r="Z594" s="274">
        <v>34.687</v>
      </c>
      <c r="AA594" s="274"/>
      <c r="AB594" s="309">
        <v>3664792.385</v>
      </c>
      <c r="AC594" s="309">
        <v>3757866.477</v>
      </c>
      <c r="AD594" s="274"/>
      <c r="AE594" s="274"/>
      <c r="AF594" s="274"/>
      <c r="AG594" s="274"/>
      <c r="AH594" s="274"/>
      <c r="AI594" s="274"/>
      <c r="AJ594" s="274"/>
      <c r="AK594" s="274"/>
      <c r="AL594" s="274"/>
      <c r="AM594" s="274"/>
      <c r="AN594" s="274"/>
      <c r="AO594" s="274"/>
      <c r="AP594" s="274"/>
      <c r="AQ594" s="274"/>
      <c r="AR594" s="274"/>
      <c r="AS594" s="274"/>
      <c r="AT594" s="274"/>
      <c r="AU594" s="274"/>
      <c r="AV594" s="274"/>
      <c r="AW594" s="274"/>
    </row>
    <row r="595" ht="15.75" customHeight="1">
      <c r="A595" s="274"/>
      <c r="B595" s="274"/>
      <c r="C595" s="274"/>
      <c r="D595" s="274"/>
      <c r="E595" s="274"/>
      <c r="F595" s="274"/>
      <c r="G595" s="274"/>
      <c r="H595" s="274"/>
      <c r="I595" s="274"/>
      <c r="J595" s="274"/>
      <c r="K595" s="274"/>
      <c r="L595" s="274"/>
      <c r="M595" s="274"/>
      <c r="N595" s="274"/>
      <c r="O595" s="274"/>
      <c r="P595" s="274"/>
      <c r="Q595" s="274"/>
      <c r="R595" s="316"/>
      <c r="W595" s="274"/>
      <c r="X595" s="274"/>
      <c r="Y595" s="274"/>
      <c r="Z595" s="274">
        <v>34.75</v>
      </c>
      <c r="AA595" s="274"/>
      <c r="AB595" s="309">
        <v>3664792.385</v>
      </c>
      <c r="AC595" s="309">
        <v>3757866.477</v>
      </c>
      <c r="AD595" s="274"/>
      <c r="AE595" s="274"/>
      <c r="AF595" s="274"/>
      <c r="AG595" s="274"/>
      <c r="AH595" s="274"/>
      <c r="AI595" s="274"/>
      <c r="AJ595" s="274"/>
      <c r="AK595" s="274"/>
      <c r="AL595" s="274"/>
      <c r="AM595" s="274"/>
      <c r="AN595" s="274"/>
      <c r="AO595" s="274"/>
      <c r="AP595" s="274"/>
      <c r="AQ595" s="274"/>
      <c r="AR595" s="274"/>
      <c r="AS595" s="274"/>
      <c r="AT595" s="274"/>
      <c r="AU595" s="274"/>
      <c r="AV595" s="274"/>
      <c r="AW595" s="274"/>
    </row>
    <row r="596" ht="15.75" customHeight="1">
      <c r="A596" s="274"/>
      <c r="B596" s="274"/>
      <c r="C596" s="274"/>
      <c r="D596" s="274"/>
      <c r="E596" s="274"/>
      <c r="F596" s="274"/>
      <c r="G596" s="274"/>
      <c r="H596" s="274"/>
      <c r="I596" s="274"/>
      <c r="J596" s="274"/>
      <c r="K596" s="274"/>
      <c r="L596" s="274"/>
      <c r="M596" s="274"/>
      <c r="N596" s="274"/>
      <c r="O596" s="274"/>
      <c r="P596" s="274"/>
      <c r="Q596" s="274"/>
      <c r="R596" s="316"/>
      <c r="W596" s="274"/>
      <c r="X596" s="274"/>
      <c r="Y596" s="274"/>
      <c r="Z596" s="274">
        <v>34.812</v>
      </c>
      <c r="AA596" s="274"/>
      <c r="AB596" s="309">
        <v>3664792.385</v>
      </c>
      <c r="AC596" s="309">
        <v>3757866.477</v>
      </c>
      <c r="AD596" s="274"/>
      <c r="AE596" s="274"/>
      <c r="AF596" s="274"/>
      <c r="AG596" s="274"/>
      <c r="AH596" s="274"/>
      <c r="AI596" s="274"/>
      <c r="AJ596" s="274"/>
      <c r="AK596" s="274"/>
      <c r="AL596" s="274"/>
      <c r="AM596" s="274"/>
      <c r="AN596" s="274"/>
      <c r="AO596" s="274"/>
      <c r="AP596" s="274"/>
      <c r="AQ596" s="274"/>
      <c r="AR596" s="274"/>
      <c r="AS596" s="274"/>
      <c r="AT596" s="274"/>
      <c r="AU596" s="274"/>
      <c r="AV596" s="274"/>
      <c r="AW596" s="274"/>
    </row>
    <row r="597" ht="15.75" customHeight="1">
      <c r="A597" s="274"/>
      <c r="B597" s="274"/>
      <c r="C597" s="274"/>
      <c r="D597" s="274"/>
      <c r="E597" s="274"/>
      <c r="F597" s="274"/>
      <c r="G597" s="274"/>
      <c r="H597" s="274"/>
      <c r="I597" s="274"/>
      <c r="J597" s="274"/>
      <c r="K597" s="274"/>
      <c r="L597" s="274"/>
      <c r="M597" s="274"/>
      <c r="N597" s="274"/>
      <c r="O597" s="274"/>
      <c r="P597" s="274"/>
      <c r="Q597" s="274"/>
      <c r="R597" s="316"/>
      <c r="W597" s="274"/>
      <c r="X597" s="274"/>
      <c r="Y597" s="274"/>
      <c r="Z597" s="274">
        <v>34.875</v>
      </c>
      <c r="AA597" s="274"/>
      <c r="AB597" s="309">
        <v>3664792.385</v>
      </c>
      <c r="AC597" s="309">
        <v>3757866.477</v>
      </c>
      <c r="AD597" s="274"/>
      <c r="AE597" s="274"/>
      <c r="AF597" s="274"/>
      <c r="AG597" s="274"/>
      <c r="AH597" s="274"/>
      <c r="AI597" s="274"/>
      <c r="AJ597" s="274"/>
      <c r="AK597" s="274"/>
      <c r="AL597" s="274"/>
      <c r="AM597" s="274"/>
      <c r="AN597" s="274"/>
      <c r="AO597" s="274"/>
      <c r="AP597" s="274"/>
      <c r="AQ597" s="274"/>
      <c r="AR597" s="274"/>
      <c r="AS597" s="274"/>
      <c r="AT597" s="274"/>
      <c r="AU597" s="274"/>
      <c r="AV597" s="274"/>
      <c r="AW597" s="274"/>
    </row>
    <row r="598" ht="15.75" customHeight="1">
      <c r="A598" s="274"/>
      <c r="B598" s="274"/>
      <c r="C598" s="274"/>
      <c r="D598" s="274"/>
      <c r="E598" s="274"/>
      <c r="F598" s="274"/>
      <c r="G598" s="274"/>
      <c r="H598" s="274"/>
      <c r="I598" s="274"/>
      <c r="J598" s="274"/>
      <c r="K598" s="274"/>
      <c r="L598" s="274"/>
      <c r="M598" s="274"/>
      <c r="N598" s="274"/>
      <c r="O598" s="274"/>
      <c r="P598" s="274"/>
      <c r="Q598" s="274"/>
      <c r="R598" s="316"/>
      <c r="W598" s="274"/>
      <c r="X598" s="274"/>
      <c r="Y598" s="274"/>
      <c r="Z598" s="274">
        <v>34.937</v>
      </c>
      <c r="AA598" s="274"/>
      <c r="AB598" s="309">
        <v>3664792.385</v>
      </c>
      <c r="AC598" s="309">
        <v>3757866.477</v>
      </c>
      <c r="AD598" s="274"/>
      <c r="AE598" s="274"/>
      <c r="AF598" s="274"/>
      <c r="AG598" s="274"/>
      <c r="AH598" s="274"/>
      <c r="AI598" s="274"/>
      <c r="AJ598" s="274"/>
      <c r="AK598" s="274"/>
      <c r="AL598" s="274"/>
      <c r="AM598" s="274"/>
      <c r="AN598" s="274"/>
      <c r="AO598" s="274"/>
      <c r="AP598" s="274"/>
      <c r="AQ598" s="274"/>
      <c r="AR598" s="274"/>
      <c r="AS598" s="274"/>
      <c r="AT598" s="274"/>
      <c r="AU598" s="274"/>
      <c r="AV598" s="274"/>
      <c r="AW598" s="274"/>
    </row>
    <row r="599" ht="15.75" customHeight="1">
      <c r="A599" s="274"/>
      <c r="B599" s="274"/>
      <c r="C599" s="274"/>
      <c r="D599" s="274"/>
      <c r="E599" s="274"/>
      <c r="F599" s="274"/>
      <c r="G599" s="274"/>
      <c r="H599" s="274"/>
      <c r="I599" s="274"/>
      <c r="J599" s="274"/>
      <c r="K599" s="274"/>
      <c r="L599" s="274"/>
      <c r="M599" s="274"/>
      <c r="N599" s="274"/>
      <c r="O599" s="274"/>
      <c r="P599" s="274"/>
      <c r="Q599" s="274"/>
      <c r="R599" s="316"/>
      <c r="W599" s="274"/>
      <c r="X599" s="274"/>
      <c r="Y599" s="274"/>
      <c r="Z599" s="274">
        <v>35.0</v>
      </c>
      <c r="AA599" s="274"/>
      <c r="AB599" s="309">
        <v>3664792.385</v>
      </c>
      <c r="AC599" s="309">
        <v>3804403.523</v>
      </c>
      <c r="AD599" s="274"/>
      <c r="AE599" s="274"/>
      <c r="AF599" s="274"/>
      <c r="AG599" s="274"/>
      <c r="AH599" s="274"/>
      <c r="AI599" s="274"/>
      <c r="AJ599" s="274"/>
      <c r="AK599" s="274"/>
      <c r="AL599" s="274"/>
      <c r="AM599" s="274"/>
      <c r="AN599" s="274"/>
      <c r="AO599" s="274"/>
      <c r="AP599" s="274"/>
      <c r="AQ599" s="274"/>
      <c r="AR599" s="274"/>
      <c r="AS599" s="274"/>
      <c r="AT599" s="274"/>
      <c r="AU599" s="274"/>
      <c r="AV599" s="274"/>
      <c r="AW599" s="274"/>
    </row>
    <row r="600" ht="15.75" customHeight="1">
      <c r="A600" s="274"/>
      <c r="B600" s="274"/>
      <c r="C600" s="274"/>
      <c r="D600" s="274"/>
      <c r="E600" s="274"/>
      <c r="F600" s="274"/>
      <c r="G600" s="274"/>
      <c r="H600" s="274"/>
      <c r="I600" s="274"/>
      <c r="J600" s="274"/>
      <c r="K600" s="274"/>
      <c r="L600" s="274"/>
      <c r="M600" s="274"/>
      <c r="N600" s="274"/>
      <c r="O600" s="274"/>
      <c r="P600" s="274"/>
      <c r="Q600" s="274"/>
      <c r="R600" s="316"/>
      <c r="W600" s="274"/>
      <c r="X600" s="274"/>
      <c r="Y600" s="274"/>
      <c r="Z600" s="274">
        <v>35.062</v>
      </c>
      <c r="AA600" s="274"/>
      <c r="AB600" s="309">
        <v>3664792.385</v>
      </c>
      <c r="AC600" s="309">
        <v>3804403.523</v>
      </c>
      <c r="AD600" s="274"/>
      <c r="AE600" s="274"/>
      <c r="AF600" s="274"/>
      <c r="AG600" s="274"/>
      <c r="AH600" s="274"/>
      <c r="AI600" s="274"/>
      <c r="AJ600" s="274"/>
      <c r="AK600" s="274"/>
      <c r="AL600" s="274"/>
      <c r="AM600" s="274"/>
      <c r="AN600" s="274"/>
      <c r="AO600" s="274"/>
      <c r="AP600" s="274"/>
      <c r="AQ600" s="274"/>
      <c r="AR600" s="274"/>
      <c r="AS600" s="274"/>
      <c r="AT600" s="274"/>
      <c r="AU600" s="274"/>
      <c r="AV600" s="274"/>
      <c r="AW600" s="274"/>
    </row>
    <row r="601" ht="15.75" customHeight="1">
      <c r="A601" s="274"/>
      <c r="B601" s="274"/>
      <c r="C601" s="274"/>
      <c r="D601" s="274"/>
      <c r="E601" s="274"/>
      <c r="F601" s="274"/>
      <c r="G601" s="274"/>
      <c r="H601" s="274"/>
      <c r="I601" s="274"/>
      <c r="J601" s="274"/>
      <c r="K601" s="274"/>
      <c r="L601" s="274"/>
      <c r="M601" s="274"/>
      <c r="N601" s="274"/>
      <c r="O601" s="274"/>
      <c r="P601" s="274"/>
      <c r="Q601" s="274"/>
      <c r="R601" s="316"/>
      <c r="W601" s="274"/>
      <c r="X601" s="274"/>
      <c r="Y601" s="274"/>
      <c r="Z601" s="274">
        <v>35.125</v>
      </c>
      <c r="AA601" s="274"/>
      <c r="AB601" s="309">
        <v>3664792.385</v>
      </c>
      <c r="AC601" s="274"/>
      <c r="AD601" s="274"/>
      <c r="AE601" s="274"/>
      <c r="AF601" s="274"/>
      <c r="AG601" s="274"/>
      <c r="AH601" s="274"/>
      <c r="AI601" s="274"/>
      <c r="AJ601" s="274"/>
      <c r="AK601" s="274"/>
      <c r="AL601" s="274"/>
      <c r="AM601" s="274"/>
      <c r="AN601" s="274"/>
      <c r="AO601" s="274"/>
      <c r="AP601" s="274"/>
      <c r="AQ601" s="274"/>
      <c r="AR601" s="274"/>
      <c r="AS601" s="274"/>
      <c r="AT601" s="274"/>
      <c r="AU601" s="274"/>
      <c r="AV601" s="274"/>
      <c r="AW601" s="274"/>
    </row>
    <row r="602" ht="15.75" customHeight="1">
      <c r="A602" s="274"/>
      <c r="B602" s="274"/>
      <c r="C602" s="274"/>
      <c r="D602" s="274"/>
      <c r="E602" s="274"/>
      <c r="F602" s="274"/>
      <c r="G602" s="274"/>
      <c r="H602" s="274"/>
      <c r="I602" s="274"/>
      <c r="J602" s="274"/>
      <c r="K602" s="274"/>
      <c r="L602" s="274"/>
      <c r="M602" s="274"/>
      <c r="N602" s="274"/>
      <c r="O602" s="274"/>
      <c r="P602" s="274"/>
      <c r="Q602" s="274"/>
      <c r="R602" s="316"/>
      <c r="W602" s="274"/>
      <c r="X602" s="274"/>
      <c r="Y602" s="274"/>
      <c r="Z602" s="274">
        <v>35.187</v>
      </c>
      <c r="AA602" s="274"/>
      <c r="AB602" s="309">
        <v>3664792.385</v>
      </c>
      <c r="AC602" s="274"/>
      <c r="AD602" s="274"/>
      <c r="AE602" s="274"/>
      <c r="AF602" s="274"/>
      <c r="AG602" s="274"/>
      <c r="AH602" s="274"/>
      <c r="AI602" s="274"/>
      <c r="AJ602" s="274"/>
      <c r="AK602" s="274"/>
      <c r="AL602" s="274"/>
      <c r="AM602" s="274"/>
      <c r="AN602" s="274"/>
      <c r="AO602" s="274"/>
      <c r="AP602" s="274"/>
      <c r="AQ602" s="274"/>
      <c r="AR602" s="274"/>
      <c r="AS602" s="274"/>
      <c r="AT602" s="274"/>
      <c r="AU602" s="274"/>
      <c r="AV602" s="274"/>
      <c r="AW602" s="274"/>
    </row>
    <row r="603" ht="15.75" customHeight="1">
      <c r="A603" s="274"/>
      <c r="B603" s="274"/>
      <c r="C603" s="274"/>
      <c r="D603" s="274"/>
      <c r="E603" s="274"/>
      <c r="F603" s="274"/>
      <c r="G603" s="274"/>
      <c r="H603" s="274"/>
      <c r="I603" s="274"/>
      <c r="J603" s="274"/>
      <c r="K603" s="274"/>
      <c r="L603" s="274"/>
      <c r="M603" s="274"/>
      <c r="N603" s="274"/>
      <c r="O603" s="274"/>
      <c r="P603" s="274"/>
      <c r="Q603" s="274"/>
      <c r="R603" s="316"/>
      <c r="W603" s="274"/>
      <c r="X603" s="274"/>
      <c r="Y603" s="274"/>
      <c r="Z603" s="274">
        <v>35.25</v>
      </c>
      <c r="AA603" s="274"/>
      <c r="AB603" s="309">
        <v>3664792.385</v>
      </c>
      <c r="AC603" s="274"/>
      <c r="AD603" s="274"/>
      <c r="AE603" s="274"/>
      <c r="AF603" s="274"/>
      <c r="AG603" s="274"/>
      <c r="AH603" s="274"/>
      <c r="AI603" s="274"/>
      <c r="AJ603" s="274"/>
      <c r="AK603" s="274"/>
      <c r="AL603" s="274"/>
      <c r="AM603" s="274"/>
      <c r="AN603" s="274"/>
      <c r="AO603" s="274"/>
      <c r="AP603" s="274"/>
      <c r="AQ603" s="274"/>
      <c r="AR603" s="274"/>
      <c r="AS603" s="274"/>
      <c r="AT603" s="274"/>
      <c r="AU603" s="274"/>
      <c r="AV603" s="274"/>
      <c r="AW603" s="274"/>
    </row>
    <row r="604" ht="15.75" customHeight="1">
      <c r="A604" s="274"/>
      <c r="B604" s="274"/>
      <c r="C604" s="274"/>
      <c r="D604" s="274"/>
      <c r="E604" s="274"/>
      <c r="F604" s="274"/>
      <c r="G604" s="274"/>
      <c r="H604" s="274"/>
      <c r="I604" s="274"/>
      <c r="J604" s="274"/>
      <c r="K604" s="274"/>
      <c r="L604" s="274"/>
      <c r="M604" s="274"/>
      <c r="N604" s="274"/>
      <c r="O604" s="274"/>
      <c r="P604" s="274"/>
      <c r="Q604" s="274"/>
      <c r="R604" s="316"/>
      <c r="W604" s="274"/>
      <c r="X604" s="274"/>
      <c r="Y604" s="274"/>
      <c r="Z604" s="274">
        <v>35.312</v>
      </c>
      <c r="AA604" s="274"/>
      <c r="AB604" s="309">
        <v>3664792.385</v>
      </c>
      <c r="AC604" s="274"/>
      <c r="AD604" s="274"/>
      <c r="AE604" s="274"/>
      <c r="AF604" s="274"/>
      <c r="AG604" s="274"/>
      <c r="AH604" s="274"/>
      <c r="AI604" s="274"/>
      <c r="AJ604" s="274"/>
      <c r="AK604" s="274"/>
      <c r="AL604" s="274"/>
      <c r="AM604" s="274"/>
      <c r="AN604" s="274"/>
      <c r="AO604" s="274"/>
      <c r="AP604" s="274"/>
      <c r="AQ604" s="274"/>
      <c r="AR604" s="274"/>
      <c r="AS604" s="274"/>
      <c r="AT604" s="274"/>
      <c r="AU604" s="274"/>
      <c r="AV604" s="274"/>
      <c r="AW604" s="274"/>
    </row>
    <row r="605" ht="15.75" customHeight="1">
      <c r="A605" s="274"/>
      <c r="B605" s="274"/>
      <c r="C605" s="274"/>
      <c r="D605" s="274"/>
      <c r="E605" s="274"/>
      <c r="F605" s="274"/>
      <c r="G605" s="274"/>
      <c r="H605" s="274"/>
      <c r="I605" s="274"/>
      <c r="J605" s="274"/>
      <c r="K605" s="274"/>
      <c r="L605" s="274"/>
      <c r="M605" s="274"/>
      <c r="N605" s="274"/>
      <c r="O605" s="274"/>
      <c r="P605" s="274"/>
      <c r="Q605" s="274"/>
      <c r="R605" s="316"/>
      <c r="W605" s="274"/>
      <c r="X605" s="274"/>
      <c r="Y605" s="274"/>
      <c r="Z605" s="274">
        <v>35.375</v>
      </c>
      <c r="AA605" s="274"/>
      <c r="AB605" s="309">
        <v>3664792.385</v>
      </c>
      <c r="AC605" s="274"/>
      <c r="AD605" s="274"/>
      <c r="AE605" s="274"/>
      <c r="AF605" s="274"/>
      <c r="AG605" s="274"/>
      <c r="AH605" s="274"/>
      <c r="AI605" s="274"/>
      <c r="AJ605" s="274"/>
      <c r="AK605" s="274"/>
      <c r="AL605" s="274"/>
      <c r="AM605" s="274"/>
      <c r="AN605" s="274"/>
      <c r="AO605" s="274"/>
      <c r="AP605" s="274"/>
      <c r="AQ605" s="274"/>
      <c r="AR605" s="274"/>
      <c r="AS605" s="274"/>
      <c r="AT605" s="274"/>
      <c r="AU605" s="274"/>
      <c r="AV605" s="274"/>
      <c r="AW605" s="274"/>
    </row>
    <row r="606" ht="15.75" customHeight="1">
      <c r="A606" s="274"/>
      <c r="B606" s="274"/>
      <c r="C606" s="274"/>
      <c r="D606" s="274"/>
      <c r="E606" s="274"/>
      <c r="F606" s="274"/>
      <c r="G606" s="274"/>
      <c r="H606" s="274"/>
      <c r="I606" s="274"/>
      <c r="J606" s="274"/>
      <c r="K606" s="274"/>
      <c r="L606" s="274"/>
      <c r="M606" s="274"/>
      <c r="N606" s="274"/>
      <c r="O606" s="274"/>
      <c r="P606" s="274"/>
      <c r="Q606" s="274"/>
      <c r="R606" s="316"/>
      <c r="W606" s="274"/>
      <c r="X606" s="274"/>
      <c r="Y606" s="274"/>
      <c r="Z606" s="274">
        <v>35.437</v>
      </c>
      <c r="AA606" s="274"/>
      <c r="AB606" s="309">
        <v>3664792.385</v>
      </c>
      <c r="AC606" s="274"/>
      <c r="AD606" s="274"/>
      <c r="AE606" s="274"/>
      <c r="AF606" s="274"/>
      <c r="AG606" s="274"/>
      <c r="AH606" s="274"/>
      <c r="AI606" s="274"/>
      <c r="AJ606" s="274"/>
      <c r="AK606" s="274"/>
      <c r="AL606" s="274"/>
      <c r="AM606" s="274"/>
      <c r="AN606" s="274"/>
      <c r="AO606" s="274"/>
      <c r="AP606" s="274"/>
      <c r="AQ606" s="274"/>
      <c r="AR606" s="274"/>
      <c r="AS606" s="274"/>
      <c r="AT606" s="274"/>
      <c r="AU606" s="274"/>
      <c r="AV606" s="274"/>
      <c r="AW606" s="274"/>
    </row>
    <row r="607" ht="15.75" customHeight="1">
      <c r="A607" s="274"/>
      <c r="B607" s="274"/>
      <c r="C607" s="274"/>
      <c r="D607" s="274"/>
      <c r="E607" s="274"/>
      <c r="F607" s="274"/>
      <c r="G607" s="274"/>
      <c r="H607" s="274"/>
      <c r="I607" s="274"/>
      <c r="J607" s="274"/>
      <c r="K607" s="274"/>
      <c r="L607" s="274"/>
      <c r="M607" s="274"/>
      <c r="N607" s="274"/>
      <c r="O607" s="274"/>
      <c r="P607" s="274"/>
      <c r="Q607" s="274"/>
      <c r="R607" s="316"/>
      <c r="W607" s="274"/>
      <c r="X607" s="274"/>
      <c r="Y607" s="274"/>
      <c r="Z607" s="274">
        <v>35.5</v>
      </c>
      <c r="AA607" s="274"/>
      <c r="AB607" s="309">
        <v>3664792.385</v>
      </c>
      <c r="AC607" s="274"/>
      <c r="AD607" s="274"/>
      <c r="AE607" s="274"/>
      <c r="AF607" s="274"/>
      <c r="AG607" s="274"/>
      <c r="AH607" s="274"/>
      <c r="AI607" s="274"/>
      <c r="AJ607" s="274"/>
      <c r="AK607" s="274"/>
      <c r="AL607" s="274"/>
      <c r="AM607" s="274"/>
      <c r="AN607" s="274"/>
      <c r="AO607" s="274"/>
      <c r="AP607" s="274"/>
      <c r="AQ607" s="274"/>
      <c r="AR607" s="274"/>
      <c r="AS607" s="274"/>
      <c r="AT607" s="274"/>
      <c r="AU607" s="274"/>
      <c r="AV607" s="274"/>
      <c r="AW607" s="274"/>
    </row>
    <row r="608" ht="15.75" customHeight="1">
      <c r="A608" s="274"/>
      <c r="B608" s="274"/>
      <c r="C608" s="274"/>
      <c r="D608" s="274"/>
      <c r="E608" s="274"/>
      <c r="F608" s="274"/>
      <c r="G608" s="274"/>
      <c r="H608" s="274"/>
      <c r="I608" s="274"/>
      <c r="J608" s="274"/>
      <c r="K608" s="274"/>
      <c r="L608" s="274"/>
      <c r="M608" s="274"/>
      <c r="N608" s="274"/>
      <c r="O608" s="274"/>
      <c r="P608" s="274"/>
      <c r="Q608" s="274"/>
      <c r="R608" s="316"/>
      <c r="W608" s="274"/>
      <c r="X608" s="274"/>
      <c r="Y608" s="274"/>
      <c r="Z608" s="274">
        <v>35.562</v>
      </c>
      <c r="AA608" s="274"/>
      <c r="AB608" s="309">
        <v>3664792.385</v>
      </c>
      <c r="AC608" s="274"/>
      <c r="AD608" s="274"/>
      <c r="AE608" s="274"/>
      <c r="AF608" s="274"/>
      <c r="AG608" s="274"/>
      <c r="AH608" s="274"/>
      <c r="AI608" s="274"/>
      <c r="AJ608" s="274"/>
      <c r="AK608" s="274"/>
      <c r="AL608" s="274"/>
      <c r="AM608" s="274"/>
      <c r="AN608" s="274"/>
      <c r="AO608" s="274"/>
      <c r="AP608" s="274"/>
      <c r="AQ608" s="274"/>
      <c r="AR608" s="274"/>
      <c r="AS608" s="274"/>
      <c r="AT608" s="274"/>
      <c r="AU608" s="274"/>
      <c r="AV608" s="274"/>
      <c r="AW608" s="274"/>
    </row>
    <row r="609" ht="15.75" customHeight="1">
      <c r="A609" s="274"/>
      <c r="B609" s="274"/>
      <c r="C609" s="274"/>
      <c r="D609" s="274"/>
      <c r="E609" s="274"/>
      <c r="F609" s="274"/>
      <c r="G609" s="274"/>
      <c r="H609" s="274"/>
      <c r="I609" s="274"/>
      <c r="J609" s="274"/>
      <c r="K609" s="274"/>
      <c r="L609" s="274"/>
      <c r="M609" s="274"/>
      <c r="N609" s="274"/>
      <c r="O609" s="274"/>
      <c r="P609" s="274"/>
      <c r="Q609" s="274"/>
      <c r="R609" s="316"/>
      <c r="W609" s="274"/>
      <c r="X609" s="274"/>
      <c r="Y609" s="274"/>
      <c r="Z609" s="274">
        <v>35.625</v>
      </c>
      <c r="AA609" s="274"/>
      <c r="AB609" s="309">
        <v>3664792.385</v>
      </c>
      <c r="AC609" s="274"/>
      <c r="AD609" s="274"/>
      <c r="AE609" s="274"/>
      <c r="AF609" s="274"/>
      <c r="AG609" s="274"/>
      <c r="AH609" s="274"/>
      <c r="AI609" s="274"/>
      <c r="AJ609" s="274"/>
      <c r="AK609" s="274"/>
      <c r="AL609" s="274"/>
      <c r="AM609" s="274"/>
      <c r="AN609" s="274"/>
      <c r="AO609" s="274"/>
      <c r="AP609" s="274"/>
      <c r="AQ609" s="274"/>
      <c r="AR609" s="274"/>
      <c r="AS609" s="274"/>
      <c r="AT609" s="274"/>
      <c r="AU609" s="274"/>
      <c r="AV609" s="274"/>
      <c r="AW609" s="274"/>
    </row>
    <row r="610" ht="15.75" customHeight="1">
      <c r="A610" s="274"/>
      <c r="B610" s="274"/>
      <c r="C610" s="274"/>
      <c r="D610" s="274"/>
      <c r="E610" s="274"/>
      <c r="F610" s="274"/>
      <c r="G610" s="274"/>
      <c r="H610" s="274"/>
      <c r="I610" s="274"/>
      <c r="J610" s="274"/>
      <c r="K610" s="274"/>
      <c r="L610" s="274"/>
      <c r="M610" s="274"/>
      <c r="N610" s="274"/>
      <c r="O610" s="274"/>
      <c r="P610" s="274"/>
      <c r="Q610" s="274"/>
      <c r="R610" s="316"/>
      <c r="W610" s="274"/>
      <c r="X610" s="274"/>
      <c r="Y610" s="274"/>
      <c r="Z610" s="274">
        <v>35.687</v>
      </c>
      <c r="AA610" s="274"/>
      <c r="AB610" s="309">
        <v>3699695.169</v>
      </c>
      <c r="AC610" s="274"/>
      <c r="AD610" s="274"/>
      <c r="AE610" s="274"/>
      <c r="AF610" s="274"/>
      <c r="AG610" s="274"/>
      <c r="AH610" s="274"/>
      <c r="AI610" s="274"/>
      <c r="AJ610" s="274"/>
      <c r="AK610" s="274"/>
      <c r="AL610" s="274"/>
      <c r="AM610" s="274"/>
      <c r="AN610" s="274"/>
      <c r="AO610" s="274"/>
      <c r="AP610" s="274"/>
      <c r="AQ610" s="274"/>
      <c r="AR610" s="274"/>
      <c r="AS610" s="274"/>
      <c r="AT610" s="274"/>
      <c r="AU610" s="274"/>
      <c r="AV610" s="274"/>
      <c r="AW610" s="274"/>
    </row>
    <row r="611" ht="15.75" customHeight="1">
      <c r="A611" s="274"/>
      <c r="B611" s="274"/>
      <c r="C611" s="274"/>
      <c r="D611" s="274"/>
      <c r="E611" s="274"/>
      <c r="F611" s="274"/>
      <c r="G611" s="274"/>
      <c r="H611" s="274"/>
      <c r="I611" s="274"/>
      <c r="J611" s="274"/>
      <c r="K611" s="274"/>
      <c r="L611" s="274"/>
      <c r="M611" s="274"/>
      <c r="N611" s="274"/>
      <c r="O611" s="274"/>
      <c r="P611" s="274"/>
      <c r="Q611" s="274"/>
      <c r="R611" s="316"/>
      <c r="W611" s="274"/>
      <c r="X611" s="274"/>
      <c r="Y611" s="274"/>
      <c r="Z611" s="274">
        <v>35.75</v>
      </c>
      <c r="AA611" s="274"/>
      <c r="AB611" s="309">
        <v>3699695.169</v>
      </c>
      <c r="AC611" s="274"/>
      <c r="AD611" s="274"/>
      <c r="AE611" s="274"/>
      <c r="AF611" s="274"/>
      <c r="AG611" s="274"/>
      <c r="AH611" s="274"/>
      <c r="AI611" s="274"/>
      <c r="AJ611" s="274"/>
      <c r="AK611" s="274"/>
      <c r="AL611" s="274"/>
      <c r="AM611" s="274"/>
      <c r="AN611" s="274"/>
      <c r="AO611" s="274"/>
      <c r="AP611" s="274"/>
      <c r="AQ611" s="274"/>
      <c r="AR611" s="274"/>
      <c r="AS611" s="274"/>
      <c r="AT611" s="274"/>
      <c r="AU611" s="274"/>
      <c r="AV611" s="274"/>
      <c r="AW611" s="274"/>
    </row>
    <row r="612" ht="15.75" customHeight="1">
      <c r="A612" s="274"/>
      <c r="B612" s="274"/>
      <c r="C612" s="274"/>
      <c r="D612" s="274"/>
      <c r="E612" s="274"/>
      <c r="F612" s="274"/>
      <c r="G612" s="274"/>
      <c r="H612" s="274"/>
      <c r="I612" s="274"/>
      <c r="J612" s="274"/>
      <c r="K612" s="274"/>
      <c r="L612" s="274"/>
      <c r="M612" s="274"/>
      <c r="N612" s="274"/>
      <c r="O612" s="274"/>
      <c r="P612" s="274"/>
      <c r="Q612" s="274"/>
      <c r="R612" s="316"/>
      <c r="W612" s="274"/>
      <c r="X612" s="274"/>
      <c r="Y612" s="274"/>
      <c r="Z612" s="274">
        <v>35.812</v>
      </c>
      <c r="AA612" s="274"/>
      <c r="AB612" s="309">
        <v>3699695.169</v>
      </c>
      <c r="AC612" s="274"/>
      <c r="AD612" s="274"/>
      <c r="AE612" s="274"/>
      <c r="AF612" s="274"/>
      <c r="AG612" s="274"/>
      <c r="AH612" s="274"/>
      <c r="AI612" s="274"/>
      <c r="AJ612" s="274"/>
      <c r="AK612" s="274"/>
      <c r="AL612" s="274"/>
      <c r="AM612" s="274"/>
      <c r="AN612" s="274"/>
      <c r="AO612" s="274"/>
      <c r="AP612" s="274"/>
      <c r="AQ612" s="274"/>
      <c r="AR612" s="274"/>
      <c r="AS612" s="274"/>
      <c r="AT612" s="274"/>
      <c r="AU612" s="274"/>
      <c r="AV612" s="274"/>
      <c r="AW612" s="274"/>
    </row>
    <row r="613" ht="15.75" customHeight="1">
      <c r="A613" s="274"/>
      <c r="B613" s="274"/>
      <c r="C613" s="274"/>
      <c r="D613" s="274"/>
      <c r="E613" s="274"/>
      <c r="F613" s="274"/>
      <c r="G613" s="274"/>
      <c r="H613" s="274"/>
      <c r="I613" s="274"/>
      <c r="J613" s="274"/>
      <c r="K613" s="274"/>
      <c r="L613" s="274"/>
      <c r="M613" s="274"/>
      <c r="N613" s="274"/>
      <c r="O613" s="274"/>
      <c r="P613" s="274"/>
      <c r="Q613" s="274"/>
      <c r="R613" s="316"/>
      <c r="W613" s="274"/>
      <c r="X613" s="274"/>
      <c r="Y613" s="274"/>
      <c r="Z613" s="274">
        <v>35.875</v>
      </c>
      <c r="AA613" s="274"/>
      <c r="AB613" s="309">
        <v>3699695.169</v>
      </c>
      <c r="AC613" s="274"/>
      <c r="AD613" s="274"/>
      <c r="AE613" s="274"/>
      <c r="AF613" s="274"/>
      <c r="AG613" s="274"/>
      <c r="AH613" s="274"/>
      <c r="AI613" s="274"/>
      <c r="AJ613" s="274"/>
      <c r="AK613" s="274"/>
      <c r="AL613" s="274"/>
      <c r="AM613" s="274"/>
      <c r="AN613" s="274"/>
      <c r="AO613" s="274"/>
      <c r="AP613" s="274"/>
      <c r="AQ613" s="274"/>
      <c r="AR613" s="274"/>
      <c r="AS613" s="274"/>
      <c r="AT613" s="274"/>
      <c r="AU613" s="274"/>
      <c r="AV613" s="274"/>
      <c r="AW613" s="274"/>
    </row>
    <row r="614" ht="15.75" customHeight="1">
      <c r="A614" s="274"/>
      <c r="B614" s="274"/>
      <c r="C614" s="274"/>
      <c r="D614" s="274"/>
      <c r="E614" s="274"/>
      <c r="F614" s="274"/>
      <c r="G614" s="274"/>
      <c r="H614" s="274"/>
      <c r="I614" s="274"/>
      <c r="J614" s="274"/>
      <c r="K614" s="274"/>
      <c r="L614" s="274"/>
      <c r="M614" s="274"/>
      <c r="N614" s="274"/>
      <c r="O614" s="274"/>
      <c r="P614" s="274"/>
      <c r="Q614" s="274"/>
      <c r="R614" s="316"/>
      <c r="W614" s="274"/>
      <c r="X614" s="274"/>
      <c r="Y614" s="274"/>
      <c r="Z614" s="274">
        <v>35.937</v>
      </c>
      <c r="AA614" s="274"/>
      <c r="AB614" s="309">
        <v>3699695.169</v>
      </c>
      <c r="AC614" s="274"/>
      <c r="AD614" s="274"/>
      <c r="AE614" s="274"/>
      <c r="AF614" s="274"/>
      <c r="AG614" s="274"/>
      <c r="AH614" s="274"/>
      <c r="AI614" s="274"/>
      <c r="AJ614" s="274"/>
      <c r="AK614" s="274"/>
      <c r="AL614" s="274"/>
      <c r="AM614" s="274"/>
      <c r="AN614" s="274"/>
      <c r="AO614" s="274"/>
      <c r="AP614" s="274"/>
      <c r="AQ614" s="274"/>
      <c r="AR614" s="274"/>
      <c r="AS614" s="274"/>
      <c r="AT614" s="274"/>
      <c r="AU614" s="274"/>
      <c r="AV614" s="274"/>
      <c r="AW614" s="274"/>
    </row>
    <row r="615" ht="15.75" customHeight="1">
      <c r="A615" s="274"/>
      <c r="B615" s="274"/>
      <c r="C615" s="274"/>
      <c r="D615" s="274"/>
      <c r="E615" s="274"/>
      <c r="F615" s="274"/>
      <c r="G615" s="274"/>
      <c r="H615" s="274"/>
      <c r="I615" s="274"/>
      <c r="J615" s="274"/>
      <c r="K615" s="274"/>
      <c r="L615" s="274"/>
      <c r="M615" s="274"/>
      <c r="N615" s="274"/>
      <c r="O615" s="274"/>
      <c r="P615" s="274"/>
      <c r="Q615" s="274"/>
      <c r="R615" s="316"/>
      <c r="W615" s="274"/>
      <c r="X615" s="274"/>
      <c r="Y615" s="274"/>
      <c r="Z615" s="274">
        <v>36.0</v>
      </c>
      <c r="AA615" s="274"/>
      <c r="AB615" s="309">
        <v>3699695.169</v>
      </c>
      <c r="AC615" s="274"/>
      <c r="AD615" s="274"/>
      <c r="AE615" s="274"/>
      <c r="AF615" s="274"/>
      <c r="AG615" s="274"/>
      <c r="AH615" s="274"/>
      <c r="AI615" s="274"/>
      <c r="AJ615" s="274"/>
      <c r="AK615" s="274"/>
      <c r="AL615" s="274"/>
      <c r="AM615" s="274"/>
      <c r="AN615" s="274"/>
      <c r="AO615" s="274"/>
      <c r="AP615" s="274"/>
      <c r="AQ615" s="274"/>
      <c r="AR615" s="274"/>
      <c r="AS615" s="274"/>
      <c r="AT615" s="274"/>
      <c r="AU615" s="274"/>
      <c r="AV615" s="274"/>
      <c r="AW615" s="274"/>
    </row>
    <row r="616" ht="15.75" customHeight="1">
      <c r="A616" s="274"/>
      <c r="B616" s="274"/>
      <c r="C616" s="274"/>
      <c r="D616" s="274"/>
      <c r="E616" s="274"/>
      <c r="F616" s="274"/>
      <c r="G616" s="274"/>
      <c r="H616" s="274"/>
      <c r="I616" s="274"/>
      <c r="J616" s="274"/>
      <c r="K616" s="274"/>
      <c r="L616" s="274"/>
      <c r="M616" s="274"/>
      <c r="N616" s="274"/>
      <c r="O616" s="274"/>
      <c r="P616" s="274"/>
      <c r="Q616" s="274"/>
      <c r="R616" s="316"/>
      <c r="W616" s="274"/>
      <c r="X616" s="274"/>
      <c r="Y616" s="274"/>
      <c r="Z616" s="274">
        <v>36.062</v>
      </c>
      <c r="AA616" s="274"/>
      <c r="AB616" s="309">
        <v>3699695.169</v>
      </c>
      <c r="AC616" s="274"/>
      <c r="AD616" s="274"/>
      <c r="AE616" s="274"/>
      <c r="AF616" s="274"/>
      <c r="AG616" s="274"/>
      <c r="AH616" s="274"/>
      <c r="AI616" s="274"/>
      <c r="AJ616" s="274"/>
      <c r="AK616" s="274"/>
      <c r="AL616" s="274"/>
      <c r="AM616" s="274"/>
      <c r="AN616" s="274"/>
      <c r="AO616" s="274"/>
      <c r="AP616" s="274"/>
      <c r="AQ616" s="274"/>
      <c r="AR616" s="274"/>
      <c r="AS616" s="274"/>
      <c r="AT616" s="274"/>
      <c r="AU616" s="274"/>
      <c r="AV616" s="274"/>
      <c r="AW616" s="274"/>
    </row>
    <row r="617" ht="15.75" customHeight="1">
      <c r="A617" s="274"/>
      <c r="B617" s="274"/>
      <c r="C617" s="274"/>
      <c r="D617" s="274"/>
      <c r="E617" s="274"/>
      <c r="F617" s="274"/>
      <c r="G617" s="274"/>
      <c r="H617" s="274"/>
      <c r="I617" s="274"/>
      <c r="J617" s="274"/>
      <c r="K617" s="274"/>
      <c r="L617" s="274"/>
      <c r="M617" s="274"/>
      <c r="N617" s="274"/>
      <c r="O617" s="274"/>
      <c r="P617" s="274"/>
      <c r="Q617" s="274"/>
      <c r="R617" s="316"/>
      <c r="W617" s="274"/>
      <c r="X617" s="274"/>
      <c r="Y617" s="274"/>
      <c r="Z617" s="274">
        <v>36.125</v>
      </c>
      <c r="AA617" s="274"/>
      <c r="AB617" s="309">
        <v>3699695.169</v>
      </c>
      <c r="AC617" s="274"/>
      <c r="AD617" s="274"/>
      <c r="AE617" s="274"/>
      <c r="AF617" s="274"/>
      <c r="AG617" s="274"/>
      <c r="AH617" s="274"/>
      <c r="AI617" s="274"/>
      <c r="AJ617" s="274"/>
      <c r="AK617" s="274"/>
      <c r="AL617" s="274"/>
      <c r="AM617" s="274"/>
      <c r="AN617" s="274"/>
      <c r="AO617" s="274"/>
      <c r="AP617" s="274"/>
      <c r="AQ617" s="274"/>
      <c r="AR617" s="274"/>
      <c r="AS617" s="274"/>
      <c r="AT617" s="274"/>
      <c r="AU617" s="274"/>
      <c r="AV617" s="274"/>
      <c r="AW617" s="274"/>
    </row>
    <row r="618" ht="15.75" customHeight="1">
      <c r="A618" s="274"/>
      <c r="B618" s="274"/>
      <c r="C618" s="274"/>
      <c r="D618" s="274"/>
      <c r="E618" s="274"/>
      <c r="F618" s="274"/>
      <c r="G618" s="274"/>
      <c r="H618" s="274"/>
      <c r="I618" s="274"/>
      <c r="J618" s="274"/>
      <c r="K618" s="274"/>
      <c r="L618" s="274"/>
      <c r="M618" s="274"/>
      <c r="N618" s="274"/>
      <c r="O618" s="274"/>
      <c r="P618" s="274"/>
      <c r="Q618" s="274"/>
      <c r="R618" s="316"/>
      <c r="W618" s="274"/>
      <c r="X618" s="274"/>
      <c r="Y618" s="274"/>
      <c r="Z618" s="274">
        <v>36.187</v>
      </c>
      <c r="AA618" s="274"/>
      <c r="AB618" s="309">
        <v>3699695.169</v>
      </c>
      <c r="AC618" s="274"/>
      <c r="AD618" s="274"/>
      <c r="AE618" s="274"/>
      <c r="AF618" s="274"/>
      <c r="AG618" s="274"/>
      <c r="AH618" s="274"/>
      <c r="AI618" s="274"/>
      <c r="AJ618" s="274"/>
      <c r="AK618" s="274"/>
      <c r="AL618" s="274"/>
      <c r="AM618" s="274"/>
      <c r="AN618" s="274"/>
      <c r="AO618" s="274"/>
      <c r="AP618" s="274"/>
      <c r="AQ618" s="274"/>
      <c r="AR618" s="274"/>
      <c r="AS618" s="274"/>
      <c r="AT618" s="274"/>
      <c r="AU618" s="274"/>
      <c r="AV618" s="274"/>
      <c r="AW618" s="274"/>
    </row>
    <row r="619" ht="15.75" customHeight="1">
      <c r="A619" s="274"/>
      <c r="B619" s="274"/>
      <c r="C619" s="274"/>
      <c r="D619" s="274"/>
      <c r="E619" s="274"/>
      <c r="F619" s="274"/>
      <c r="G619" s="274"/>
      <c r="H619" s="274"/>
      <c r="I619" s="274"/>
      <c r="J619" s="274"/>
      <c r="K619" s="274"/>
      <c r="L619" s="274"/>
      <c r="M619" s="274"/>
      <c r="N619" s="274"/>
      <c r="O619" s="274"/>
      <c r="P619" s="274"/>
      <c r="Q619" s="274"/>
      <c r="R619" s="316"/>
      <c r="W619" s="274"/>
      <c r="X619" s="274"/>
      <c r="Y619" s="274"/>
      <c r="Z619" s="274">
        <v>36.25</v>
      </c>
      <c r="AA619" s="274"/>
      <c r="AB619" s="309">
        <v>3699695.169</v>
      </c>
      <c r="AC619" s="274"/>
      <c r="AD619" s="274"/>
      <c r="AE619" s="274"/>
      <c r="AF619" s="274"/>
      <c r="AG619" s="274"/>
      <c r="AH619" s="274"/>
      <c r="AI619" s="274"/>
      <c r="AJ619" s="274"/>
      <c r="AK619" s="274"/>
      <c r="AL619" s="274"/>
      <c r="AM619" s="274"/>
      <c r="AN619" s="274"/>
      <c r="AO619" s="274"/>
      <c r="AP619" s="274"/>
      <c r="AQ619" s="274"/>
      <c r="AR619" s="274"/>
      <c r="AS619" s="274"/>
      <c r="AT619" s="274"/>
      <c r="AU619" s="274"/>
      <c r="AV619" s="274"/>
      <c r="AW619" s="274"/>
    </row>
    <row r="620" ht="15.75" customHeight="1">
      <c r="A620" s="274"/>
      <c r="B620" s="274"/>
      <c r="C620" s="274"/>
      <c r="D620" s="274"/>
      <c r="E620" s="274"/>
      <c r="F620" s="274"/>
      <c r="G620" s="274"/>
      <c r="H620" s="274"/>
      <c r="I620" s="274"/>
      <c r="J620" s="274"/>
      <c r="K620" s="274"/>
      <c r="L620" s="274"/>
      <c r="M620" s="274"/>
      <c r="N620" s="274"/>
      <c r="O620" s="274"/>
      <c r="P620" s="274"/>
      <c r="Q620" s="274"/>
      <c r="R620" s="316"/>
      <c r="W620" s="274"/>
      <c r="X620" s="274"/>
      <c r="Y620" s="274"/>
      <c r="Z620" s="274">
        <v>36.312</v>
      </c>
      <c r="AA620" s="274"/>
      <c r="AB620" s="309">
        <v>3699695.169</v>
      </c>
      <c r="AC620" s="274"/>
      <c r="AD620" s="274"/>
      <c r="AE620" s="274"/>
      <c r="AF620" s="274"/>
      <c r="AG620" s="274"/>
      <c r="AH620" s="274"/>
      <c r="AI620" s="274"/>
      <c r="AJ620" s="274"/>
      <c r="AK620" s="274"/>
      <c r="AL620" s="274"/>
      <c r="AM620" s="274"/>
      <c r="AN620" s="274"/>
      <c r="AO620" s="274"/>
      <c r="AP620" s="274"/>
      <c r="AQ620" s="274"/>
      <c r="AR620" s="274"/>
      <c r="AS620" s="274"/>
      <c r="AT620" s="274"/>
      <c r="AU620" s="274"/>
      <c r="AV620" s="274"/>
      <c r="AW620" s="274"/>
    </row>
    <row r="621" ht="15.75" customHeight="1">
      <c r="A621" s="274"/>
      <c r="B621" s="274"/>
      <c r="C621" s="274"/>
      <c r="D621" s="274"/>
      <c r="E621" s="274"/>
      <c r="F621" s="274"/>
      <c r="G621" s="274"/>
      <c r="H621" s="274"/>
      <c r="I621" s="274"/>
      <c r="J621" s="274"/>
      <c r="K621" s="274"/>
      <c r="L621" s="274"/>
      <c r="M621" s="274"/>
      <c r="N621" s="274"/>
      <c r="O621" s="274"/>
      <c r="P621" s="274"/>
      <c r="Q621" s="274"/>
      <c r="R621" s="316"/>
      <c r="W621" s="274"/>
      <c r="X621" s="274"/>
      <c r="Y621" s="274"/>
      <c r="Z621" s="274">
        <v>36.375</v>
      </c>
      <c r="AA621" s="274"/>
      <c r="AB621" s="309">
        <v>3699695.169</v>
      </c>
      <c r="AC621" s="274"/>
      <c r="AD621" s="274"/>
      <c r="AE621" s="274"/>
      <c r="AF621" s="274"/>
      <c r="AG621" s="274"/>
      <c r="AH621" s="274"/>
      <c r="AI621" s="274"/>
      <c r="AJ621" s="274"/>
      <c r="AK621" s="274"/>
      <c r="AL621" s="274"/>
      <c r="AM621" s="274"/>
      <c r="AN621" s="274"/>
      <c r="AO621" s="274"/>
      <c r="AP621" s="274"/>
      <c r="AQ621" s="274"/>
      <c r="AR621" s="274"/>
      <c r="AS621" s="274"/>
      <c r="AT621" s="274"/>
      <c r="AU621" s="274"/>
      <c r="AV621" s="274"/>
      <c r="AW621" s="274"/>
    </row>
    <row r="622" ht="15.75" customHeight="1">
      <c r="A622" s="274"/>
      <c r="B622" s="274"/>
      <c r="C622" s="274"/>
      <c r="D622" s="274"/>
      <c r="E622" s="274"/>
      <c r="F622" s="274"/>
      <c r="G622" s="274"/>
      <c r="H622" s="274"/>
      <c r="I622" s="274"/>
      <c r="J622" s="274"/>
      <c r="K622" s="274"/>
      <c r="L622" s="274"/>
      <c r="M622" s="274"/>
      <c r="N622" s="274"/>
      <c r="O622" s="274"/>
      <c r="P622" s="274"/>
      <c r="Q622" s="274"/>
      <c r="R622" s="316"/>
      <c r="W622" s="274"/>
      <c r="X622" s="274"/>
      <c r="Y622" s="274"/>
      <c r="Z622" s="274">
        <v>36.437</v>
      </c>
      <c r="AA622" s="274"/>
      <c r="AB622" s="309">
        <v>3699695.169</v>
      </c>
      <c r="AC622" s="274"/>
      <c r="AD622" s="274"/>
      <c r="AE622" s="274"/>
      <c r="AF622" s="274"/>
      <c r="AG622" s="274"/>
      <c r="AH622" s="274"/>
      <c r="AI622" s="274"/>
      <c r="AJ622" s="274"/>
      <c r="AK622" s="274"/>
      <c r="AL622" s="274"/>
      <c r="AM622" s="274"/>
      <c r="AN622" s="274"/>
      <c r="AO622" s="274"/>
      <c r="AP622" s="274"/>
      <c r="AQ622" s="274"/>
      <c r="AR622" s="274"/>
      <c r="AS622" s="274"/>
      <c r="AT622" s="274"/>
      <c r="AU622" s="274"/>
      <c r="AV622" s="274"/>
      <c r="AW622" s="274"/>
    </row>
    <row r="623" ht="15.75" customHeight="1">
      <c r="A623" s="274"/>
      <c r="B623" s="274"/>
      <c r="C623" s="274"/>
      <c r="D623" s="274"/>
      <c r="E623" s="274"/>
      <c r="F623" s="274"/>
      <c r="G623" s="274"/>
      <c r="H623" s="274"/>
      <c r="I623" s="274"/>
      <c r="J623" s="274"/>
      <c r="K623" s="274"/>
      <c r="L623" s="274"/>
      <c r="M623" s="274"/>
      <c r="N623" s="274"/>
      <c r="O623" s="274"/>
      <c r="P623" s="274"/>
      <c r="Q623" s="274"/>
      <c r="R623" s="316"/>
      <c r="W623" s="274"/>
      <c r="X623" s="274"/>
      <c r="Y623" s="274"/>
      <c r="Z623" s="274">
        <v>36.5</v>
      </c>
      <c r="AA623" s="274"/>
      <c r="AB623" s="309">
        <v>3699695.169</v>
      </c>
      <c r="AC623" s="274"/>
      <c r="AD623" s="274"/>
      <c r="AE623" s="274"/>
      <c r="AF623" s="274"/>
      <c r="AG623" s="274"/>
      <c r="AH623" s="274"/>
      <c r="AI623" s="274"/>
      <c r="AJ623" s="274"/>
      <c r="AK623" s="274"/>
      <c r="AL623" s="274"/>
      <c r="AM623" s="274"/>
      <c r="AN623" s="274"/>
      <c r="AO623" s="274"/>
      <c r="AP623" s="274"/>
      <c r="AQ623" s="274"/>
      <c r="AR623" s="274"/>
      <c r="AS623" s="274"/>
      <c r="AT623" s="274"/>
      <c r="AU623" s="274"/>
      <c r="AV623" s="274"/>
      <c r="AW623" s="274"/>
    </row>
    <row r="624" ht="15.75" customHeight="1">
      <c r="A624" s="274"/>
      <c r="B624" s="274"/>
      <c r="C624" s="274"/>
      <c r="D624" s="274"/>
      <c r="E624" s="274"/>
      <c r="F624" s="274"/>
      <c r="G624" s="274"/>
      <c r="H624" s="274"/>
      <c r="I624" s="274"/>
      <c r="J624" s="274"/>
      <c r="K624" s="274"/>
      <c r="L624" s="274"/>
      <c r="M624" s="274"/>
      <c r="N624" s="274"/>
      <c r="O624" s="274"/>
      <c r="P624" s="274"/>
      <c r="Q624" s="274"/>
      <c r="R624" s="316"/>
      <c r="W624" s="274"/>
      <c r="X624" s="274"/>
      <c r="Y624" s="274"/>
      <c r="Z624" s="274">
        <v>36.562</v>
      </c>
      <c r="AA624" s="274"/>
      <c r="AB624" s="309">
        <v>3699695.169</v>
      </c>
      <c r="AC624" s="274"/>
      <c r="AD624" s="274"/>
      <c r="AE624" s="274"/>
      <c r="AF624" s="274"/>
      <c r="AG624" s="274"/>
      <c r="AH624" s="274"/>
      <c r="AI624" s="274"/>
      <c r="AJ624" s="274"/>
      <c r="AK624" s="274"/>
      <c r="AL624" s="274"/>
      <c r="AM624" s="274"/>
      <c r="AN624" s="274"/>
      <c r="AO624" s="274"/>
      <c r="AP624" s="274"/>
      <c r="AQ624" s="274"/>
      <c r="AR624" s="274"/>
      <c r="AS624" s="274"/>
      <c r="AT624" s="274"/>
      <c r="AU624" s="274"/>
      <c r="AV624" s="274"/>
      <c r="AW624" s="274"/>
    </row>
    <row r="625" ht="15.75" customHeight="1">
      <c r="A625" s="274"/>
      <c r="B625" s="274"/>
      <c r="C625" s="274"/>
      <c r="D625" s="274"/>
      <c r="E625" s="274"/>
      <c r="F625" s="274"/>
      <c r="G625" s="274"/>
      <c r="H625" s="274"/>
      <c r="I625" s="274"/>
      <c r="J625" s="274"/>
      <c r="K625" s="274"/>
      <c r="L625" s="274"/>
      <c r="M625" s="274"/>
      <c r="N625" s="274"/>
      <c r="O625" s="274"/>
      <c r="P625" s="274"/>
      <c r="Q625" s="274"/>
      <c r="R625" s="316"/>
      <c r="W625" s="274"/>
      <c r="X625" s="274"/>
      <c r="Y625" s="274"/>
      <c r="Z625" s="274">
        <v>36.625</v>
      </c>
      <c r="AA625" s="274"/>
      <c r="AB625" s="309">
        <v>3699695.169</v>
      </c>
      <c r="AC625" s="274"/>
      <c r="AD625" s="274"/>
      <c r="AE625" s="274"/>
      <c r="AF625" s="274"/>
      <c r="AG625" s="274"/>
      <c r="AH625" s="274"/>
      <c r="AI625" s="274"/>
      <c r="AJ625" s="274"/>
      <c r="AK625" s="274"/>
      <c r="AL625" s="274"/>
      <c r="AM625" s="274"/>
      <c r="AN625" s="274"/>
      <c r="AO625" s="274"/>
      <c r="AP625" s="274"/>
      <c r="AQ625" s="274"/>
      <c r="AR625" s="274"/>
      <c r="AS625" s="274"/>
      <c r="AT625" s="274"/>
      <c r="AU625" s="274"/>
      <c r="AV625" s="274"/>
      <c r="AW625" s="274"/>
    </row>
    <row r="626" ht="15.75" customHeight="1">
      <c r="A626" s="274"/>
      <c r="B626" s="274"/>
      <c r="C626" s="274"/>
      <c r="D626" s="274"/>
      <c r="E626" s="274"/>
      <c r="F626" s="274"/>
      <c r="G626" s="274"/>
      <c r="H626" s="274"/>
      <c r="I626" s="274"/>
      <c r="J626" s="274"/>
      <c r="K626" s="274"/>
      <c r="L626" s="274"/>
      <c r="M626" s="274"/>
      <c r="N626" s="274"/>
      <c r="O626" s="274"/>
      <c r="P626" s="274"/>
      <c r="Q626" s="274"/>
      <c r="R626" s="316"/>
      <c r="W626" s="274"/>
      <c r="X626" s="274"/>
      <c r="Y626" s="274"/>
      <c r="Z626" s="274">
        <v>36.687</v>
      </c>
      <c r="AA626" s="274"/>
      <c r="AB626" s="309">
        <v>3850940.569</v>
      </c>
      <c r="AC626" s="274"/>
      <c r="AD626" s="274"/>
      <c r="AE626" s="274"/>
      <c r="AF626" s="274"/>
      <c r="AG626" s="274"/>
      <c r="AH626" s="274"/>
      <c r="AI626" s="274"/>
      <c r="AJ626" s="274"/>
      <c r="AK626" s="274"/>
      <c r="AL626" s="274"/>
      <c r="AM626" s="274"/>
      <c r="AN626" s="274"/>
      <c r="AO626" s="274"/>
      <c r="AP626" s="274"/>
      <c r="AQ626" s="274"/>
      <c r="AR626" s="274"/>
      <c r="AS626" s="274"/>
      <c r="AT626" s="274"/>
      <c r="AU626" s="274"/>
      <c r="AV626" s="274"/>
      <c r="AW626" s="274"/>
    </row>
    <row r="627" ht="15.75" customHeight="1">
      <c r="A627" s="274"/>
      <c r="B627" s="274"/>
      <c r="C627" s="274"/>
      <c r="D627" s="274"/>
      <c r="E627" s="274"/>
      <c r="F627" s="274"/>
      <c r="G627" s="274"/>
      <c r="H627" s="274"/>
      <c r="I627" s="274"/>
      <c r="J627" s="274"/>
      <c r="K627" s="274"/>
      <c r="L627" s="274"/>
      <c r="M627" s="274"/>
      <c r="N627" s="274"/>
      <c r="O627" s="274"/>
      <c r="P627" s="274"/>
      <c r="Q627" s="274"/>
      <c r="R627" s="316"/>
      <c r="W627" s="274"/>
      <c r="X627" s="274"/>
      <c r="Y627" s="274"/>
      <c r="Z627" s="274">
        <v>36.75</v>
      </c>
      <c r="AA627" s="274"/>
      <c r="AB627" s="309">
        <v>3850940.569</v>
      </c>
      <c r="AC627" s="274"/>
      <c r="AD627" s="274"/>
      <c r="AE627" s="274"/>
      <c r="AF627" s="274"/>
      <c r="AG627" s="274"/>
      <c r="AH627" s="274"/>
      <c r="AI627" s="274"/>
      <c r="AJ627" s="274"/>
      <c r="AK627" s="274"/>
      <c r="AL627" s="274"/>
      <c r="AM627" s="274"/>
      <c r="AN627" s="274"/>
      <c r="AO627" s="274"/>
      <c r="AP627" s="274"/>
      <c r="AQ627" s="274"/>
      <c r="AR627" s="274"/>
      <c r="AS627" s="274"/>
      <c r="AT627" s="274"/>
      <c r="AU627" s="274"/>
      <c r="AV627" s="274"/>
      <c r="AW627" s="274"/>
    </row>
    <row r="628" ht="15.75" customHeight="1">
      <c r="A628" s="274"/>
      <c r="B628" s="274"/>
      <c r="C628" s="274"/>
      <c r="D628" s="274"/>
      <c r="E628" s="274"/>
      <c r="F628" s="274"/>
      <c r="G628" s="274"/>
      <c r="H628" s="274"/>
      <c r="I628" s="274"/>
      <c r="J628" s="274"/>
      <c r="K628" s="274"/>
      <c r="L628" s="274"/>
      <c r="M628" s="274"/>
      <c r="N628" s="274"/>
      <c r="O628" s="274"/>
      <c r="P628" s="274"/>
      <c r="Q628" s="274"/>
      <c r="R628" s="316"/>
      <c r="W628" s="274"/>
      <c r="X628" s="274"/>
      <c r="Y628" s="274"/>
      <c r="Z628" s="274">
        <v>36.812</v>
      </c>
      <c r="AA628" s="274"/>
      <c r="AB628" s="309">
        <v>3850940.569</v>
      </c>
      <c r="AC628" s="274"/>
      <c r="AD628" s="274"/>
      <c r="AE628" s="274"/>
      <c r="AF628" s="274"/>
      <c r="AG628" s="274"/>
      <c r="AH628" s="274"/>
      <c r="AI628" s="274"/>
      <c r="AJ628" s="274"/>
      <c r="AK628" s="274"/>
      <c r="AL628" s="274"/>
      <c r="AM628" s="274"/>
      <c r="AN628" s="274"/>
      <c r="AO628" s="274"/>
      <c r="AP628" s="274"/>
      <c r="AQ628" s="274"/>
      <c r="AR628" s="274"/>
      <c r="AS628" s="274"/>
      <c r="AT628" s="274"/>
      <c r="AU628" s="274"/>
      <c r="AV628" s="274"/>
      <c r="AW628" s="274"/>
    </row>
    <row r="629" ht="15.75" customHeight="1">
      <c r="A629" s="274"/>
      <c r="B629" s="274"/>
      <c r="C629" s="274"/>
      <c r="D629" s="274"/>
      <c r="E629" s="274"/>
      <c r="F629" s="274"/>
      <c r="G629" s="274"/>
      <c r="H629" s="274"/>
      <c r="I629" s="274"/>
      <c r="J629" s="274"/>
      <c r="K629" s="274"/>
      <c r="L629" s="274"/>
      <c r="M629" s="274"/>
      <c r="N629" s="274"/>
      <c r="O629" s="274"/>
      <c r="P629" s="274"/>
      <c r="Q629" s="274"/>
      <c r="R629" s="316"/>
      <c r="W629" s="274"/>
      <c r="X629" s="274"/>
      <c r="Y629" s="274"/>
      <c r="Z629" s="274">
        <v>36.875</v>
      </c>
      <c r="AA629" s="274"/>
      <c r="AB629" s="309">
        <v>3850940.569</v>
      </c>
      <c r="AC629" s="274"/>
      <c r="AD629" s="274"/>
      <c r="AE629" s="274"/>
      <c r="AF629" s="274"/>
      <c r="AG629" s="274"/>
      <c r="AH629" s="274"/>
      <c r="AI629" s="274"/>
      <c r="AJ629" s="274"/>
      <c r="AK629" s="274"/>
      <c r="AL629" s="274"/>
      <c r="AM629" s="274"/>
      <c r="AN629" s="274"/>
      <c r="AO629" s="274"/>
      <c r="AP629" s="274"/>
      <c r="AQ629" s="274"/>
      <c r="AR629" s="274"/>
      <c r="AS629" s="274"/>
      <c r="AT629" s="274"/>
      <c r="AU629" s="274"/>
      <c r="AV629" s="274"/>
      <c r="AW629" s="274"/>
    </row>
    <row r="630" ht="15.75" customHeight="1">
      <c r="A630" s="274"/>
      <c r="B630" s="274"/>
      <c r="C630" s="274"/>
      <c r="D630" s="274"/>
      <c r="E630" s="274"/>
      <c r="F630" s="274"/>
      <c r="G630" s="274"/>
      <c r="H630" s="274"/>
      <c r="I630" s="274"/>
      <c r="J630" s="274"/>
      <c r="K630" s="274"/>
      <c r="L630" s="274"/>
      <c r="M630" s="274"/>
      <c r="N630" s="274"/>
      <c r="O630" s="274"/>
      <c r="P630" s="274"/>
      <c r="Q630" s="274"/>
      <c r="R630" s="316"/>
      <c r="W630" s="274"/>
      <c r="X630" s="274"/>
      <c r="Y630" s="274"/>
      <c r="Z630" s="274">
        <v>36.937</v>
      </c>
      <c r="AA630" s="274"/>
      <c r="AB630" s="309">
        <v>3850940.569</v>
      </c>
      <c r="AC630" s="274"/>
      <c r="AD630" s="274"/>
      <c r="AE630" s="274"/>
      <c r="AF630" s="274"/>
      <c r="AG630" s="274"/>
      <c r="AH630" s="274"/>
      <c r="AI630" s="274"/>
      <c r="AJ630" s="274"/>
      <c r="AK630" s="274"/>
      <c r="AL630" s="274"/>
      <c r="AM630" s="274"/>
      <c r="AN630" s="274"/>
      <c r="AO630" s="274"/>
      <c r="AP630" s="274"/>
      <c r="AQ630" s="274"/>
      <c r="AR630" s="274"/>
      <c r="AS630" s="274"/>
      <c r="AT630" s="274"/>
      <c r="AU630" s="274"/>
      <c r="AV630" s="274"/>
      <c r="AW630" s="274"/>
    </row>
    <row r="631" ht="15.75" customHeight="1">
      <c r="A631" s="274"/>
      <c r="B631" s="274"/>
      <c r="C631" s="274"/>
      <c r="D631" s="274"/>
      <c r="E631" s="274"/>
      <c r="F631" s="274"/>
      <c r="G631" s="274"/>
      <c r="H631" s="274"/>
      <c r="I631" s="274"/>
      <c r="J631" s="274"/>
      <c r="K631" s="274"/>
      <c r="L631" s="274"/>
      <c r="M631" s="274"/>
      <c r="N631" s="274"/>
      <c r="O631" s="274"/>
      <c r="P631" s="274"/>
      <c r="Q631" s="274"/>
      <c r="R631" s="316"/>
      <c r="W631" s="274"/>
      <c r="X631" s="274"/>
      <c r="Y631" s="274"/>
      <c r="Z631" s="274">
        <v>37.015</v>
      </c>
      <c r="AA631" s="274"/>
      <c r="AB631" s="309">
        <v>3850940.569</v>
      </c>
      <c r="AC631" s="274"/>
      <c r="AD631" s="274"/>
      <c r="AE631" s="274"/>
      <c r="AF631" s="274"/>
      <c r="AG631" s="274"/>
      <c r="AH631" s="274"/>
      <c r="AI631" s="274"/>
      <c r="AJ631" s="274"/>
      <c r="AK631" s="274"/>
      <c r="AL631" s="274"/>
      <c r="AM631" s="274"/>
      <c r="AN631" s="274"/>
      <c r="AO631" s="274"/>
      <c r="AP631" s="274"/>
      <c r="AQ631" s="274"/>
      <c r="AR631" s="274"/>
      <c r="AS631" s="274"/>
      <c r="AT631" s="274"/>
      <c r="AU631" s="274"/>
      <c r="AV631" s="274"/>
      <c r="AW631" s="274"/>
    </row>
    <row r="632" ht="15.75" customHeight="1">
      <c r="A632" s="274"/>
      <c r="B632" s="274"/>
      <c r="C632" s="274"/>
      <c r="D632" s="274"/>
      <c r="E632" s="274"/>
      <c r="F632" s="274"/>
      <c r="G632" s="274"/>
      <c r="H632" s="274"/>
      <c r="I632" s="274"/>
      <c r="J632" s="274"/>
      <c r="K632" s="274"/>
      <c r="L632" s="274"/>
      <c r="M632" s="274"/>
      <c r="N632" s="274"/>
      <c r="O632" s="274"/>
      <c r="P632" s="274"/>
      <c r="Q632" s="274"/>
      <c r="R632" s="316"/>
      <c r="W632" s="274"/>
      <c r="X632" s="274"/>
      <c r="Y632" s="274"/>
      <c r="Z632" s="274">
        <v>37.078</v>
      </c>
      <c r="AA632" s="274"/>
      <c r="AB632" s="309">
        <v>3850940.569</v>
      </c>
      <c r="AC632" s="274"/>
      <c r="AD632" s="274"/>
      <c r="AE632" s="274"/>
      <c r="AF632" s="274"/>
      <c r="AG632" s="274"/>
      <c r="AH632" s="274"/>
      <c r="AI632" s="274"/>
      <c r="AJ632" s="274"/>
      <c r="AK632" s="274"/>
      <c r="AL632" s="274"/>
      <c r="AM632" s="274"/>
      <c r="AN632" s="274"/>
      <c r="AO632" s="274"/>
      <c r="AP632" s="274"/>
      <c r="AQ632" s="274"/>
      <c r="AR632" s="274"/>
      <c r="AS632" s="274"/>
      <c r="AT632" s="274"/>
      <c r="AU632" s="274"/>
      <c r="AV632" s="274"/>
      <c r="AW632" s="274"/>
    </row>
    <row r="633" ht="15.75" customHeight="1">
      <c r="A633" s="274"/>
      <c r="B633" s="274"/>
      <c r="C633" s="274"/>
      <c r="D633" s="274"/>
      <c r="E633" s="274"/>
      <c r="F633" s="274"/>
      <c r="G633" s="274"/>
      <c r="H633" s="274"/>
      <c r="I633" s="274"/>
      <c r="J633" s="274"/>
      <c r="K633" s="274"/>
      <c r="L633" s="274"/>
      <c r="M633" s="274"/>
      <c r="N633" s="274"/>
      <c r="O633" s="274"/>
      <c r="P633" s="274"/>
      <c r="Q633" s="274"/>
      <c r="R633" s="316"/>
      <c r="W633" s="274"/>
      <c r="X633" s="274"/>
      <c r="Y633" s="274"/>
      <c r="Z633" s="274">
        <v>37.14</v>
      </c>
      <c r="AA633" s="274"/>
      <c r="AB633" s="309">
        <v>3850940.569</v>
      </c>
      <c r="AC633" s="274"/>
      <c r="AD633" s="274"/>
      <c r="AE633" s="274"/>
      <c r="AF633" s="274"/>
      <c r="AG633" s="274"/>
      <c r="AH633" s="274"/>
      <c r="AI633" s="274"/>
      <c r="AJ633" s="274"/>
      <c r="AK633" s="274"/>
      <c r="AL633" s="274"/>
      <c r="AM633" s="274"/>
      <c r="AN633" s="274"/>
      <c r="AO633" s="274"/>
      <c r="AP633" s="274"/>
      <c r="AQ633" s="274"/>
      <c r="AR633" s="274"/>
      <c r="AS633" s="274"/>
      <c r="AT633" s="274"/>
      <c r="AU633" s="274"/>
      <c r="AV633" s="274"/>
      <c r="AW633" s="274"/>
    </row>
    <row r="634" ht="15.75" customHeight="1">
      <c r="A634" s="274"/>
      <c r="B634" s="274"/>
      <c r="C634" s="274"/>
      <c r="D634" s="274"/>
      <c r="E634" s="274"/>
      <c r="F634" s="274"/>
      <c r="G634" s="274"/>
      <c r="H634" s="274"/>
      <c r="I634" s="274"/>
      <c r="J634" s="274"/>
      <c r="K634" s="274"/>
      <c r="L634" s="274"/>
      <c r="M634" s="274"/>
      <c r="N634" s="274"/>
      <c r="O634" s="274"/>
      <c r="P634" s="274"/>
      <c r="Q634" s="274"/>
      <c r="R634" s="316"/>
      <c r="W634" s="274"/>
      <c r="X634" s="274"/>
      <c r="Y634" s="274"/>
      <c r="Z634" s="274">
        <v>37.203</v>
      </c>
      <c r="AA634" s="274"/>
      <c r="AB634" s="309">
        <v>3850940.569</v>
      </c>
      <c r="AC634" s="274"/>
      <c r="AD634" s="274"/>
      <c r="AE634" s="274"/>
      <c r="AF634" s="274"/>
      <c r="AG634" s="274"/>
      <c r="AH634" s="274"/>
      <c r="AI634" s="274"/>
      <c r="AJ634" s="274"/>
      <c r="AK634" s="274"/>
      <c r="AL634" s="274"/>
      <c r="AM634" s="274"/>
      <c r="AN634" s="274"/>
      <c r="AO634" s="274"/>
      <c r="AP634" s="274"/>
      <c r="AQ634" s="274"/>
      <c r="AR634" s="274"/>
      <c r="AS634" s="274"/>
      <c r="AT634" s="274"/>
      <c r="AU634" s="274"/>
      <c r="AV634" s="274"/>
      <c r="AW634" s="274"/>
    </row>
    <row r="635" ht="15.75" customHeight="1">
      <c r="A635" s="274"/>
      <c r="B635" s="274"/>
      <c r="C635" s="274"/>
      <c r="D635" s="274"/>
      <c r="E635" s="274"/>
      <c r="F635" s="274"/>
      <c r="G635" s="274"/>
      <c r="H635" s="274"/>
      <c r="I635" s="274"/>
      <c r="J635" s="274"/>
      <c r="K635" s="274"/>
      <c r="L635" s="274"/>
      <c r="M635" s="274"/>
      <c r="N635" s="274"/>
      <c r="O635" s="274"/>
      <c r="P635" s="274"/>
      <c r="Q635" s="274"/>
      <c r="R635" s="316"/>
      <c r="W635" s="274"/>
      <c r="X635" s="274"/>
      <c r="Y635" s="274"/>
      <c r="Z635" s="274">
        <v>37.265</v>
      </c>
      <c r="AA635" s="274"/>
      <c r="AB635" s="309">
        <v>3850940.569</v>
      </c>
      <c r="AC635" s="274"/>
      <c r="AD635" s="274"/>
      <c r="AE635" s="274"/>
      <c r="AF635" s="274"/>
      <c r="AG635" s="274"/>
      <c r="AH635" s="274"/>
      <c r="AI635" s="274"/>
      <c r="AJ635" s="274"/>
      <c r="AK635" s="274"/>
      <c r="AL635" s="274"/>
      <c r="AM635" s="274"/>
      <c r="AN635" s="274"/>
      <c r="AO635" s="274"/>
      <c r="AP635" s="274"/>
      <c r="AQ635" s="274"/>
      <c r="AR635" s="274"/>
      <c r="AS635" s="274"/>
      <c r="AT635" s="274"/>
      <c r="AU635" s="274"/>
      <c r="AV635" s="274"/>
      <c r="AW635" s="274"/>
    </row>
    <row r="636" ht="15.75" customHeight="1">
      <c r="A636" s="274"/>
      <c r="B636" s="274"/>
      <c r="C636" s="274"/>
      <c r="D636" s="274"/>
      <c r="E636" s="274"/>
      <c r="F636" s="274"/>
      <c r="G636" s="274"/>
      <c r="H636" s="274"/>
      <c r="I636" s="274"/>
      <c r="J636" s="274"/>
      <c r="K636" s="274"/>
      <c r="L636" s="274"/>
      <c r="M636" s="274"/>
      <c r="N636" s="274"/>
      <c r="O636" s="274"/>
      <c r="P636" s="274"/>
      <c r="Q636" s="274"/>
      <c r="R636" s="316"/>
      <c r="W636" s="274"/>
      <c r="X636" s="274"/>
      <c r="Y636" s="274"/>
      <c r="Z636" s="274">
        <v>37.328</v>
      </c>
      <c r="AA636" s="274"/>
      <c r="AB636" s="309">
        <v>3850940.569</v>
      </c>
      <c r="AC636" s="274"/>
      <c r="AD636" s="274"/>
      <c r="AE636" s="274"/>
      <c r="AF636" s="274"/>
      <c r="AG636" s="274"/>
      <c r="AH636" s="274"/>
      <c r="AI636" s="274"/>
      <c r="AJ636" s="274"/>
      <c r="AK636" s="274"/>
      <c r="AL636" s="274"/>
      <c r="AM636" s="274"/>
      <c r="AN636" s="274"/>
      <c r="AO636" s="274"/>
      <c r="AP636" s="274"/>
      <c r="AQ636" s="274"/>
      <c r="AR636" s="274"/>
      <c r="AS636" s="274"/>
      <c r="AT636" s="274"/>
      <c r="AU636" s="274"/>
      <c r="AV636" s="274"/>
      <c r="AW636" s="274"/>
    </row>
    <row r="637" ht="15.75" customHeight="1">
      <c r="A637" s="274"/>
      <c r="B637" s="274"/>
      <c r="C637" s="274"/>
      <c r="D637" s="274"/>
      <c r="E637" s="274"/>
      <c r="F637" s="274"/>
      <c r="G637" s="274"/>
      <c r="H637" s="274"/>
      <c r="I637" s="274"/>
      <c r="J637" s="274"/>
      <c r="K637" s="274"/>
      <c r="L637" s="274"/>
      <c r="M637" s="274"/>
      <c r="N637" s="274"/>
      <c r="O637" s="274"/>
      <c r="P637" s="274"/>
      <c r="Q637" s="274"/>
      <c r="R637" s="316"/>
      <c r="W637" s="274"/>
      <c r="X637" s="274"/>
      <c r="Y637" s="274"/>
      <c r="Z637" s="274">
        <v>37.39</v>
      </c>
      <c r="AA637" s="274"/>
      <c r="AB637" s="309">
        <v>3850940.569</v>
      </c>
      <c r="AC637" s="274"/>
      <c r="AD637" s="274"/>
      <c r="AE637" s="274"/>
      <c r="AF637" s="274"/>
      <c r="AG637" s="274"/>
      <c r="AH637" s="274"/>
      <c r="AI637" s="274"/>
      <c r="AJ637" s="274"/>
      <c r="AK637" s="274"/>
      <c r="AL637" s="274"/>
      <c r="AM637" s="274"/>
      <c r="AN637" s="274"/>
      <c r="AO637" s="274"/>
      <c r="AP637" s="274"/>
      <c r="AQ637" s="274"/>
      <c r="AR637" s="274"/>
      <c r="AS637" s="274"/>
      <c r="AT637" s="274"/>
      <c r="AU637" s="274"/>
      <c r="AV637" s="274"/>
      <c r="AW637" s="274"/>
    </row>
    <row r="638" ht="15.75" customHeight="1">
      <c r="A638" s="274"/>
      <c r="B638" s="274"/>
      <c r="C638" s="274"/>
      <c r="D638" s="274"/>
      <c r="E638" s="274"/>
      <c r="F638" s="274"/>
      <c r="G638" s="274"/>
      <c r="H638" s="274"/>
      <c r="I638" s="274"/>
      <c r="J638" s="274"/>
      <c r="K638" s="274"/>
      <c r="L638" s="274"/>
      <c r="M638" s="274"/>
      <c r="N638" s="274"/>
      <c r="O638" s="274"/>
      <c r="P638" s="274"/>
      <c r="Q638" s="274"/>
      <c r="R638" s="316"/>
      <c r="W638" s="274"/>
      <c r="X638" s="274"/>
      <c r="Y638" s="274"/>
      <c r="Z638" s="274">
        <v>37.468</v>
      </c>
      <c r="AA638" s="274"/>
      <c r="AB638" s="309">
        <v>3850940.569</v>
      </c>
      <c r="AC638" s="274"/>
      <c r="AD638" s="274"/>
      <c r="AE638" s="274"/>
      <c r="AF638" s="274"/>
      <c r="AG638" s="274"/>
      <c r="AH638" s="274"/>
      <c r="AI638" s="274"/>
      <c r="AJ638" s="274"/>
      <c r="AK638" s="274"/>
      <c r="AL638" s="274"/>
      <c r="AM638" s="274"/>
      <c r="AN638" s="274"/>
      <c r="AO638" s="274"/>
      <c r="AP638" s="274"/>
      <c r="AQ638" s="274"/>
      <c r="AR638" s="274"/>
      <c r="AS638" s="274"/>
      <c r="AT638" s="274"/>
      <c r="AU638" s="274"/>
      <c r="AV638" s="274"/>
      <c r="AW638" s="274"/>
    </row>
    <row r="639" ht="15.75" customHeight="1">
      <c r="A639" s="274"/>
      <c r="B639" s="274"/>
      <c r="C639" s="274"/>
      <c r="D639" s="274"/>
      <c r="E639" s="274"/>
      <c r="F639" s="274"/>
      <c r="G639" s="274"/>
      <c r="H639" s="274"/>
      <c r="I639" s="274"/>
      <c r="J639" s="274"/>
      <c r="K639" s="274"/>
      <c r="L639" s="274"/>
      <c r="M639" s="274"/>
      <c r="N639" s="274"/>
      <c r="O639" s="274"/>
      <c r="P639" s="274"/>
      <c r="Q639" s="274"/>
      <c r="R639" s="316"/>
      <c r="W639" s="274"/>
      <c r="X639" s="274"/>
      <c r="Y639" s="274"/>
      <c r="Z639" s="274">
        <v>37.546</v>
      </c>
      <c r="AA639" s="274"/>
      <c r="AB639" s="309">
        <v>3850940.569</v>
      </c>
      <c r="AC639" s="274"/>
      <c r="AD639" s="274"/>
      <c r="AE639" s="274"/>
      <c r="AF639" s="274"/>
      <c r="AG639" s="274"/>
      <c r="AH639" s="274"/>
      <c r="AI639" s="274"/>
      <c r="AJ639" s="274"/>
      <c r="AK639" s="274"/>
      <c r="AL639" s="274"/>
      <c r="AM639" s="274"/>
      <c r="AN639" s="274"/>
      <c r="AO639" s="274"/>
      <c r="AP639" s="274"/>
      <c r="AQ639" s="274"/>
      <c r="AR639" s="274"/>
      <c r="AS639" s="274"/>
      <c r="AT639" s="274"/>
      <c r="AU639" s="274"/>
      <c r="AV639" s="274"/>
      <c r="AW639" s="274"/>
    </row>
    <row r="640" ht="15.75" customHeight="1">
      <c r="A640" s="274"/>
      <c r="B640" s="274"/>
      <c r="C640" s="274"/>
      <c r="D640" s="274"/>
      <c r="E640" s="274"/>
      <c r="F640" s="274"/>
      <c r="G640" s="274"/>
      <c r="H640" s="274"/>
      <c r="I640" s="274"/>
      <c r="J640" s="274"/>
      <c r="K640" s="274"/>
      <c r="L640" s="274"/>
      <c r="M640" s="274"/>
      <c r="N640" s="274"/>
      <c r="O640" s="274"/>
      <c r="P640" s="274"/>
      <c r="Q640" s="274"/>
      <c r="R640" s="316"/>
      <c r="W640" s="274"/>
      <c r="X640" s="274"/>
      <c r="Y640" s="274"/>
      <c r="Z640" s="274">
        <v>37.593</v>
      </c>
      <c r="AA640" s="274"/>
      <c r="AB640" s="309">
        <v>3850940.569</v>
      </c>
      <c r="AC640" s="274"/>
      <c r="AD640" s="274"/>
      <c r="AE640" s="274"/>
      <c r="AF640" s="274"/>
      <c r="AG640" s="274"/>
      <c r="AH640" s="274"/>
      <c r="AI640" s="274"/>
      <c r="AJ640" s="274"/>
      <c r="AK640" s="274"/>
      <c r="AL640" s="274"/>
      <c r="AM640" s="274"/>
      <c r="AN640" s="274"/>
      <c r="AO640" s="274"/>
      <c r="AP640" s="274"/>
      <c r="AQ640" s="274"/>
      <c r="AR640" s="274"/>
      <c r="AS640" s="274"/>
      <c r="AT640" s="274"/>
      <c r="AU640" s="274"/>
      <c r="AV640" s="274"/>
      <c r="AW640" s="274"/>
    </row>
    <row r="641" ht="15.75" customHeight="1">
      <c r="A641" s="274"/>
      <c r="B641" s="274"/>
      <c r="C641" s="274"/>
      <c r="D641" s="274"/>
      <c r="E641" s="274"/>
      <c r="F641" s="274"/>
      <c r="G641" s="274"/>
      <c r="H641" s="274"/>
      <c r="I641" s="274"/>
      <c r="J641" s="274"/>
      <c r="K641" s="274"/>
      <c r="L641" s="274"/>
      <c r="M641" s="274"/>
      <c r="N641" s="274"/>
      <c r="O641" s="274"/>
      <c r="P641" s="274"/>
      <c r="Q641" s="274"/>
      <c r="R641" s="316"/>
      <c r="W641" s="274"/>
      <c r="X641" s="274"/>
      <c r="Y641" s="274"/>
      <c r="Z641" s="274">
        <v>37.671</v>
      </c>
      <c r="AA641" s="274"/>
      <c r="AB641" s="309">
        <v>3850940.569</v>
      </c>
      <c r="AC641" s="274"/>
      <c r="AD641" s="274"/>
      <c r="AE641" s="274"/>
      <c r="AF641" s="274"/>
      <c r="AG641" s="274"/>
      <c r="AH641" s="274"/>
      <c r="AI641" s="274"/>
      <c r="AJ641" s="274"/>
      <c r="AK641" s="274"/>
      <c r="AL641" s="274"/>
      <c r="AM641" s="274"/>
      <c r="AN641" s="274"/>
      <c r="AO641" s="274"/>
      <c r="AP641" s="274"/>
      <c r="AQ641" s="274"/>
      <c r="AR641" s="274"/>
      <c r="AS641" s="274"/>
      <c r="AT641" s="274"/>
      <c r="AU641" s="274"/>
      <c r="AV641" s="274"/>
      <c r="AW641" s="274"/>
    </row>
    <row r="642" ht="15.75" customHeight="1">
      <c r="A642" s="274"/>
      <c r="B642" s="274"/>
      <c r="C642" s="274"/>
      <c r="D642" s="274"/>
      <c r="E642" s="274"/>
      <c r="F642" s="274"/>
      <c r="G642" s="274"/>
      <c r="H642" s="274"/>
      <c r="I642" s="274"/>
      <c r="J642" s="274"/>
      <c r="K642" s="274"/>
      <c r="L642" s="274"/>
      <c r="M642" s="274"/>
      <c r="N642" s="274"/>
      <c r="O642" s="274"/>
      <c r="P642" s="274"/>
      <c r="Q642" s="274"/>
      <c r="R642" s="316"/>
      <c r="W642" s="274"/>
      <c r="X642" s="274"/>
      <c r="Y642" s="274"/>
      <c r="Z642" s="274">
        <v>37.718</v>
      </c>
      <c r="AA642" s="274"/>
      <c r="AB642" s="309">
        <v>3850940.569</v>
      </c>
      <c r="AC642" s="274"/>
      <c r="AD642" s="274"/>
      <c r="AE642" s="274"/>
      <c r="AF642" s="274"/>
      <c r="AG642" s="274"/>
      <c r="AH642" s="274"/>
      <c r="AI642" s="274"/>
      <c r="AJ642" s="274"/>
      <c r="AK642" s="274"/>
      <c r="AL642" s="274"/>
      <c r="AM642" s="274"/>
      <c r="AN642" s="274"/>
      <c r="AO642" s="274"/>
      <c r="AP642" s="274"/>
      <c r="AQ642" s="274"/>
      <c r="AR642" s="274"/>
      <c r="AS642" s="274"/>
      <c r="AT642" s="274"/>
      <c r="AU642" s="274"/>
      <c r="AV642" s="274"/>
      <c r="AW642" s="274"/>
    </row>
    <row r="643" ht="15.75" customHeight="1">
      <c r="A643" s="274"/>
      <c r="B643" s="274"/>
      <c r="C643" s="274"/>
      <c r="D643" s="274"/>
      <c r="E643" s="274"/>
      <c r="F643" s="274"/>
      <c r="G643" s="274"/>
      <c r="H643" s="274"/>
      <c r="I643" s="274"/>
      <c r="J643" s="274"/>
      <c r="K643" s="274"/>
      <c r="L643" s="274"/>
      <c r="M643" s="274"/>
      <c r="N643" s="274"/>
      <c r="O643" s="274"/>
      <c r="P643" s="274"/>
      <c r="Q643" s="274"/>
      <c r="R643" s="316"/>
      <c r="W643" s="274"/>
      <c r="X643" s="274"/>
      <c r="Y643" s="274"/>
      <c r="Z643" s="274">
        <v>37.781</v>
      </c>
      <c r="AA643" s="274"/>
      <c r="AB643" s="309">
        <v>3850940.569</v>
      </c>
      <c r="AC643" s="274"/>
      <c r="AD643" s="274"/>
      <c r="AE643" s="274"/>
      <c r="AF643" s="274"/>
      <c r="AG643" s="274"/>
      <c r="AH643" s="274"/>
      <c r="AI643" s="274"/>
      <c r="AJ643" s="274"/>
      <c r="AK643" s="274"/>
      <c r="AL643" s="274"/>
      <c r="AM643" s="274"/>
      <c r="AN643" s="274"/>
      <c r="AO643" s="274"/>
      <c r="AP643" s="274"/>
      <c r="AQ643" s="274"/>
      <c r="AR643" s="274"/>
      <c r="AS643" s="274"/>
      <c r="AT643" s="274"/>
      <c r="AU643" s="274"/>
      <c r="AV643" s="274"/>
      <c r="AW643" s="274"/>
    </row>
    <row r="644" ht="15.75" customHeight="1">
      <c r="A644" s="274"/>
      <c r="B644" s="274"/>
      <c r="C644" s="274"/>
      <c r="D644" s="274"/>
      <c r="E644" s="274"/>
      <c r="F644" s="274"/>
      <c r="G644" s="274"/>
      <c r="H644" s="274"/>
      <c r="I644" s="274"/>
      <c r="J644" s="274"/>
      <c r="K644" s="274"/>
      <c r="L644" s="274"/>
      <c r="M644" s="274"/>
      <c r="N644" s="274"/>
      <c r="O644" s="274"/>
      <c r="P644" s="274"/>
      <c r="Q644" s="274"/>
      <c r="R644" s="316"/>
      <c r="W644" s="274"/>
      <c r="X644" s="274"/>
      <c r="Y644" s="274"/>
      <c r="Z644" s="274">
        <v>37.843</v>
      </c>
      <c r="AA644" s="274"/>
      <c r="AB644" s="309">
        <v>3850940.569</v>
      </c>
      <c r="AC644" s="274"/>
      <c r="AD644" s="274"/>
      <c r="AE644" s="274"/>
      <c r="AF644" s="274"/>
      <c r="AG644" s="274"/>
      <c r="AH644" s="274"/>
      <c r="AI644" s="274"/>
      <c r="AJ644" s="274"/>
      <c r="AK644" s="274"/>
      <c r="AL644" s="274"/>
      <c r="AM644" s="274"/>
      <c r="AN644" s="274"/>
      <c r="AO644" s="274"/>
      <c r="AP644" s="274"/>
      <c r="AQ644" s="274"/>
      <c r="AR644" s="274"/>
      <c r="AS644" s="274"/>
      <c r="AT644" s="274"/>
      <c r="AU644" s="274"/>
      <c r="AV644" s="274"/>
      <c r="AW644" s="274"/>
    </row>
    <row r="645" ht="15.75" customHeight="1">
      <c r="A645" s="274"/>
      <c r="B645" s="274"/>
      <c r="C645" s="274"/>
      <c r="D645" s="274"/>
      <c r="E645" s="274"/>
      <c r="F645" s="274"/>
      <c r="G645" s="274"/>
      <c r="H645" s="274"/>
      <c r="I645" s="274"/>
      <c r="J645" s="274"/>
      <c r="K645" s="274"/>
      <c r="L645" s="274"/>
      <c r="M645" s="274"/>
      <c r="N645" s="274"/>
      <c r="O645" s="274"/>
      <c r="P645" s="274"/>
      <c r="Q645" s="274"/>
      <c r="R645" s="316"/>
      <c r="W645" s="274"/>
      <c r="X645" s="274"/>
      <c r="Y645" s="274"/>
      <c r="Z645" s="274">
        <v>37.921</v>
      </c>
      <c r="AA645" s="274"/>
      <c r="AB645" s="309">
        <v>3850940.569</v>
      </c>
      <c r="AC645" s="274"/>
      <c r="AD645" s="274"/>
      <c r="AE645" s="274"/>
      <c r="AF645" s="274"/>
      <c r="AG645" s="274"/>
      <c r="AH645" s="274"/>
      <c r="AI645" s="274"/>
      <c r="AJ645" s="274"/>
      <c r="AK645" s="274"/>
      <c r="AL645" s="274"/>
      <c r="AM645" s="274"/>
      <c r="AN645" s="274"/>
      <c r="AO645" s="274"/>
      <c r="AP645" s="274"/>
      <c r="AQ645" s="274"/>
      <c r="AR645" s="274"/>
      <c r="AS645" s="274"/>
      <c r="AT645" s="274"/>
      <c r="AU645" s="274"/>
      <c r="AV645" s="274"/>
      <c r="AW645" s="274"/>
    </row>
    <row r="646" ht="15.75" customHeight="1">
      <c r="A646" s="274"/>
      <c r="B646" s="274"/>
      <c r="C646" s="274"/>
      <c r="D646" s="274"/>
      <c r="E646" s="274"/>
      <c r="F646" s="274"/>
      <c r="G646" s="274"/>
      <c r="H646" s="274"/>
      <c r="I646" s="274"/>
      <c r="J646" s="274"/>
      <c r="K646" s="274"/>
      <c r="L646" s="274"/>
      <c r="M646" s="274"/>
      <c r="N646" s="274"/>
      <c r="O646" s="274"/>
      <c r="P646" s="274"/>
      <c r="Q646" s="274"/>
      <c r="R646" s="316"/>
      <c r="W646" s="274"/>
      <c r="X646" s="274"/>
      <c r="Y646" s="274"/>
      <c r="Z646" s="274">
        <v>37.968</v>
      </c>
      <c r="AA646" s="274"/>
      <c r="AB646" s="309">
        <v>3850940.569</v>
      </c>
      <c r="AC646" s="274"/>
      <c r="AD646" s="274"/>
      <c r="AE646" s="274"/>
      <c r="AF646" s="274"/>
      <c r="AG646" s="274"/>
      <c r="AH646" s="274"/>
      <c r="AI646" s="274"/>
      <c r="AJ646" s="274"/>
      <c r="AK646" s="274"/>
      <c r="AL646" s="274"/>
      <c r="AM646" s="274"/>
      <c r="AN646" s="274"/>
      <c r="AO646" s="274"/>
      <c r="AP646" s="274"/>
      <c r="AQ646" s="274"/>
      <c r="AR646" s="274"/>
      <c r="AS646" s="274"/>
      <c r="AT646" s="274"/>
      <c r="AU646" s="274"/>
      <c r="AV646" s="274"/>
      <c r="AW646" s="274"/>
    </row>
    <row r="647" ht="15.75" customHeight="1">
      <c r="A647" s="274"/>
      <c r="B647" s="274"/>
      <c r="C647" s="274"/>
      <c r="D647" s="274"/>
      <c r="E647" s="274"/>
      <c r="F647" s="274"/>
      <c r="G647" s="274"/>
      <c r="H647" s="274"/>
      <c r="I647" s="274"/>
      <c r="J647" s="274"/>
      <c r="K647" s="274"/>
      <c r="L647" s="274"/>
      <c r="M647" s="274"/>
      <c r="N647" s="274"/>
      <c r="O647" s="274"/>
      <c r="P647" s="274"/>
      <c r="Q647" s="274"/>
      <c r="R647" s="316"/>
      <c r="W647" s="274"/>
      <c r="X647" s="274"/>
      <c r="Y647" s="274"/>
      <c r="Z647" s="274">
        <v>38.031</v>
      </c>
      <c r="AA647" s="274"/>
      <c r="AB647" s="309">
        <v>3850940.569</v>
      </c>
      <c r="AC647" s="274"/>
      <c r="AD647" s="274"/>
      <c r="AE647" s="274"/>
      <c r="AF647" s="274"/>
      <c r="AG647" s="274"/>
      <c r="AH647" s="274"/>
      <c r="AI647" s="274"/>
      <c r="AJ647" s="274"/>
      <c r="AK647" s="274"/>
      <c r="AL647" s="274"/>
      <c r="AM647" s="274"/>
      <c r="AN647" s="274"/>
      <c r="AO647" s="274"/>
      <c r="AP647" s="274"/>
      <c r="AQ647" s="274"/>
      <c r="AR647" s="274"/>
      <c r="AS647" s="274"/>
      <c r="AT647" s="274"/>
      <c r="AU647" s="274"/>
      <c r="AV647" s="274"/>
      <c r="AW647" s="274"/>
    </row>
    <row r="648" ht="15.75" customHeight="1">
      <c r="A648" s="274"/>
      <c r="B648" s="274"/>
      <c r="C648" s="274"/>
      <c r="D648" s="274"/>
      <c r="E648" s="274"/>
      <c r="F648" s="274"/>
      <c r="G648" s="274"/>
      <c r="H648" s="274"/>
      <c r="I648" s="274"/>
      <c r="J648" s="274"/>
      <c r="K648" s="274"/>
      <c r="L648" s="274"/>
      <c r="M648" s="274"/>
      <c r="N648" s="274"/>
      <c r="O648" s="274"/>
      <c r="P648" s="274"/>
      <c r="Q648" s="274"/>
      <c r="R648" s="316"/>
      <c r="W648" s="274"/>
      <c r="X648" s="274"/>
      <c r="Y648" s="274"/>
      <c r="Z648" s="274">
        <v>38.093</v>
      </c>
      <c r="AA648" s="274"/>
      <c r="AB648" s="309">
        <v>3850940.569</v>
      </c>
      <c r="AC648" s="274"/>
      <c r="AD648" s="274"/>
      <c r="AE648" s="274"/>
      <c r="AF648" s="274"/>
      <c r="AG648" s="274"/>
      <c r="AH648" s="274"/>
      <c r="AI648" s="274"/>
      <c r="AJ648" s="274"/>
      <c r="AK648" s="274"/>
      <c r="AL648" s="274"/>
      <c r="AM648" s="274"/>
      <c r="AN648" s="274"/>
      <c r="AO648" s="274"/>
      <c r="AP648" s="274"/>
      <c r="AQ648" s="274"/>
      <c r="AR648" s="274"/>
      <c r="AS648" s="274"/>
      <c r="AT648" s="274"/>
      <c r="AU648" s="274"/>
      <c r="AV648" s="274"/>
      <c r="AW648" s="274"/>
    </row>
    <row r="649" ht="15.75" customHeight="1">
      <c r="A649" s="274"/>
      <c r="B649" s="274"/>
      <c r="C649" s="274"/>
      <c r="D649" s="274"/>
      <c r="E649" s="274"/>
      <c r="F649" s="274"/>
      <c r="G649" s="274"/>
      <c r="H649" s="274"/>
      <c r="I649" s="274"/>
      <c r="J649" s="274"/>
      <c r="K649" s="274"/>
      <c r="L649" s="274"/>
      <c r="M649" s="274"/>
      <c r="N649" s="274"/>
      <c r="O649" s="274"/>
      <c r="P649" s="274"/>
      <c r="Q649" s="274"/>
      <c r="R649" s="316"/>
      <c r="W649" s="274"/>
      <c r="X649" s="274"/>
      <c r="Y649" s="274"/>
      <c r="Z649" s="274">
        <v>38.171</v>
      </c>
      <c r="AA649" s="274"/>
      <c r="AB649" s="309">
        <v>3850940.569</v>
      </c>
      <c r="AC649" s="274"/>
      <c r="AD649" s="274"/>
      <c r="AE649" s="274"/>
      <c r="AF649" s="274"/>
      <c r="AG649" s="274"/>
      <c r="AH649" s="274"/>
      <c r="AI649" s="274"/>
      <c r="AJ649" s="274"/>
      <c r="AK649" s="274"/>
      <c r="AL649" s="274"/>
      <c r="AM649" s="274"/>
      <c r="AN649" s="274"/>
      <c r="AO649" s="274"/>
      <c r="AP649" s="274"/>
      <c r="AQ649" s="274"/>
      <c r="AR649" s="274"/>
      <c r="AS649" s="274"/>
      <c r="AT649" s="274"/>
      <c r="AU649" s="274"/>
      <c r="AV649" s="274"/>
      <c r="AW649" s="274"/>
    </row>
    <row r="650" ht="15.75" customHeight="1">
      <c r="A650" s="274"/>
      <c r="B650" s="274"/>
      <c r="C650" s="274"/>
      <c r="D650" s="274"/>
      <c r="E650" s="274"/>
      <c r="F650" s="274"/>
      <c r="G650" s="274"/>
      <c r="H650" s="274"/>
      <c r="I650" s="274"/>
      <c r="J650" s="274"/>
      <c r="K650" s="274"/>
      <c r="L650" s="274"/>
      <c r="M650" s="274"/>
      <c r="N650" s="274"/>
      <c r="O650" s="274"/>
      <c r="P650" s="274"/>
      <c r="Q650" s="274"/>
      <c r="R650" s="316"/>
      <c r="W650" s="274"/>
      <c r="X650" s="274"/>
      <c r="Y650" s="274"/>
      <c r="Z650" s="274">
        <v>38.218</v>
      </c>
      <c r="AA650" s="274"/>
      <c r="AB650" s="309">
        <v>3850940.569</v>
      </c>
      <c r="AC650" s="274"/>
      <c r="AD650" s="274"/>
      <c r="AE650" s="274"/>
      <c r="AF650" s="274"/>
      <c r="AG650" s="274"/>
      <c r="AH650" s="274"/>
      <c r="AI650" s="274"/>
      <c r="AJ650" s="274"/>
      <c r="AK650" s="274"/>
      <c r="AL650" s="274"/>
      <c r="AM650" s="274"/>
      <c r="AN650" s="274"/>
      <c r="AO650" s="274"/>
      <c r="AP650" s="274"/>
      <c r="AQ650" s="274"/>
      <c r="AR650" s="274"/>
      <c r="AS650" s="274"/>
      <c r="AT650" s="274"/>
      <c r="AU650" s="274"/>
      <c r="AV650" s="274"/>
      <c r="AW650" s="274"/>
    </row>
    <row r="651" ht="15.75" customHeight="1">
      <c r="A651" s="274"/>
      <c r="B651" s="274"/>
      <c r="C651" s="274"/>
      <c r="D651" s="274"/>
      <c r="E651" s="274"/>
      <c r="F651" s="274"/>
      <c r="G651" s="274"/>
      <c r="H651" s="274"/>
      <c r="I651" s="274"/>
      <c r="J651" s="274"/>
      <c r="K651" s="274"/>
      <c r="L651" s="274"/>
      <c r="M651" s="274"/>
      <c r="N651" s="274"/>
      <c r="O651" s="274"/>
      <c r="P651" s="274"/>
      <c r="Q651" s="274"/>
      <c r="R651" s="316"/>
      <c r="W651" s="274"/>
      <c r="X651" s="274"/>
      <c r="Y651" s="274"/>
      <c r="Z651" s="274">
        <v>38.296</v>
      </c>
      <c r="AA651" s="274"/>
      <c r="AB651" s="309">
        <v>3850940.569</v>
      </c>
      <c r="AC651" s="274"/>
      <c r="AD651" s="274"/>
      <c r="AE651" s="274"/>
      <c r="AF651" s="274"/>
      <c r="AG651" s="274"/>
      <c r="AH651" s="274"/>
      <c r="AI651" s="274"/>
      <c r="AJ651" s="274"/>
      <c r="AK651" s="274"/>
      <c r="AL651" s="274"/>
      <c r="AM651" s="274"/>
      <c r="AN651" s="274"/>
      <c r="AO651" s="274"/>
      <c r="AP651" s="274"/>
      <c r="AQ651" s="274"/>
      <c r="AR651" s="274"/>
      <c r="AS651" s="274"/>
      <c r="AT651" s="274"/>
      <c r="AU651" s="274"/>
      <c r="AV651" s="274"/>
      <c r="AW651" s="274"/>
    </row>
    <row r="652" ht="15.75" customHeight="1">
      <c r="A652" s="274"/>
      <c r="B652" s="274"/>
      <c r="C652" s="274"/>
      <c r="D652" s="274"/>
      <c r="E652" s="274"/>
      <c r="F652" s="274"/>
      <c r="G652" s="274"/>
      <c r="H652" s="274"/>
      <c r="I652" s="274"/>
      <c r="J652" s="274"/>
      <c r="K652" s="274"/>
      <c r="L652" s="274"/>
      <c r="M652" s="274"/>
      <c r="N652" s="274"/>
      <c r="O652" s="274"/>
      <c r="P652" s="274"/>
      <c r="Q652" s="274"/>
      <c r="R652" s="316"/>
      <c r="W652" s="274"/>
      <c r="X652" s="274"/>
      <c r="Y652" s="274"/>
      <c r="Z652" s="274">
        <v>38.343</v>
      </c>
      <c r="AA652" s="274"/>
      <c r="AB652" s="309">
        <v>3850940.569</v>
      </c>
      <c r="AC652" s="274"/>
      <c r="AD652" s="274"/>
      <c r="AE652" s="274"/>
      <c r="AF652" s="274"/>
      <c r="AG652" s="274"/>
      <c r="AH652" s="274"/>
      <c r="AI652" s="274"/>
      <c r="AJ652" s="274"/>
      <c r="AK652" s="274"/>
      <c r="AL652" s="274"/>
      <c r="AM652" s="274"/>
      <c r="AN652" s="274"/>
      <c r="AO652" s="274"/>
      <c r="AP652" s="274"/>
      <c r="AQ652" s="274"/>
      <c r="AR652" s="274"/>
      <c r="AS652" s="274"/>
      <c r="AT652" s="274"/>
      <c r="AU652" s="274"/>
      <c r="AV652" s="274"/>
      <c r="AW652" s="274"/>
    </row>
    <row r="653" ht="15.75" customHeight="1">
      <c r="A653" s="274"/>
      <c r="B653" s="274"/>
      <c r="C653" s="274"/>
      <c r="D653" s="274"/>
      <c r="E653" s="274"/>
      <c r="F653" s="274"/>
      <c r="G653" s="274"/>
      <c r="H653" s="274"/>
      <c r="I653" s="274"/>
      <c r="J653" s="274"/>
      <c r="K653" s="274"/>
      <c r="L653" s="274"/>
      <c r="M653" s="274"/>
      <c r="N653" s="274"/>
      <c r="O653" s="274"/>
      <c r="P653" s="274"/>
      <c r="Q653" s="274"/>
      <c r="R653" s="316"/>
      <c r="W653" s="274"/>
      <c r="X653" s="274"/>
      <c r="Y653" s="274"/>
      <c r="Z653" s="274">
        <v>38.406</v>
      </c>
      <c r="AA653" s="274"/>
      <c r="AB653" s="309">
        <v>3850940.569</v>
      </c>
      <c r="AC653" s="274"/>
      <c r="AD653" s="274"/>
      <c r="AE653" s="274"/>
      <c r="AF653" s="274"/>
      <c r="AG653" s="274"/>
      <c r="AH653" s="274"/>
      <c r="AI653" s="274"/>
      <c r="AJ653" s="274"/>
      <c r="AK653" s="274"/>
      <c r="AL653" s="274"/>
      <c r="AM653" s="274"/>
      <c r="AN653" s="274"/>
      <c r="AO653" s="274"/>
      <c r="AP653" s="274"/>
      <c r="AQ653" s="274"/>
      <c r="AR653" s="274"/>
      <c r="AS653" s="274"/>
      <c r="AT653" s="274"/>
      <c r="AU653" s="274"/>
      <c r="AV653" s="274"/>
      <c r="AW653" s="274"/>
    </row>
    <row r="654" ht="15.75" customHeight="1">
      <c r="A654" s="274"/>
      <c r="B654" s="274"/>
      <c r="C654" s="274"/>
      <c r="D654" s="274"/>
      <c r="E654" s="274"/>
      <c r="F654" s="274"/>
      <c r="G654" s="274"/>
      <c r="H654" s="274"/>
      <c r="I654" s="274"/>
      <c r="J654" s="274"/>
      <c r="K654" s="274"/>
      <c r="L654" s="274"/>
      <c r="M654" s="274"/>
      <c r="N654" s="274"/>
      <c r="O654" s="274"/>
      <c r="P654" s="274"/>
      <c r="Q654" s="274"/>
      <c r="R654" s="316"/>
      <c r="W654" s="274"/>
      <c r="X654" s="274"/>
      <c r="Y654" s="274"/>
      <c r="Z654" s="274">
        <v>38.468</v>
      </c>
      <c r="AA654" s="274"/>
      <c r="AB654" s="309">
        <v>3850940.569</v>
      </c>
      <c r="AC654" s="274"/>
      <c r="AD654" s="274"/>
      <c r="AE654" s="274"/>
      <c r="AF654" s="274"/>
      <c r="AG654" s="274"/>
      <c r="AH654" s="274"/>
      <c r="AI654" s="274"/>
      <c r="AJ654" s="274"/>
      <c r="AK654" s="274"/>
      <c r="AL654" s="274"/>
      <c r="AM654" s="274"/>
      <c r="AN654" s="274"/>
      <c r="AO654" s="274"/>
      <c r="AP654" s="274"/>
      <c r="AQ654" s="274"/>
      <c r="AR654" s="274"/>
      <c r="AS654" s="274"/>
      <c r="AT654" s="274"/>
      <c r="AU654" s="274"/>
      <c r="AV654" s="274"/>
      <c r="AW654" s="274"/>
    </row>
    <row r="655" ht="15.75" customHeight="1">
      <c r="A655" s="274"/>
      <c r="B655" s="274"/>
      <c r="C655" s="274"/>
      <c r="D655" s="274"/>
      <c r="E655" s="274"/>
      <c r="F655" s="274"/>
      <c r="G655" s="274"/>
      <c r="H655" s="274"/>
      <c r="I655" s="274"/>
      <c r="J655" s="274"/>
      <c r="K655" s="274"/>
      <c r="L655" s="274"/>
      <c r="M655" s="274"/>
      <c r="N655" s="274"/>
      <c r="O655" s="274"/>
      <c r="P655" s="274"/>
      <c r="Q655" s="274"/>
      <c r="R655" s="316"/>
      <c r="W655" s="274"/>
      <c r="X655" s="274"/>
      <c r="Y655" s="274"/>
      <c r="Z655" s="274">
        <v>38.531</v>
      </c>
      <c r="AA655" s="274"/>
      <c r="AB655" s="309">
        <v>3850940.569</v>
      </c>
      <c r="AC655" s="274"/>
      <c r="AD655" s="274"/>
      <c r="AE655" s="274"/>
      <c r="AF655" s="274"/>
      <c r="AG655" s="274"/>
      <c r="AH655" s="274"/>
      <c r="AI655" s="274"/>
      <c r="AJ655" s="274"/>
      <c r="AK655" s="274"/>
      <c r="AL655" s="274"/>
      <c r="AM655" s="274"/>
      <c r="AN655" s="274"/>
      <c r="AO655" s="274"/>
      <c r="AP655" s="274"/>
      <c r="AQ655" s="274"/>
      <c r="AR655" s="274"/>
      <c r="AS655" s="274"/>
      <c r="AT655" s="274"/>
      <c r="AU655" s="274"/>
      <c r="AV655" s="274"/>
      <c r="AW655" s="274"/>
    </row>
    <row r="656" ht="15.75" customHeight="1">
      <c r="A656" s="274"/>
      <c r="B656" s="274"/>
      <c r="C656" s="274"/>
      <c r="D656" s="274"/>
      <c r="E656" s="274"/>
      <c r="F656" s="274"/>
      <c r="G656" s="274"/>
      <c r="H656" s="274"/>
      <c r="I656" s="274"/>
      <c r="J656" s="274"/>
      <c r="K656" s="274"/>
      <c r="L656" s="274"/>
      <c r="M656" s="274"/>
      <c r="N656" s="274"/>
      <c r="O656" s="274"/>
      <c r="P656" s="274"/>
      <c r="Q656" s="274"/>
      <c r="R656" s="316"/>
      <c r="W656" s="274"/>
      <c r="X656" s="274"/>
      <c r="Y656" s="274"/>
      <c r="Z656" s="274">
        <v>38.593</v>
      </c>
      <c r="AA656" s="274"/>
      <c r="AB656" s="309">
        <v>3850940.569</v>
      </c>
      <c r="AC656" s="274"/>
      <c r="AD656" s="274"/>
      <c r="AE656" s="274"/>
      <c r="AF656" s="274"/>
      <c r="AG656" s="274"/>
      <c r="AH656" s="274"/>
      <c r="AI656" s="274"/>
      <c r="AJ656" s="274"/>
      <c r="AK656" s="274"/>
      <c r="AL656" s="274"/>
      <c r="AM656" s="274"/>
      <c r="AN656" s="274"/>
      <c r="AO656" s="274"/>
      <c r="AP656" s="274"/>
      <c r="AQ656" s="274"/>
      <c r="AR656" s="274"/>
      <c r="AS656" s="274"/>
      <c r="AT656" s="274"/>
      <c r="AU656" s="274"/>
      <c r="AV656" s="274"/>
      <c r="AW656" s="274"/>
    </row>
    <row r="657" ht="15.75" customHeight="1">
      <c r="A657" s="274"/>
      <c r="B657" s="274"/>
      <c r="C657" s="274"/>
      <c r="D657" s="274"/>
      <c r="E657" s="274"/>
      <c r="F657" s="274"/>
      <c r="G657" s="274"/>
      <c r="H657" s="274"/>
      <c r="I657" s="274"/>
      <c r="J657" s="274"/>
      <c r="K657" s="274"/>
      <c r="L657" s="274"/>
      <c r="M657" s="274"/>
      <c r="N657" s="274"/>
      <c r="O657" s="274"/>
      <c r="P657" s="274"/>
      <c r="Q657" s="274"/>
      <c r="R657" s="316"/>
      <c r="W657" s="274"/>
      <c r="X657" s="274"/>
      <c r="Y657" s="274"/>
      <c r="Z657" s="274">
        <v>38.656</v>
      </c>
      <c r="AA657" s="274"/>
      <c r="AB657" s="309">
        <v>3850940.569</v>
      </c>
      <c r="AC657" s="274"/>
      <c r="AD657" s="274"/>
      <c r="AE657" s="274"/>
      <c r="AF657" s="274"/>
      <c r="AG657" s="274"/>
      <c r="AH657" s="274"/>
      <c r="AI657" s="274"/>
      <c r="AJ657" s="274"/>
      <c r="AK657" s="274"/>
      <c r="AL657" s="274"/>
      <c r="AM657" s="274"/>
      <c r="AN657" s="274"/>
      <c r="AO657" s="274"/>
      <c r="AP657" s="274"/>
      <c r="AQ657" s="274"/>
      <c r="AR657" s="274"/>
      <c r="AS657" s="274"/>
      <c r="AT657" s="274"/>
      <c r="AU657" s="274"/>
      <c r="AV657" s="274"/>
      <c r="AW657" s="274"/>
    </row>
    <row r="658" ht="15.75" customHeight="1">
      <c r="A658" s="274"/>
      <c r="B658" s="274"/>
      <c r="C658" s="274"/>
      <c r="D658" s="274"/>
      <c r="E658" s="274"/>
      <c r="F658" s="274"/>
      <c r="G658" s="274"/>
      <c r="H658" s="274"/>
      <c r="I658" s="274"/>
      <c r="J658" s="274"/>
      <c r="K658" s="274"/>
      <c r="L658" s="274"/>
      <c r="M658" s="274"/>
      <c r="N658" s="274"/>
      <c r="O658" s="274"/>
      <c r="P658" s="274"/>
      <c r="Q658" s="274"/>
      <c r="R658" s="316"/>
      <c r="W658" s="274"/>
      <c r="X658" s="274"/>
      <c r="Y658" s="274"/>
      <c r="Z658" s="274">
        <v>38.718</v>
      </c>
      <c r="AA658" s="274"/>
      <c r="AB658" s="309">
        <v>3850940.569</v>
      </c>
      <c r="AC658" s="274"/>
      <c r="AD658" s="274"/>
      <c r="AE658" s="274"/>
      <c r="AF658" s="274"/>
      <c r="AG658" s="274"/>
      <c r="AH658" s="274"/>
      <c r="AI658" s="274"/>
      <c r="AJ658" s="274"/>
      <c r="AK658" s="274"/>
      <c r="AL658" s="274"/>
      <c r="AM658" s="274"/>
      <c r="AN658" s="274"/>
      <c r="AO658" s="274"/>
      <c r="AP658" s="274"/>
      <c r="AQ658" s="274"/>
      <c r="AR658" s="274"/>
      <c r="AS658" s="274"/>
      <c r="AT658" s="274"/>
      <c r="AU658" s="274"/>
      <c r="AV658" s="274"/>
      <c r="AW658" s="274"/>
    </row>
    <row r="659" ht="15.75" customHeight="1">
      <c r="A659" s="274"/>
      <c r="B659" s="274"/>
      <c r="C659" s="274"/>
      <c r="D659" s="274"/>
      <c r="E659" s="274"/>
      <c r="F659" s="274"/>
      <c r="G659" s="274"/>
      <c r="H659" s="274"/>
      <c r="I659" s="274"/>
      <c r="J659" s="274"/>
      <c r="K659" s="274"/>
      <c r="L659" s="274"/>
      <c r="M659" s="274"/>
      <c r="N659" s="274"/>
      <c r="O659" s="274"/>
      <c r="P659" s="274"/>
      <c r="Q659" s="274"/>
      <c r="R659" s="316"/>
      <c r="W659" s="274"/>
      <c r="X659" s="274"/>
      <c r="Y659" s="274"/>
      <c r="Z659" s="274">
        <v>38.781</v>
      </c>
      <c r="AA659" s="274"/>
      <c r="AB659" s="309">
        <v>3850940.569</v>
      </c>
      <c r="AC659" s="274"/>
      <c r="AD659" s="274"/>
      <c r="AE659" s="274"/>
      <c r="AF659" s="274"/>
      <c r="AG659" s="274"/>
      <c r="AH659" s="274"/>
      <c r="AI659" s="274"/>
      <c r="AJ659" s="274"/>
      <c r="AK659" s="274"/>
      <c r="AL659" s="274"/>
      <c r="AM659" s="274"/>
      <c r="AN659" s="274"/>
      <c r="AO659" s="274"/>
      <c r="AP659" s="274"/>
      <c r="AQ659" s="274"/>
      <c r="AR659" s="274"/>
      <c r="AS659" s="274"/>
      <c r="AT659" s="274"/>
      <c r="AU659" s="274"/>
      <c r="AV659" s="274"/>
      <c r="AW659" s="274"/>
    </row>
    <row r="660" ht="15.75" customHeight="1">
      <c r="A660" s="274"/>
      <c r="B660" s="274"/>
      <c r="C660" s="274"/>
      <c r="D660" s="274"/>
      <c r="E660" s="274"/>
      <c r="F660" s="274"/>
      <c r="G660" s="274"/>
      <c r="H660" s="274"/>
      <c r="I660" s="274"/>
      <c r="J660" s="274"/>
      <c r="K660" s="274"/>
      <c r="L660" s="274"/>
      <c r="M660" s="274"/>
      <c r="N660" s="274"/>
      <c r="O660" s="274"/>
      <c r="P660" s="274"/>
      <c r="Q660" s="274"/>
      <c r="R660" s="316"/>
      <c r="W660" s="274"/>
      <c r="X660" s="274"/>
      <c r="Y660" s="274"/>
      <c r="Z660" s="274">
        <v>38.843</v>
      </c>
      <c r="AA660" s="274"/>
      <c r="AB660" s="309">
        <v>3850940.569</v>
      </c>
      <c r="AC660" s="274"/>
      <c r="AD660" s="274"/>
      <c r="AE660" s="274"/>
      <c r="AF660" s="274"/>
      <c r="AG660" s="274"/>
      <c r="AH660" s="274"/>
      <c r="AI660" s="274"/>
      <c r="AJ660" s="274"/>
      <c r="AK660" s="274"/>
      <c r="AL660" s="274"/>
      <c r="AM660" s="274"/>
      <c r="AN660" s="274"/>
      <c r="AO660" s="274"/>
      <c r="AP660" s="274"/>
      <c r="AQ660" s="274"/>
      <c r="AR660" s="274"/>
      <c r="AS660" s="274"/>
      <c r="AT660" s="274"/>
      <c r="AU660" s="274"/>
      <c r="AV660" s="274"/>
      <c r="AW660" s="274"/>
    </row>
    <row r="661" ht="15.75" customHeight="1">
      <c r="A661" s="274"/>
      <c r="B661" s="274"/>
      <c r="C661" s="274"/>
      <c r="D661" s="274"/>
      <c r="E661" s="274"/>
      <c r="F661" s="274"/>
      <c r="G661" s="274"/>
      <c r="H661" s="274"/>
      <c r="I661" s="274"/>
      <c r="J661" s="274"/>
      <c r="K661" s="274"/>
      <c r="L661" s="274"/>
      <c r="M661" s="274"/>
      <c r="N661" s="274"/>
      <c r="O661" s="274"/>
      <c r="P661" s="274"/>
      <c r="Q661" s="274"/>
      <c r="R661" s="316"/>
      <c r="W661" s="274"/>
      <c r="X661" s="274"/>
      <c r="Y661" s="274"/>
      <c r="Z661" s="274">
        <v>38.906</v>
      </c>
      <c r="AA661" s="274"/>
      <c r="AB661" s="309">
        <v>3850940.569</v>
      </c>
      <c r="AC661" s="274"/>
      <c r="AD661" s="274"/>
      <c r="AE661" s="274"/>
      <c r="AF661" s="274"/>
      <c r="AG661" s="274"/>
      <c r="AH661" s="274"/>
      <c r="AI661" s="274"/>
      <c r="AJ661" s="274"/>
      <c r="AK661" s="274"/>
      <c r="AL661" s="274"/>
      <c r="AM661" s="274"/>
      <c r="AN661" s="274"/>
      <c r="AO661" s="274"/>
      <c r="AP661" s="274"/>
      <c r="AQ661" s="274"/>
      <c r="AR661" s="274"/>
      <c r="AS661" s="274"/>
      <c r="AT661" s="274"/>
      <c r="AU661" s="274"/>
      <c r="AV661" s="274"/>
      <c r="AW661" s="274"/>
    </row>
    <row r="662" ht="15.75" customHeight="1">
      <c r="A662" s="274"/>
      <c r="B662" s="274"/>
      <c r="C662" s="274"/>
      <c r="D662" s="274"/>
      <c r="E662" s="274"/>
      <c r="F662" s="274"/>
      <c r="G662" s="274"/>
      <c r="H662" s="274"/>
      <c r="I662" s="274"/>
      <c r="J662" s="274"/>
      <c r="K662" s="274"/>
      <c r="L662" s="274"/>
      <c r="M662" s="274"/>
      <c r="N662" s="274"/>
      <c r="O662" s="274"/>
      <c r="P662" s="274"/>
      <c r="Q662" s="274"/>
      <c r="R662" s="316"/>
      <c r="W662" s="274"/>
      <c r="X662" s="274"/>
      <c r="Y662" s="274"/>
      <c r="Z662" s="274">
        <v>38.968</v>
      </c>
      <c r="AA662" s="274"/>
      <c r="AB662" s="309">
        <v>3850940.569</v>
      </c>
      <c r="AC662" s="274"/>
      <c r="AD662" s="274"/>
      <c r="AE662" s="274"/>
      <c r="AF662" s="274"/>
      <c r="AG662" s="274"/>
      <c r="AH662" s="274"/>
      <c r="AI662" s="274"/>
      <c r="AJ662" s="274"/>
      <c r="AK662" s="274"/>
      <c r="AL662" s="274"/>
      <c r="AM662" s="274"/>
      <c r="AN662" s="274"/>
      <c r="AO662" s="274"/>
      <c r="AP662" s="274"/>
      <c r="AQ662" s="274"/>
      <c r="AR662" s="274"/>
      <c r="AS662" s="274"/>
      <c r="AT662" s="274"/>
      <c r="AU662" s="274"/>
      <c r="AV662" s="274"/>
      <c r="AW662" s="274"/>
    </row>
    <row r="663" ht="15.75" customHeight="1">
      <c r="A663" s="274"/>
      <c r="B663" s="274"/>
      <c r="C663" s="274"/>
      <c r="D663" s="274"/>
      <c r="E663" s="274"/>
      <c r="F663" s="274"/>
      <c r="G663" s="274"/>
      <c r="H663" s="274"/>
      <c r="I663" s="274"/>
      <c r="J663" s="274"/>
      <c r="K663" s="274"/>
      <c r="L663" s="274"/>
      <c r="M663" s="274"/>
      <c r="N663" s="274"/>
      <c r="O663" s="274"/>
      <c r="P663" s="274"/>
      <c r="Q663" s="274"/>
      <c r="R663" s="316"/>
      <c r="W663" s="274"/>
      <c r="X663" s="274"/>
      <c r="Y663" s="274"/>
      <c r="Z663" s="274">
        <v>39.031</v>
      </c>
      <c r="AA663" s="274"/>
      <c r="AB663" s="309">
        <v>3850940.569</v>
      </c>
      <c r="AC663" s="274"/>
      <c r="AD663" s="274"/>
      <c r="AE663" s="274"/>
      <c r="AF663" s="274"/>
      <c r="AG663" s="274"/>
      <c r="AH663" s="274"/>
      <c r="AI663" s="274"/>
      <c r="AJ663" s="274"/>
      <c r="AK663" s="274"/>
      <c r="AL663" s="274"/>
      <c r="AM663" s="274"/>
      <c r="AN663" s="274"/>
      <c r="AO663" s="274"/>
      <c r="AP663" s="274"/>
      <c r="AQ663" s="274"/>
      <c r="AR663" s="274"/>
      <c r="AS663" s="274"/>
      <c r="AT663" s="274"/>
      <c r="AU663" s="274"/>
      <c r="AV663" s="274"/>
      <c r="AW663" s="274"/>
    </row>
    <row r="664" ht="15.75" customHeight="1">
      <c r="A664" s="274"/>
      <c r="B664" s="274"/>
      <c r="C664" s="274"/>
      <c r="D664" s="274"/>
      <c r="E664" s="274"/>
      <c r="F664" s="274"/>
      <c r="G664" s="274"/>
      <c r="H664" s="274"/>
      <c r="I664" s="274"/>
      <c r="J664" s="274"/>
      <c r="K664" s="274"/>
      <c r="L664" s="274"/>
      <c r="M664" s="274"/>
      <c r="N664" s="274"/>
      <c r="O664" s="274"/>
      <c r="P664" s="274"/>
      <c r="Q664" s="274"/>
      <c r="R664" s="316"/>
      <c r="W664" s="274"/>
      <c r="X664" s="274"/>
      <c r="Y664" s="274"/>
      <c r="Z664" s="274">
        <v>39.093</v>
      </c>
      <c r="AA664" s="274"/>
      <c r="AB664" s="309">
        <v>3850940.569</v>
      </c>
      <c r="AC664" s="274"/>
      <c r="AD664" s="274"/>
      <c r="AE664" s="274"/>
      <c r="AF664" s="274"/>
      <c r="AG664" s="274"/>
      <c r="AH664" s="274"/>
      <c r="AI664" s="274"/>
      <c r="AJ664" s="274"/>
      <c r="AK664" s="274"/>
      <c r="AL664" s="274"/>
      <c r="AM664" s="274"/>
      <c r="AN664" s="274"/>
      <c r="AO664" s="274"/>
      <c r="AP664" s="274"/>
      <c r="AQ664" s="274"/>
      <c r="AR664" s="274"/>
      <c r="AS664" s="274"/>
      <c r="AT664" s="274"/>
      <c r="AU664" s="274"/>
      <c r="AV664" s="274"/>
      <c r="AW664" s="274"/>
    </row>
    <row r="665" ht="15.75" customHeight="1">
      <c r="A665" s="274"/>
      <c r="B665" s="274"/>
      <c r="C665" s="274"/>
      <c r="D665" s="274"/>
      <c r="E665" s="274"/>
      <c r="F665" s="274"/>
      <c r="G665" s="274"/>
      <c r="H665" s="274"/>
      <c r="I665" s="274"/>
      <c r="J665" s="274"/>
      <c r="K665" s="274"/>
      <c r="L665" s="274"/>
      <c r="M665" s="274"/>
      <c r="N665" s="274"/>
      <c r="O665" s="274"/>
      <c r="P665" s="274"/>
      <c r="Q665" s="274"/>
      <c r="R665" s="316"/>
      <c r="W665" s="274"/>
      <c r="X665" s="274"/>
      <c r="Y665" s="274"/>
      <c r="Z665" s="274">
        <v>39.156</v>
      </c>
      <c r="AA665" s="274"/>
      <c r="AB665" s="309">
        <v>3850940.569</v>
      </c>
      <c r="AC665" s="274"/>
      <c r="AD665" s="274"/>
      <c r="AE665" s="274"/>
      <c r="AF665" s="274"/>
      <c r="AG665" s="274"/>
      <c r="AH665" s="274"/>
      <c r="AI665" s="274"/>
      <c r="AJ665" s="274"/>
      <c r="AK665" s="274"/>
      <c r="AL665" s="274"/>
      <c r="AM665" s="274"/>
      <c r="AN665" s="274"/>
      <c r="AO665" s="274"/>
      <c r="AP665" s="274"/>
      <c r="AQ665" s="274"/>
      <c r="AR665" s="274"/>
      <c r="AS665" s="274"/>
      <c r="AT665" s="274"/>
      <c r="AU665" s="274"/>
      <c r="AV665" s="274"/>
      <c r="AW665" s="274"/>
    </row>
    <row r="666" ht="15.75" customHeight="1">
      <c r="A666" s="274"/>
      <c r="B666" s="274"/>
      <c r="C666" s="274"/>
      <c r="D666" s="274"/>
      <c r="E666" s="274"/>
      <c r="F666" s="274"/>
      <c r="G666" s="274"/>
      <c r="H666" s="274"/>
      <c r="I666" s="274"/>
      <c r="J666" s="274"/>
      <c r="K666" s="274"/>
      <c r="L666" s="274"/>
      <c r="M666" s="274"/>
      <c r="N666" s="274"/>
      <c r="O666" s="274"/>
      <c r="P666" s="274"/>
      <c r="Q666" s="274"/>
      <c r="R666" s="316"/>
      <c r="W666" s="274"/>
      <c r="X666" s="274"/>
      <c r="Y666" s="274"/>
      <c r="Z666" s="274">
        <v>39.234</v>
      </c>
      <c r="AA666" s="274"/>
      <c r="AB666" s="309">
        <v>3850940.569</v>
      </c>
      <c r="AC666" s="274"/>
      <c r="AD666" s="274"/>
      <c r="AE666" s="274"/>
      <c r="AF666" s="274"/>
      <c r="AG666" s="274"/>
      <c r="AH666" s="274"/>
      <c r="AI666" s="274"/>
      <c r="AJ666" s="274"/>
      <c r="AK666" s="274"/>
      <c r="AL666" s="274"/>
      <c r="AM666" s="274"/>
      <c r="AN666" s="274"/>
      <c r="AO666" s="274"/>
      <c r="AP666" s="274"/>
      <c r="AQ666" s="274"/>
      <c r="AR666" s="274"/>
      <c r="AS666" s="274"/>
      <c r="AT666" s="274"/>
      <c r="AU666" s="274"/>
      <c r="AV666" s="274"/>
      <c r="AW666" s="274"/>
    </row>
    <row r="667" ht="15.75" customHeight="1">
      <c r="A667" s="274"/>
      <c r="B667" s="274"/>
      <c r="C667" s="274"/>
      <c r="D667" s="274"/>
      <c r="E667" s="274"/>
      <c r="F667" s="274"/>
      <c r="G667" s="274"/>
      <c r="H667" s="274"/>
      <c r="I667" s="274"/>
      <c r="J667" s="274"/>
      <c r="K667" s="274"/>
      <c r="L667" s="274"/>
      <c r="M667" s="274"/>
      <c r="N667" s="274"/>
      <c r="O667" s="274"/>
      <c r="P667" s="274"/>
      <c r="Q667" s="274"/>
      <c r="R667" s="316"/>
      <c r="W667" s="274"/>
      <c r="X667" s="274"/>
      <c r="Y667" s="274"/>
      <c r="Z667" s="274">
        <v>39.281</v>
      </c>
      <c r="AA667" s="274"/>
      <c r="AB667" s="309">
        <v>3850940.569</v>
      </c>
      <c r="AC667" s="274"/>
      <c r="AD667" s="274"/>
      <c r="AE667" s="274"/>
      <c r="AF667" s="274"/>
      <c r="AG667" s="274"/>
      <c r="AH667" s="274"/>
      <c r="AI667" s="274"/>
      <c r="AJ667" s="274"/>
      <c r="AK667" s="274"/>
      <c r="AL667" s="274"/>
      <c r="AM667" s="274"/>
      <c r="AN667" s="274"/>
      <c r="AO667" s="274"/>
      <c r="AP667" s="274"/>
      <c r="AQ667" s="274"/>
      <c r="AR667" s="274"/>
      <c r="AS667" s="274"/>
      <c r="AT667" s="274"/>
      <c r="AU667" s="274"/>
      <c r="AV667" s="274"/>
      <c r="AW667" s="274"/>
    </row>
    <row r="668" ht="15.75" customHeight="1">
      <c r="A668" s="274"/>
      <c r="B668" s="274"/>
      <c r="C668" s="274"/>
      <c r="D668" s="274"/>
      <c r="E668" s="274"/>
      <c r="F668" s="274"/>
      <c r="G668" s="274"/>
      <c r="H668" s="274"/>
      <c r="I668" s="274"/>
      <c r="J668" s="274"/>
      <c r="K668" s="274"/>
      <c r="L668" s="274"/>
      <c r="M668" s="274"/>
      <c r="N668" s="274"/>
      <c r="O668" s="274"/>
      <c r="P668" s="274"/>
      <c r="Q668" s="274"/>
      <c r="R668" s="316"/>
      <c r="W668" s="274"/>
      <c r="X668" s="274"/>
      <c r="Y668" s="274"/>
      <c r="Z668" s="274">
        <v>39.343</v>
      </c>
      <c r="AA668" s="274"/>
      <c r="AB668" s="309">
        <v>3850940.569</v>
      </c>
      <c r="AC668" s="274"/>
      <c r="AD668" s="274"/>
      <c r="AE668" s="274"/>
      <c r="AF668" s="274"/>
      <c r="AG668" s="274"/>
      <c r="AH668" s="274"/>
      <c r="AI668" s="274"/>
      <c r="AJ668" s="274"/>
      <c r="AK668" s="274"/>
      <c r="AL668" s="274"/>
      <c r="AM668" s="274"/>
      <c r="AN668" s="274"/>
      <c r="AO668" s="274"/>
      <c r="AP668" s="274"/>
      <c r="AQ668" s="274"/>
      <c r="AR668" s="274"/>
      <c r="AS668" s="274"/>
      <c r="AT668" s="274"/>
      <c r="AU668" s="274"/>
      <c r="AV668" s="274"/>
      <c r="AW668" s="274"/>
    </row>
    <row r="669" ht="15.75" customHeight="1">
      <c r="A669" s="274"/>
      <c r="B669" s="274"/>
      <c r="C669" s="274"/>
      <c r="D669" s="274"/>
      <c r="E669" s="274"/>
      <c r="F669" s="274"/>
      <c r="G669" s="274"/>
      <c r="H669" s="274"/>
      <c r="I669" s="274"/>
      <c r="J669" s="274"/>
      <c r="K669" s="274"/>
      <c r="L669" s="274"/>
      <c r="M669" s="274"/>
      <c r="N669" s="274"/>
      <c r="O669" s="274"/>
      <c r="P669" s="274"/>
      <c r="Q669" s="274"/>
      <c r="R669" s="316"/>
      <c r="W669" s="274"/>
      <c r="X669" s="274"/>
      <c r="Y669" s="274"/>
      <c r="Z669" s="274">
        <v>39.406</v>
      </c>
      <c r="AA669" s="274"/>
      <c r="AB669" s="309">
        <v>3850940.569</v>
      </c>
      <c r="AC669" s="274"/>
      <c r="AD669" s="274"/>
      <c r="AE669" s="274"/>
      <c r="AF669" s="274"/>
      <c r="AG669" s="274"/>
      <c r="AH669" s="274"/>
      <c r="AI669" s="274"/>
      <c r="AJ669" s="274"/>
      <c r="AK669" s="274"/>
      <c r="AL669" s="274"/>
      <c r="AM669" s="274"/>
      <c r="AN669" s="274"/>
      <c r="AO669" s="274"/>
      <c r="AP669" s="274"/>
      <c r="AQ669" s="274"/>
      <c r="AR669" s="274"/>
      <c r="AS669" s="274"/>
      <c r="AT669" s="274"/>
      <c r="AU669" s="274"/>
      <c r="AV669" s="274"/>
      <c r="AW669" s="274"/>
    </row>
    <row r="670" ht="15.75" customHeight="1">
      <c r="A670" s="274"/>
      <c r="B670" s="274"/>
      <c r="C670" s="274"/>
      <c r="D670" s="274"/>
      <c r="E670" s="274"/>
      <c r="F670" s="274"/>
      <c r="G670" s="274"/>
      <c r="H670" s="274"/>
      <c r="I670" s="274"/>
      <c r="J670" s="274"/>
      <c r="K670" s="274"/>
      <c r="L670" s="274"/>
      <c r="M670" s="274"/>
      <c r="N670" s="274"/>
      <c r="O670" s="274"/>
      <c r="P670" s="274"/>
      <c r="Q670" s="274"/>
      <c r="R670" s="316"/>
      <c r="W670" s="274"/>
      <c r="X670" s="274"/>
      <c r="Y670" s="274"/>
      <c r="Z670" s="274">
        <v>39.468</v>
      </c>
      <c r="AA670" s="274"/>
      <c r="AB670" s="309">
        <v>3850940.569</v>
      </c>
      <c r="AC670" s="274"/>
      <c r="AD670" s="274"/>
      <c r="AE670" s="274"/>
      <c r="AF670" s="274"/>
      <c r="AG670" s="274"/>
      <c r="AH670" s="274"/>
      <c r="AI670" s="274"/>
      <c r="AJ670" s="274"/>
      <c r="AK670" s="274"/>
      <c r="AL670" s="274"/>
      <c r="AM670" s="274"/>
      <c r="AN670" s="274"/>
      <c r="AO670" s="274"/>
      <c r="AP670" s="274"/>
      <c r="AQ670" s="274"/>
      <c r="AR670" s="274"/>
      <c r="AS670" s="274"/>
      <c r="AT670" s="274"/>
      <c r="AU670" s="274"/>
      <c r="AV670" s="274"/>
      <c r="AW670" s="274"/>
    </row>
    <row r="671" ht="15.75" customHeight="1">
      <c r="A671" s="274"/>
      <c r="B671" s="274"/>
      <c r="C671" s="274"/>
      <c r="D671" s="274"/>
      <c r="E671" s="274"/>
      <c r="F671" s="274"/>
      <c r="G671" s="274"/>
      <c r="H671" s="274"/>
      <c r="I671" s="274"/>
      <c r="J671" s="274"/>
      <c r="K671" s="274"/>
      <c r="L671" s="274"/>
      <c r="M671" s="274"/>
      <c r="N671" s="274"/>
      <c r="O671" s="274"/>
      <c r="P671" s="274"/>
      <c r="Q671" s="274"/>
      <c r="R671" s="316"/>
      <c r="W671" s="274"/>
      <c r="X671" s="274"/>
      <c r="Y671" s="274"/>
      <c r="Z671" s="274">
        <v>39.531</v>
      </c>
      <c r="AA671" s="274"/>
      <c r="AB671" s="309">
        <v>3850940.569</v>
      </c>
      <c r="AC671" s="274"/>
      <c r="AD671" s="274"/>
      <c r="AE671" s="274"/>
      <c r="AF671" s="274"/>
      <c r="AG671" s="274"/>
      <c r="AH671" s="274"/>
      <c r="AI671" s="274"/>
      <c r="AJ671" s="274"/>
      <c r="AK671" s="274"/>
      <c r="AL671" s="274"/>
      <c r="AM671" s="274"/>
      <c r="AN671" s="274"/>
      <c r="AO671" s="274"/>
      <c r="AP671" s="274"/>
      <c r="AQ671" s="274"/>
      <c r="AR671" s="274"/>
      <c r="AS671" s="274"/>
      <c r="AT671" s="274"/>
      <c r="AU671" s="274"/>
      <c r="AV671" s="274"/>
      <c r="AW671" s="274"/>
    </row>
    <row r="672" ht="15.75" customHeight="1">
      <c r="A672" s="274"/>
      <c r="B672" s="274"/>
      <c r="C672" s="274"/>
      <c r="D672" s="274"/>
      <c r="E672" s="274"/>
      <c r="F672" s="274"/>
      <c r="G672" s="274"/>
      <c r="H672" s="274"/>
      <c r="I672" s="274"/>
      <c r="J672" s="274"/>
      <c r="K672" s="274"/>
      <c r="L672" s="274"/>
      <c r="M672" s="274"/>
      <c r="N672" s="274"/>
      <c r="O672" s="274"/>
      <c r="P672" s="274"/>
      <c r="Q672" s="274"/>
      <c r="R672" s="316"/>
      <c r="W672" s="274"/>
      <c r="X672" s="274"/>
      <c r="Y672" s="274"/>
      <c r="Z672" s="274">
        <v>39.593</v>
      </c>
      <c r="AA672" s="274"/>
      <c r="AB672" s="309">
        <v>3850940.569</v>
      </c>
      <c r="AC672" s="274"/>
      <c r="AD672" s="274"/>
      <c r="AE672" s="274"/>
      <c r="AF672" s="274"/>
      <c r="AG672" s="274"/>
      <c r="AH672" s="274"/>
      <c r="AI672" s="274"/>
      <c r="AJ672" s="274"/>
      <c r="AK672" s="274"/>
      <c r="AL672" s="274"/>
      <c r="AM672" s="274"/>
      <c r="AN672" s="274"/>
      <c r="AO672" s="274"/>
      <c r="AP672" s="274"/>
      <c r="AQ672" s="274"/>
      <c r="AR672" s="274"/>
      <c r="AS672" s="274"/>
      <c r="AT672" s="274"/>
      <c r="AU672" s="274"/>
      <c r="AV672" s="274"/>
      <c r="AW672" s="274"/>
    </row>
    <row r="673" ht="15.75" customHeight="1">
      <c r="A673" s="274"/>
      <c r="B673" s="274"/>
      <c r="C673" s="274"/>
      <c r="D673" s="274"/>
      <c r="E673" s="274"/>
      <c r="F673" s="274"/>
      <c r="G673" s="274"/>
      <c r="H673" s="274"/>
      <c r="I673" s="274"/>
      <c r="J673" s="274"/>
      <c r="K673" s="274"/>
      <c r="L673" s="274"/>
      <c r="M673" s="274"/>
      <c r="N673" s="274"/>
      <c r="O673" s="274"/>
      <c r="P673" s="274"/>
      <c r="Q673" s="274"/>
      <c r="R673" s="316"/>
      <c r="W673" s="274"/>
      <c r="X673" s="274"/>
      <c r="Y673" s="274"/>
      <c r="Z673" s="274">
        <v>39.656</v>
      </c>
      <c r="AA673" s="274"/>
      <c r="AB673" s="309">
        <v>3850940.569</v>
      </c>
      <c r="AC673" s="274"/>
      <c r="AD673" s="274"/>
      <c r="AE673" s="274"/>
      <c r="AF673" s="274"/>
      <c r="AG673" s="274"/>
      <c r="AH673" s="274"/>
      <c r="AI673" s="274"/>
      <c r="AJ673" s="274"/>
      <c r="AK673" s="274"/>
      <c r="AL673" s="274"/>
      <c r="AM673" s="274"/>
      <c r="AN673" s="274"/>
      <c r="AO673" s="274"/>
      <c r="AP673" s="274"/>
      <c r="AQ673" s="274"/>
      <c r="AR673" s="274"/>
      <c r="AS673" s="274"/>
      <c r="AT673" s="274"/>
      <c r="AU673" s="274"/>
      <c r="AV673" s="274"/>
      <c r="AW673" s="274"/>
    </row>
    <row r="674" ht="15.75" customHeight="1">
      <c r="A674" s="274"/>
      <c r="B674" s="274"/>
      <c r="C674" s="274"/>
      <c r="D674" s="274"/>
      <c r="E674" s="274"/>
      <c r="F674" s="274"/>
      <c r="G674" s="274"/>
      <c r="H674" s="274"/>
      <c r="I674" s="274"/>
      <c r="J674" s="274"/>
      <c r="K674" s="274"/>
      <c r="L674" s="274"/>
      <c r="M674" s="274"/>
      <c r="N674" s="274"/>
      <c r="O674" s="274"/>
      <c r="P674" s="274"/>
      <c r="Q674" s="274"/>
      <c r="R674" s="316"/>
      <c r="W674" s="274"/>
      <c r="X674" s="274"/>
      <c r="Y674" s="274"/>
      <c r="Z674" s="274">
        <v>39.718</v>
      </c>
      <c r="AA674" s="274"/>
      <c r="AB674" s="309">
        <v>3850940.569</v>
      </c>
      <c r="AC674" s="274"/>
      <c r="AD674" s="274"/>
      <c r="AE674" s="274"/>
      <c r="AF674" s="274"/>
      <c r="AG674" s="274"/>
      <c r="AH674" s="274"/>
      <c r="AI674" s="274"/>
      <c r="AJ674" s="274"/>
      <c r="AK674" s="274"/>
      <c r="AL674" s="274"/>
      <c r="AM674" s="274"/>
      <c r="AN674" s="274"/>
      <c r="AO674" s="274"/>
      <c r="AP674" s="274"/>
      <c r="AQ674" s="274"/>
      <c r="AR674" s="274"/>
      <c r="AS674" s="274"/>
      <c r="AT674" s="274"/>
      <c r="AU674" s="274"/>
      <c r="AV674" s="274"/>
      <c r="AW674" s="274"/>
    </row>
    <row r="675" ht="15.75" customHeight="1">
      <c r="A675" s="274"/>
      <c r="B675" s="274"/>
      <c r="C675" s="274"/>
      <c r="D675" s="274"/>
      <c r="E675" s="274"/>
      <c r="F675" s="274"/>
      <c r="G675" s="274"/>
      <c r="H675" s="274"/>
      <c r="I675" s="274"/>
      <c r="J675" s="274"/>
      <c r="K675" s="274"/>
      <c r="L675" s="274"/>
      <c r="M675" s="274"/>
      <c r="N675" s="274"/>
      <c r="O675" s="274"/>
      <c r="P675" s="274"/>
      <c r="Q675" s="274"/>
      <c r="R675" s="316"/>
      <c r="W675" s="274"/>
      <c r="X675" s="274"/>
      <c r="Y675" s="274"/>
      <c r="Z675" s="274">
        <v>39.781</v>
      </c>
      <c r="AA675" s="274"/>
      <c r="AB675" s="309">
        <v>3850940.569</v>
      </c>
      <c r="AC675" s="274"/>
      <c r="AD675" s="274"/>
      <c r="AE675" s="274"/>
      <c r="AF675" s="274"/>
      <c r="AG675" s="274"/>
      <c r="AH675" s="274"/>
      <c r="AI675" s="274"/>
      <c r="AJ675" s="274"/>
      <c r="AK675" s="274"/>
      <c r="AL675" s="274"/>
      <c r="AM675" s="274"/>
      <c r="AN675" s="274"/>
      <c r="AO675" s="274"/>
      <c r="AP675" s="274"/>
      <c r="AQ675" s="274"/>
      <c r="AR675" s="274"/>
      <c r="AS675" s="274"/>
      <c r="AT675" s="274"/>
      <c r="AU675" s="274"/>
      <c r="AV675" s="274"/>
      <c r="AW675" s="274"/>
    </row>
    <row r="676" ht="15.75" customHeight="1">
      <c r="A676" s="274"/>
      <c r="B676" s="274"/>
      <c r="C676" s="274"/>
      <c r="D676" s="274"/>
      <c r="E676" s="274"/>
      <c r="F676" s="274"/>
      <c r="G676" s="274"/>
      <c r="H676" s="274"/>
      <c r="I676" s="274"/>
      <c r="J676" s="274"/>
      <c r="K676" s="274"/>
      <c r="L676" s="274"/>
      <c r="M676" s="274"/>
      <c r="N676" s="274"/>
      <c r="O676" s="274"/>
      <c r="P676" s="274"/>
      <c r="Q676" s="274"/>
      <c r="R676" s="316"/>
      <c r="W676" s="274"/>
      <c r="X676" s="274"/>
      <c r="Y676" s="274"/>
      <c r="Z676" s="274">
        <v>39.843</v>
      </c>
      <c r="AA676" s="274"/>
      <c r="AB676" s="309">
        <v>3850940.569</v>
      </c>
      <c r="AC676" s="274"/>
      <c r="AD676" s="274"/>
      <c r="AE676" s="274"/>
      <c r="AF676" s="274"/>
      <c r="AG676" s="274"/>
      <c r="AH676" s="274"/>
      <c r="AI676" s="274"/>
      <c r="AJ676" s="274"/>
      <c r="AK676" s="274"/>
      <c r="AL676" s="274"/>
      <c r="AM676" s="274"/>
      <c r="AN676" s="274"/>
      <c r="AO676" s="274"/>
      <c r="AP676" s="274"/>
      <c r="AQ676" s="274"/>
      <c r="AR676" s="274"/>
      <c r="AS676" s="274"/>
      <c r="AT676" s="274"/>
      <c r="AU676" s="274"/>
      <c r="AV676" s="274"/>
      <c r="AW676" s="274"/>
    </row>
    <row r="677" ht="15.75" customHeight="1">
      <c r="A677" s="274"/>
      <c r="B677" s="274"/>
      <c r="C677" s="274"/>
      <c r="D677" s="274"/>
      <c r="E677" s="274"/>
      <c r="F677" s="274"/>
      <c r="G677" s="274"/>
      <c r="H677" s="274"/>
      <c r="I677" s="274"/>
      <c r="J677" s="274"/>
      <c r="K677" s="274"/>
      <c r="L677" s="274"/>
      <c r="M677" s="274"/>
      <c r="N677" s="274"/>
      <c r="O677" s="274"/>
      <c r="P677" s="274"/>
      <c r="Q677" s="274"/>
      <c r="R677" s="316"/>
      <c r="W677" s="274"/>
      <c r="X677" s="274"/>
      <c r="Y677" s="274"/>
      <c r="Z677" s="274">
        <v>39.906</v>
      </c>
      <c r="AA677" s="274"/>
      <c r="AB677" s="309">
        <v>3850940.569</v>
      </c>
      <c r="AC677" s="274"/>
      <c r="AD677" s="274"/>
      <c r="AE677" s="274"/>
      <c r="AF677" s="274"/>
      <c r="AG677" s="274"/>
      <c r="AH677" s="274"/>
      <c r="AI677" s="274"/>
      <c r="AJ677" s="274"/>
      <c r="AK677" s="274"/>
      <c r="AL677" s="274"/>
      <c r="AM677" s="274"/>
      <c r="AN677" s="274"/>
      <c r="AO677" s="274"/>
      <c r="AP677" s="274"/>
      <c r="AQ677" s="274"/>
      <c r="AR677" s="274"/>
      <c r="AS677" s="274"/>
      <c r="AT677" s="274"/>
      <c r="AU677" s="274"/>
      <c r="AV677" s="274"/>
      <c r="AW677" s="274"/>
    </row>
    <row r="678" ht="15.75" customHeight="1">
      <c r="A678" s="274"/>
      <c r="B678" s="274"/>
      <c r="C678" s="274"/>
      <c r="D678" s="274"/>
      <c r="E678" s="274"/>
      <c r="F678" s="274"/>
      <c r="G678" s="274"/>
      <c r="H678" s="274"/>
      <c r="I678" s="274"/>
      <c r="J678" s="274"/>
      <c r="K678" s="274"/>
      <c r="L678" s="274"/>
      <c r="M678" s="274"/>
      <c r="N678" s="274"/>
      <c r="O678" s="274"/>
      <c r="P678" s="274"/>
      <c r="Q678" s="274"/>
      <c r="R678" s="316"/>
      <c r="W678" s="274"/>
      <c r="X678" s="274"/>
      <c r="Y678" s="274"/>
      <c r="Z678" s="274">
        <v>39.968</v>
      </c>
      <c r="AA678" s="274"/>
      <c r="AB678" s="309">
        <v>3850940.569</v>
      </c>
      <c r="AC678" s="274"/>
      <c r="AD678" s="274"/>
      <c r="AE678" s="274"/>
      <c r="AF678" s="274"/>
      <c r="AG678" s="274"/>
      <c r="AH678" s="274"/>
      <c r="AI678" s="274"/>
      <c r="AJ678" s="274"/>
      <c r="AK678" s="274"/>
      <c r="AL678" s="274"/>
      <c r="AM678" s="274"/>
      <c r="AN678" s="274"/>
      <c r="AO678" s="274"/>
      <c r="AP678" s="274"/>
      <c r="AQ678" s="274"/>
      <c r="AR678" s="274"/>
      <c r="AS678" s="274"/>
      <c r="AT678" s="274"/>
      <c r="AU678" s="274"/>
      <c r="AV678" s="274"/>
      <c r="AW678" s="274"/>
    </row>
    <row r="679" ht="15.75" customHeight="1">
      <c r="A679" s="274"/>
      <c r="B679" s="274"/>
      <c r="C679" s="274"/>
      <c r="D679" s="274"/>
      <c r="E679" s="274"/>
      <c r="F679" s="274"/>
      <c r="G679" s="274"/>
      <c r="H679" s="274"/>
      <c r="I679" s="274"/>
      <c r="J679" s="274"/>
      <c r="K679" s="274"/>
      <c r="L679" s="274"/>
      <c r="M679" s="274"/>
      <c r="N679" s="274"/>
      <c r="O679" s="274"/>
      <c r="P679" s="274"/>
      <c r="Q679" s="274"/>
      <c r="R679" s="316"/>
      <c r="W679" s="274"/>
      <c r="X679" s="274"/>
      <c r="Y679" s="274"/>
      <c r="Z679" s="274">
        <v>40.031</v>
      </c>
      <c r="AA679" s="274"/>
      <c r="AB679" s="309">
        <v>3850940.569</v>
      </c>
      <c r="AC679" s="274"/>
      <c r="AD679" s="274"/>
      <c r="AE679" s="274"/>
      <c r="AF679" s="274"/>
      <c r="AG679" s="274"/>
      <c r="AH679" s="274"/>
      <c r="AI679" s="274"/>
      <c r="AJ679" s="274"/>
      <c r="AK679" s="274"/>
      <c r="AL679" s="274"/>
      <c r="AM679" s="274"/>
      <c r="AN679" s="274"/>
      <c r="AO679" s="274"/>
      <c r="AP679" s="274"/>
      <c r="AQ679" s="274"/>
      <c r="AR679" s="274"/>
      <c r="AS679" s="274"/>
      <c r="AT679" s="274"/>
      <c r="AU679" s="274"/>
      <c r="AV679" s="274"/>
      <c r="AW679" s="274"/>
    </row>
    <row r="680" ht="15.75" customHeight="1">
      <c r="A680" s="274"/>
      <c r="B680" s="274"/>
      <c r="C680" s="274"/>
      <c r="D680" s="274"/>
      <c r="E680" s="274"/>
      <c r="F680" s="274"/>
      <c r="G680" s="274"/>
      <c r="H680" s="274"/>
      <c r="I680" s="274"/>
      <c r="J680" s="274"/>
      <c r="K680" s="274"/>
      <c r="L680" s="274"/>
      <c r="M680" s="274"/>
      <c r="N680" s="274"/>
      <c r="O680" s="274"/>
      <c r="P680" s="274"/>
      <c r="Q680" s="274"/>
      <c r="R680" s="316"/>
      <c r="W680" s="274"/>
      <c r="X680" s="274"/>
      <c r="Y680" s="274"/>
      <c r="Z680" s="274">
        <v>40.093</v>
      </c>
      <c r="AA680" s="274"/>
      <c r="AB680" s="309">
        <v>3850940.569</v>
      </c>
      <c r="AC680" s="274"/>
      <c r="AD680" s="274"/>
      <c r="AE680" s="274"/>
      <c r="AF680" s="274"/>
      <c r="AG680" s="274"/>
      <c r="AH680" s="274"/>
      <c r="AI680" s="274"/>
      <c r="AJ680" s="274"/>
      <c r="AK680" s="274"/>
      <c r="AL680" s="274"/>
      <c r="AM680" s="274"/>
      <c r="AN680" s="274"/>
      <c r="AO680" s="274"/>
      <c r="AP680" s="274"/>
      <c r="AQ680" s="274"/>
      <c r="AR680" s="274"/>
      <c r="AS680" s="274"/>
      <c r="AT680" s="274"/>
      <c r="AU680" s="274"/>
      <c r="AV680" s="274"/>
      <c r="AW680" s="274"/>
    </row>
    <row r="681" ht="15.75" customHeight="1">
      <c r="A681" s="274"/>
      <c r="B681" s="274"/>
      <c r="C681" s="274"/>
      <c r="D681" s="274"/>
      <c r="E681" s="274"/>
      <c r="F681" s="274"/>
      <c r="G681" s="274"/>
      <c r="H681" s="274"/>
      <c r="I681" s="274"/>
      <c r="J681" s="274"/>
      <c r="K681" s="274"/>
      <c r="L681" s="274"/>
      <c r="M681" s="274"/>
      <c r="N681" s="274"/>
      <c r="O681" s="274"/>
      <c r="P681" s="274"/>
      <c r="Q681" s="274"/>
      <c r="R681" s="316"/>
      <c r="W681" s="274"/>
      <c r="X681" s="274"/>
      <c r="Y681" s="274"/>
      <c r="Z681" s="274">
        <v>40.156</v>
      </c>
      <c r="AA681" s="274"/>
      <c r="AB681" s="309">
        <v>3850940.569</v>
      </c>
      <c r="AC681" s="274"/>
      <c r="AD681" s="274"/>
      <c r="AE681" s="274"/>
      <c r="AF681" s="274"/>
      <c r="AG681" s="274"/>
      <c r="AH681" s="274"/>
      <c r="AI681" s="274"/>
      <c r="AJ681" s="274"/>
      <c r="AK681" s="274"/>
      <c r="AL681" s="274"/>
      <c r="AM681" s="274"/>
      <c r="AN681" s="274"/>
      <c r="AO681" s="274"/>
      <c r="AP681" s="274"/>
      <c r="AQ681" s="274"/>
      <c r="AR681" s="274"/>
      <c r="AS681" s="274"/>
      <c r="AT681" s="274"/>
      <c r="AU681" s="274"/>
      <c r="AV681" s="274"/>
      <c r="AW681" s="274"/>
    </row>
    <row r="682" ht="15.75" customHeight="1">
      <c r="A682" s="274"/>
      <c r="B682" s="274"/>
      <c r="C682" s="274"/>
      <c r="D682" s="274"/>
      <c r="E682" s="274"/>
      <c r="F682" s="274"/>
      <c r="G682" s="274"/>
      <c r="H682" s="274"/>
      <c r="I682" s="274"/>
      <c r="J682" s="274"/>
      <c r="K682" s="274"/>
      <c r="L682" s="274"/>
      <c r="M682" s="274"/>
      <c r="N682" s="274"/>
      <c r="O682" s="274"/>
      <c r="P682" s="274"/>
      <c r="Q682" s="274"/>
      <c r="R682" s="316"/>
      <c r="W682" s="274"/>
      <c r="X682" s="274"/>
      <c r="Y682" s="274"/>
      <c r="Z682" s="274">
        <v>40.218</v>
      </c>
      <c r="AA682" s="274"/>
      <c r="AB682" s="309">
        <v>3850940.569</v>
      </c>
      <c r="AC682" s="274"/>
      <c r="AD682" s="274"/>
      <c r="AE682" s="274"/>
      <c r="AF682" s="274"/>
      <c r="AG682" s="274"/>
      <c r="AH682" s="274"/>
      <c r="AI682" s="274"/>
      <c r="AJ682" s="274"/>
      <c r="AK682" s="274"/>
      <c r="AL682" s="274"/>
      <c r="AM682" s="274"/>
      <c r="AN682" s="274"/>
      <c r="AO682" s="274"/>
      <c r="AP682" s="274"/>
      <c r="AQ682" s="274"/>
      <c r="AR682" s="274"/>
      <c r="AS682" s="274"/>
      <c r="AT682" s="274"/>
      <c r="AU682" s="274"/>
      <c r="AV682" s="274"/>
      <c r="AW682" s="274"/>
    </row>
    <row r="683" ht="15.75" customHeight="1">
      <c r="A683" s="274"/>
      <c r="B683" s="274"/>
      <c r="C683" s="274"/>
      <c r="D683" s="274"/>
      <c r="E683" s="274"/>
      <c r="F683" s="274"/>
      <c r="G683" s="274"/>
      <c r="H683" s="274"/>
      <c r="I683" s="274"/>
      <c r="J683" s="274"/>
      <c r="K683" s="274"/>
      <c r="L683" s="274"/>
      <c r="M683" s="274"/>
      <c r="N683" s="274"/>
      <c r="O683" s="274"/>
      <c r="P683" s="274"/>
      <c r="Q683" s="274"/>
      <c r="R683" s="316"/>
      <c r="W683" s="274"/>
      <c r="X683" s="274"/>
      <c r="Y683" s="274"/>
      <c r="Z683" s="274">
        <v>40.281</v>
      </c>
      <c r="AA683" s="274"/>
      <c r="AB683" s="309">
        <v>3850940.569</v>
      </c>
      <c r="AC683" s="274"/>
      <c r="AD683" s="274"/>
      <c r="AE683" s="274"/>
      <c r="AF683" s="274"/>
      <c r="AG683" s="274"/>
      <c r="AH683" s="274"/>
      <c r="AI683" s="274"/>
      <c r="AJ683" s="274"/>
      <c r="AK683" s="274"/>
      <c r="AL683" s="274"/>
      <c r="AM683" s="274"/>
      <c r="AN683" s="274"/>
      <c r="AO683" s="274"/>
      <c r="AP683" s="274"/>
      <c r="AQ683" s="274"/>
      <c r="AR683" s="274"/>
      <c r="AS683" s="274"/>
      <c r="AT683" s="274"/>
      <c r="AU683" s="274"/>
      <c r="AV683" s="274"/>
      <c r="AW683" s="274"/>
    </row>
    <row r="684" ht="15.75" customHeight="1">
      <c r="A684" s="274"/>
      <c r="B684" s="274"/>
      <c r="C684" s="274"/>
      <c r="D684" s="274"/>
      <c r="E684" s="274"/>
      <c r="F684" s="274"/>
      <c r="G684" s="274"/>
      <c r="H684" s="274"/>
      <c r="I684" s="274"/>
      <c r="J684" s="274"/>
      <c r="K684" s="274"/>
      <c r="L684" s="274"/>
      <c r="M684" s="274"/>
      <c r="N684" s="274"/>
      <c r="O684" s="274"/>
      <c r="P684" s="274"/>
      <c r="Q684" s="274"/>
      <c r="R684" s="316"/>
      <c r="W684" s="274"/>
      <c r="X684" s="274"/>
      <c r="Y684" s="274"/>
      <c r="Z684" s="274">
        <v>40.343</v>
      </c>
      <c r="AA684" s="274"/>
      <c r="AB684" s="309">
        <v>3850940.569</v>
      </c>
      <c r="AC684" s="274"/>
      <c r="AD684" s="274"/>
      <c r="AE684" s="274"/>
      <c r="AF684" s="274"/>
      <c r="AG684" s="274"/>
      <c r="AH684" s="274"/>
      <c r="AI684" s="274"/>
      <c r="AJ684" s="274"/>
      <c r="AK684" s="274"/>
      <c r="AL684" s="274"/>
      <c r="AM684" s="274"/>
      <c r="AN684" s="274"/>
      <c r="AO684" s="274"/>
      <c r="AP684" s="274"/>
      <c r="AQ684" s="274"/>
      <c r="AR684" s="274"/>
      <c r="AS684" s="274"/>
      <c r="AT684" s="274"/>
      <c r="AU684" s="274"/>
      <c r="AV684" s="274"/>
      <c r="AW684" s="274"/>
    </row>
    <row r="685" ht="15.75" customHeight="1">
      <c r="A685" s="274"/>
      <c r="B685" s="274"/>
      <c r="C685" s="274"/>
      <c r="D685" s="274"/>
      <c r="E685" s="274"/>
      <c r="F685" s="274"/>
      <c r="G685" s="274"/>
      <c r="H685" s="274"/>
      <c r="I685" s="274"/>
      <c r="J685" s="274"/>
      <c r="K685" s="274"/>
      <c r="L685" s="274"/>
      <c r="M685" s="274"/>
      <c r="N685" s="274"/>
      <c r="O685" s="274"/>
      <c r="P685" s="274"/>
      <c r="Q685" s="274"/>
      <c r="R685" s="316"/>
      <c r="W685" s="274"/>
      <c r="X685" s="274"/>
      <c r="Y685" s="274"/>
      <c r="Z685" s="274">
        <v>40.406</v>
      </c>
      <c r="AA685" s="274"/>
      <c r="AB685" s="309">
        <v>3850940.569</v>
      </c>
      <c r="AC685" s="274"/>
      <c r="AD685" s="274"/>
      <c r="AE685" s="274"/>
      <c r="AF685" s="274"/>
      <c r="AG685" s="274"/>
      <c r="AH685" s="274"/>
      <c r="AI685" s="274"/>
      <c r="AJ685" s="274"/>
      <c r="AK685" s="274"/>
      <c r="AL685" s="274"/>
      <c r="AM685" s="274"/>
      <c r="AN685" s="274"/>
      <c r="AO685" s="274"/>
      <c r="AP685" s="274"/>
      <c r="AQ685" s="274"/>
      <c r="AR685" s="274"/>
      <c r="AS685" s="274"/>
      <c r="AT685" s="274"/>
      <c r="AU685" s="274"/>
      <c r="AV685" s="274"/>
      <c r="AW685" s="274"/>
    </row>
    <row r="686" ht="15.75" customHeight="1">
      <c r="A686" s="274"/>
      <c r="B686" s="274"/>
      <c r="C686" s="274"/>
      <c r="D686" s="274"/>
      <c r="E686" s="274"/>
      <c r="F686" s="274"/>
      <c r="G686" s="274"/>
      <c r="H686" s="274"/>
      <c r="I686" s="274"/>
      <c r="J686" s="274"/>
      <c r="K686" s="274"/>
      <c r="L686" s="274"/>
      <c r="M686" s="274"/>
      <c r="N686" s="274"/>
      <c r="O686" s="274"/>
      <c r="P686" s="274"/>
      <c r="Q686" s="274"/>
      <c r="R686" s="316"/>
      <c r="W686" s="274"/>
      <c r="X686" s="274"/>
      <c r="Y686" s="274"/>
      <c r="Z686" s="274">
        <v>40.468</v>
      </c>
      <c r="AA686" s="274"/>
      <c r="AB686" s="309">
        <v>3850940.569</v>
      </c>
      <c r="AC686" s="274"/>
      <c r="AD686" s="274"/>
      <c r="AE686" s="274"/>
      <c r="AF686" s="274"/>
      <c r="AG686" s="274"/>
      <c r="AH686" s="274"/>
      <c r="AI686" s="274"/>
      <c r="AJ686" s="274"/>
      <c r="AK686" s="274"/>
      <c r="AL686" s="274"/>
      <c r="AM686" s="274"/>
      <c r="AN686" s="274"/>
      <c r="AO686" s="274"/>
      <c r="AP686" s="274"/>
      <c r="AQ686" s="274"/>
      <c r="AR686" s="274"/>
      <c r="AS686" s="274"/>
      <c r="AT686" s="274"/>
      <c r="AU686" s="274"/>
      <c r="AV686" s="274"/>
      <c r="AW686" s="274"/>
    </row>
    <row r="687" ht="15.75" customHeight="1">
      <c r="A687" s="274"/>
      <c r="B687" s="274"/>
      <c r="C687" s="274"/>
      <c r="D687" s="274"/>
      <c r="E687" s="274"/>
      <c r="F687" s="274"/>
      <c r="G687" s="274"/>
      <c r="H687" s="274"/>
      <c r="I687" s="274"/>
      <c r="J687" s="274"/>
      <c r="K687" s="274"/>
      <c r="L687" s="274"/>
      <c r="M687" s="274"/>
      <c r="N687" s="274"/>
      <c r="O687" s="274"/>
      <c r="P687" s="274"/>
      <c r="Q687" s="274"/>
      <c r="R687" s="316"/>
      <c r="W687" s="274"/>
      <c r="X687" s="274"/>
      <c r="Y687" s="274"/>
      <c r="Z687" s="274">
        <v>40.531</v>
      </c>
      <c r="AA687" s="274"/>
      <c r="AB687" s="309">
        <v>3850940.569</v>
      </c>
      <c r="AC687" s="274"/>
      <c r="AD687" s="274"/>
      <c r="AE687" s="274"/>
      <c r="AF687" s="274"/>
      <c r="AG687" s="274"/>
      <c r="AH687" s="274"/>
      <c r="AI687" s="274"/>
      <c r="AJ687" s="274"/>
      <c r="AK687" s="274"/>
      <c r="AL687" s="274"/>
      <c r="AM687" s="274"/>
      <c r="AN687" s="274"/>
      <c r="AO687" s="274"/>
      <c r="AP687" s="274"/>
      <c r="AQ687" s="274"/>
      <c r="AR687" s="274"/>
      <c r="AS687" s="274"/>
      <c r="AT687" s="274"/>
      <c r="AU687" s="274"/>
      <c r="AV687" s="274"/>
      <c r="AW687" s="274"/>
    </row>
    <row r="688" ht="15.75" customHeight="1">
      <c r="A688" s="274"/>
      <c r="B688" s="274"/>
      <c r="C688" s="274"/>
      <c r="D688" s="274"/>
      <c r="E688" s="274"/>
      <c r="F688" s="274"/>
      <c r="G688" s="274"/>
      <c r="H688" s="274"/>
      <c r="I688" s="274"/>
      <c r="J688" s="274"/>
      <c r="K688" s="274"/>
      <c r="L688" s="274"/>
      <c r="M688" s="274"/>
      <c r="N688" s="274"/>
      <c r="O688" s="274"/>
      <c r="P688" s="274"/>
      <c r="Q688" s="274"/>
      <c r="R688" s="316"/>
      <c r="W688" s="274"/>
      <c r="X688" s="274"/>
      <c r="Y688" s="274"/>
      <c r="Z688" s="274">
        <v>40.593</v>
      </c>
      <c r="AA688" s="274"/>
      <c r="AB688" s="309">
        <v>3850940.569</v>
      </c>
      <c r="AC688" s="274"/>
      <c r="AD688" s="274"/>
      <c r="AE688" s="274"/>
      <c r="AF688" s="274"/>
      <c r="AG688" s="274"/>
      <c r="AH688" s="274"/>
      <c r="AI688" s="274"/>
      <c r="AJ688" s="274"/>
      <c r="AK688" s="274"/>
      <c r="AL688" s="274"/>
      <c r="AM688" s="274"/>
      <c r="AN688" s="274"/>
      <c r="AO688" s="274"/>
      <c r="AP688" s="274"/>
      <c r="AQ688" s="274"/>
      <c r="AR688" s="274"/>
      <c r="AS688" s="274"/>
      <c r="AT688" s="274"/>
      <c r="AU688" s="274"/>
      <c r="AV688" s="274"/>
      <c r="AW688" s="274"/>
    </row>
    <row r="689" ht="15.75" customHeight="1">
      <c r="A689" s="274"/>
      <c r="B689" s="274"/>
      <c r="C689" s="274"/>
      <c r="D689" s="274"/>
      <c r="E689" s="274"/>
      <c r="F689" s="274"/>
      <c r="G689" s="274"/>
      <c r="H689" s="274"/>
      <c r="I689" s="274"/>
      <c r="J689" s="274"/>
      <c r="K689" s="274"/>
      <c r="L689" s="274"/>
      <c r="M689" s="274"/>
      <c r="N689" s="274"/>
      <c r="O689" s="274"/>
      <c r="P689" s="274"/>
      <c r="Q689" s="274"/>
      <c r="R689" s="316"/>
      <c r="W689" s="274"/>
      <c r="X689" s="274"/>
      <c r="Y689" s="274"/>
      <c r="Z689" s="274">
        <v>40.656</v>
      </c>
      <c r="AA689" s="274"/>
      <c r="AB689" s="309">
        <v>3850940.569</v>
      </c>
      <c r="AC689" s="274"/>
      <c r="AD689" s="274"/>
      <c r="AE689" s="274"/>
      <c r="AF689" s="274"/>
      <c r="AG689" s="274"/>
      <c r="AH689" s="274"/>
      <c r="AI689" s="274"/>
      <c r="AJ689" s="274"/>
      <c r="AK689" s="274"/>
      <c r="AL689" s="274"/>
      <c r="AM689" s="274"/>
      <c r="AN689" s="274"/>
      <c r="AO689" s="274"/>
      <c r="AP689" s="274"/>
      <c r="AQ689" s="274"/>
      <c r="AR689" s="274"/>
      <c r="AS689" s="274"/>
      <c r="AT689" s="274"/>
      <c r="AU689" s="274"/>
      <c r="AV689" s="274"/>
      <c r="AW689" s="274"/>
    </row>
    <row r="690" ht="15.75" customHeight="1">
      <c r="A690" s="274"/>
      <c r="B690" s="274"/>
      <c r="C690" s="274"/>
      <c r="D690" s="274"/>
      <c r="E690" s="274"/>
      <c r="F690" s="274"/>
      <c r="G690" s="274"/>
      <c r="H690" s="274"/>
      <c r="I690" s="274"/>
      <c r="J690" s="274"/>
      <c r="K690" s="274"/>
      <c r="L690" s="274"/>
      <c r="M690" s="274"/>
      <c r="N690" s="274"/>
      <c r="O690" s="274"/>
      <c r="P690" s="274"/>
      <c r="Q690" s="274"/>
      <c r="R690" s="316"/>
      <c r="W690" s="274"/>
      <c r="X690" s="274"/>
      <c r="Y690" s="274"/>
      <c r="Z690" s="274">
        <v>40.718</v>
      </c>
      <c r="AA690" s="274"/>
      <c r="AB690" s="309">
        <v>3850940.569</v>
      </c>
      <c r="AC690" s="274"/>
      <c r="AD690" s="274"/>
      <c r="AE690" s="274"/>
      <c r="AF690" s="274"/>
      <c r="AG690" s="274"/>
      <c r="AH690" s="274"/>
      <c r="AI690" s="274"/>
      <c r="AJ690" s="274"/>
      <c r="AK690" s="274"/>
      <c r="AL690" s="274"/>
      <c r="AM690" s="274"/>
      <c r="AN690" s="274"/>
      <c r="AO690" s="274"/>
      <c r="AP690" s="274"/>
      <c r="AQ690" s="274"/>
      <c r="AR690" s="274"/>
      <c r="AS690" s="274"/>
      <c r="AT690" s="274"/>
      <c r="AU690" s="274"/>
      <c r="AV690" s="274"/>
      <c r="AW690" s="274"/>
    </row>
    <row r="691" ht="15.75" customHeight="1">
      <c r="A691" s="274"/>
      <c r="B691" s="274"/>
      <c r="C691" s="274"/>
      <c r="D691" s="274"/>
      <c r="E691" s="274"/>
      <c r="F691" s="274"/>
      <c r="G691" s="274"/>
      <c r="H691" s="274"/>
      <c r="I691" s="274"/>
      <c r="J691" s="274"/>
      <c r="K691" s="274"/>
      <c r="L691" s="274"/>
      <c r="M691" s="274"/>
      <c r="N691" s="274"/>
      <c r="O691" s="274"/>
      <c r="P691" s="274"/>
      <c r="Q691" s="274"/>
      <c r="R691" s="316"/>
      <c r="W691" s="274"/>
      <c r="X691" s="274"/>
      <c r="Y691" s="274"/>
      <c r="Z691" s="274">
        <v>40.781</v>
      </c>
      <c r="AA691" s="274"/>
      <c r="AB691" s="309">
        <v>3850940.569</v>
      </c>
      <c r="AC691" s="274"/>
      <c r="AD691" s="274"/>
      <c r="AE691" s="274"/>
      <c r="AF691" s="274"/>
      <c r="AG691" s="274"/>
      <c r="AH691" s="274"/>
      <c r="AI691" s="274"/>
      <c r="AJ691" s="274"/>
      <c r="AK691" s="274"/>
      <c r="AL691" s="274"/>
      <c r="AM691" s="274"/>
      <c r="AN691" s="274"/>
      <c r="AO691" s="274"/>
      <c r="AP691" s="274"/>
      <c r="AQ691" s="274"/>
      <c r="AR691" s="274"/>
      <c r="AS691" s="274"/>
      <c r="AT691" s="274"/>
      <c r="AU691" s="274"/>
      <c r="AV691" s="274"/>
      <c r="AW691" s="274"/>
    </row>
    <row r="692" ht="15.75" customHeight="1">
      <c r="A692" s="274"/>
      <c r="B692" s="274"/>
      <c r="C692" s="274"/>
      <c r="D692" s="274"/>
      <c r="E692" s="274"/>
      <c r="F692" s="274"/>
      <c r="G692" s="274"/>
      <c r="H692" s="274"/>
      <c r="I692" s="274"/>
      <c r="J692" s="274"/>
      <c r="K692" s="274"/>
      <c r="L692" s="274"/>
      <c r="M692" s="274"/>
      <c r="N692" s="274"/>
      <c r="O692" s="274"/>
      <c r="P692" s="274"/>
      <c r="Q692" s="274"/>
      <c r="R692" s="316"/>
      <c r="W692" s="274"/>
      <c r="X692" s="274"/>
      <c r="Y692" s="274"/>
      <c r="Z692" s="274">
        <v>40.843</v>
      </c>
      <c r="AA692" s="274"/>
      <c r="AB692" s="309">
        <v>3850940.569</v>
      </c>
      <c r="AC692" s="274"/>
      <c r="AD692" s="274"/>
      <c r="AE692" s="274"/>
      <c r="AF692" s="274"/>
      <c r="AG692" s="274"/>
      <c r="AH692" s="274"/>
      <c r="AI692" s="274"/>
      <c r="AJ692" s="274"/>
      <c r="AK692" s="274"/>
      <c r="AL692" s="274"/>
      <c r="AM692" s="274"/>
      <c r="AN692" s="274"/>
      <c r="AO692" s="274"/>
      <c r="AP692" s="274"/>
      <c r="AQ692" s="274"/>
      <c r="AR692" s="274"/>
      <c r="AS692" s="274"/>
      <c r="AT692" s="274"/>
      <c r="AU692" s="274"/>
      <c r="AV692" s="274"/>
      <c r="AW692" s="274"/>
    </row>
    <row r="693" ht="15.75" customHeight="1">
      <c r="A693" s="274"/>
      <c r="B693" s="274"/>
      <c r="C693" s="274"/>
      <c r="D693" s="274"/>
      <c r="E693" s="274"/>
      <c r="F693" s="274"/>
      <c r="G693" s="274"/>
      <c r="H693" s="274"/>
      <c r="I693" s="274"/>
      <c r="J693" s="274"/>
      <c r="K693" s="274"/>
      <c r="L693" s="274"/>
      <c r="M693" s="274"/>
      <c r="N693" s="274"/>
      <c r="O693" s="274"/>
      <c r="P693" s="274"/>
      <c r="Q693" s="274"/>
      <c r="R693" s="316"/>
      <c r="W693" s="274"/>
      <c r="X693" s="274"/>
      <c r="Y693" s="274"/>
      <c r="Z693" s="274">
        <v>40.906</v>
      </c>
      <c r="AA693" s="274"/>
      <c r="AB693" s="309">
        <v>3850940.569</v>
      </c>
      <c r="AC693" s="274"/>
      <c r="AD693" s="274"/>
      <c r="AE693" s="274"/>
      <c r="AF693" s="274"/>
      <c r="AG693" s="274"/>
      <c r="AH693" s="274"/>
      <c r="AI693" s="274"/>
      <c r="AJ693" s="274"/>
      <c r="AK693" s="274"/>
      <c r="AL693" s="274"/>
      <c r="AM693" s="274"/>
      <c r="AN693" s="274"/>
      <c r="AO693" s="274"/>
      <c r="AP693" s="274"/>
      <c r="AQ693" s="274"/>
      <c r="AR693" s="274"/>
      <c r="AS693" s="274"/>
      <c r="AT693" s="274"/>
      <c r="AU693" s="274"/>
      <c r="AV693" s="274"/>
      <c r="AW693" s="274"/>
    </row>
    <row r="694" ht="15.75" customHeight="1">
      <c r="A694" s="274"/>
      <c r="B694" s="274"/>
      <c r="C694" s="274"/>
      <c r="D694" s="274"/>
      <c r="E694" s="274"/>
      <c r="F694" s="274"/>
      <c r="G694" s="274"/>
      <c r="H694" s="274"/>
      <c r="I694" s="274"/>
      <c r="J694" s="274"/>
      <c r="K694" s="274"/>
      <c r="L694" s="274"/>
      <c r="M694" s="274"/>
      <c r="N694" s="274"/>
      <c r="O694" s="274"/>
      <c r="P694" s="274"/>
      <c r="Q694" s="274"/>
      <c r="R694" s="316"/>
      <c r="W694" s="274"/>
      <c r="X694" s="274"/>
      <c r="Y694" s="274"/>
      <c r="Z694" s="274">
        <v>40.968</v>
      </c>
      <c r="AA694" s="274"/>
      <c r="AB694" s="309">
        <v>3967283.185</v>
      </c>
      <c r="AC694" s="274"/>
      <c r="AD694" s="274"/>
      <c r="AE694" s="274"/>
      <c r="AF694" s="274"/>
      <c r="AG694" s="274"/>
      <c r="AH694" s="274"/>
      <c r="AI694" s="274"/>
      <c r="AJ694" s="274"/>
      <c r="AK694" s="274"/>
      <c r="AL694" s="274"/>
      <c r="AM694" s="274"/>
      <c r="AN694" s="274"/>
      <c r="AO694" s="274"/>
      <c r="AP694" s="274"/>
      <c r="AQ694" s="274"/>
      <c r="AR694" s="274"/>
      <c r="AS694" s="274"/>
      <c r="AT694" s="274"/>
      <c r="AU694" s="274"/>
      <c r="AV694" s="274"/>
      <c r="AW694" s="274"/>
    </row>
    <row r="695" ht="15.75" customHeight="1">
      <c r="A695" s="274"/>
      <c r="B695" s="274"/>
      <c r="C695" s="274"/>
      <c r="D695" s="274"/>
      <c r="E695" s="274"/>
      <c r="F695" s="274"/>
      <c r="G695" s="274"/>
      <c r="H695" s="274"/>
      <c r="I695" s="274"/>
      <c r="J695" s="274"/>
      <c r="K695" s="274"/>
      <c r="L695" s="274"/>
      <c r="M695" s="274"/>
      <c r="N695" s="274"/>
      <c r="O695" s="274"/>
      <c r="P695" s="274"/>
      <c r="Q695" s="274"/>
      <c r="R695" s="316"/>
      <c r="W695" s="274"/>
      <c r="X695" s="274"/>
      <c r="Y695" s="274"/>
      <c r="Z695" s="274">
        <v>41.031</v>
      </c>
      <c r="AA695" s="274"/>
      <c r="AB695" s="309">
        <v>3967283.185</v>
      </c>
      <c r="AC695" s="274"/>
      <c r="AD695" s="274"/>
      <c r="AE695" s="274"/>
      <c r="AF695" s="274"/>
      <c r="AG695" s="274"/>
      <c r="AH695" s="274"/>
      <c r="AI695" s="274"/>
      <c r="AJ695" s="274"/>
      <c r="AK695" s="274"/>
      <c r="AL695" s="274"/>
      <c r="AM695" s="274"/>
      <c r="AN695" s="274"/>
      <c r="AO695" s="274"/>
      <c r="AP695" s="274"/>
      <c r="AQ695" s="274"/>
      <c r="AR695" s="274"/>
      <c r="AS695" s="274"/>
      <c r="AT695" s="274"/>
      <c r="AU695" s="274"/>
      <c r="AV695" s="274"/>
      <c r="AW695" s="274"/>
    </row>
    <row r="696" ht="15.75" customHeight="1">
      <c r="A696" s="274"/>
      <c r="B696" s="274"/>
      <c r="C696" s="274"/>
      <c r="D696" s="274"/>
      <c r="E696" s="274"/>
      <c r="F696" s="274"/>
      <c r="G696" s="274"/>
      <c r="H696" s="274"/>
      <c r="I696" s="274"/>
      <c r="J696" s="274"/>
      <c r="K696" s="274"/>
      <c r="L696" s="274"/>
      <c r="M696" s="274"/>
      <c r="N696" s="274"/>
      <c r="O696" s="274"/>
      <c r="P696" s="274"/>
      <c r="Q696" s="274"/>
      <c r="R696" s="316"/>
      <c r="W696" s="274"/>
      <c r="X696" s="274"/>
      <c r="Y696" s="274"/>
      <c r="Z696" s="274">
        <v>41.093</v>
      </c>
      <c r="AA696" s="274"/>
      <c r="AB696" s="309">
        <v>3967283.185</v>
      </c>
      <c r="AC696" s="274"/>
      <c r="AD696" s="274"/>
      <c r="AE696" s="274"/>
      <c r="AF696" s="274"/>
      <c r="AG696" s="274"/>
      <c r="AH696" s="274"/>
      <c r="AI696" s="274"/>
      <c r="AJ696" s="274"/>
      <c r="AK696" s="274"/>
      <c r="AL696" s="274"/>
      <c r="AM696" s="274"/>
      <c r="AN696" s="274"/>
      <c r="AO696" s="274"/>
      <c r="AP696" s="274"/>
      <c r="AQ696" s="274"/>
      <c r="AR696" s="274"/>
      <c r="AS696" s="274"/>
      <c r="AT696" s="274"/>
      <c r="AU696" s="274"/>
      <c r="AV696" s="274"/>
      <c r="AW696" s="274"/>
    </row>
    <row r="697" ht="15.75" customHeight="1">
      <c r="A697" s="274"/>
      <c r="B697" s="274"/>
      <c r="C697" s="274"/>
      <c r="D697" s="274"/>
      <c r="E697" s="274"/>
      <c r="F697" s="274"/>
      <c r="G697" s="274"/>
      <c r="H697" s="274"/>
      <c r="I697" s="274"/>
      <c r="J697" s="274"/>
      <c r="K697" s="274"/>
      <c r="L697" s="274"/>
      <c r="M697" s="274"/>
      <c r="N697" s="274"/>
      <c r="O697" s="274"/>
      <c r="P697" s="274"/>
      <c r="Q697" s="274"/>
      <c r="R697" s="316"/>
      <c r="W697" s="274"/>
      <c r="X697" s="274"/>
      <c r="Y697" s="274"/>
      <c r="Z697" s="274">
        <v>41.156</v>
      </c>
      <c r="AA697" s="274"/>
      <c r="AB697" s="309">
        <v>3967283.185</v>
      </c>
      <c r="AC697" s="274"/>
      <c r="AD697" s="274"/>
      <c r="AE697" s="274"/>
      <c r="AF697" s="274"/>
      <c r="AG697" s="274"/>
      <c r="AH697" s="274"/>
      <c r="AI697" s="274"/>
      <c r="AJ697" s="274"/>
      <c r="AK697" s="274"/>
      <c r="AL697" s="274"/>
      <c r="AM697" s="274"/>
      <c r="AN697" s="274"/>
      <c r="AO697" s="274"/>
      <c r="AP697" s="274"/>
      <c r="AQ697" s="274"/>
      <c r="AR697" s="274"/>
      <c r="AS697" s="274"/>
      <c r="AT697" s="274"/>
      <c r="AU697" s="274"/>
      <c r="AV697" s="274"/>
      <c r="AW697" s="274"/>
    </row>
    <row r="698" ht="15.75" customHeight="1">
      <c r="A698" s="274"/>
      <c r="B698" s="274"/>
      <c r="C698" s="274"/>
      <c r="D698" s="274"/>
      <c r="E698" s="274"/>
      <c r="F698" s="274"/>
      <c r="G698" s="274"/>
      <c r="H698" s="274"/>
      <c r="I698" s="274"/>
      <c r="J698" s="274"/>
      <c r="K698" s="274"/>
      <c r="L698" s="274"/>
      <c r="M698" s="274"/>
      <c r="N698" s="274"/>
      <c r="O698" s="274"/>
      <c r="P698" s="274"/>
      <c r="Q698" s="274"/>
      <c r="R698" s="316"/>
      <c r="W698" s="274"/>
      <c r="X698" s="274"/>
      <c r="Y698" s="274"/>
      <c r="Z698" s="274">
        <v>41.218</v>
      </c>
      <c r="AA698" s="274"/>
      <c r="AB698" s="309">
        <v>3967283.185</v>
      </c>
      <c r="AC698" s="274"/>
      <c r="AD698" s="274"/>
      <c r="AE698" s="274"/>
      <c r="AF698" s="274"/>
      <c r="AG698" s="274"/>
      <c r="AH698" s="274"/>
      <c r="AI698" s="274"/>
      <c r="AJ698" s="274"/>
      <c r="AK698" s="274"/>
      <c r="AL698" s="274"/>
      <c r="AM698" s="274"/>
      <c r="AN698" s="274"/>
      <c r="AO698" s="274"/>
      <c r="AP698" s="274"/>
      <c r="AQ698" s="274"/>
      <c r="AR698" s="274"/>
      <c r="AS698" s="274"/>
      <c r="AT698" s="274"/>
      <c r="AU698" s="274"/>
      <c r="AV698" s="274"/>
      <c r="AW698" s="274"/>
    </row>
    <row r="699" ht="15.75" customHeight="1">
      <c r="A699" s="274"/>
      <c r="B699" s="274"/>
      <c r="C699" s="274"/>
      <c r="D699" s="274"/>
      <c r="E699" s="274"/>
      <c r="F699" s="274"/>
      <c r="G699" s="274"/>
      <c r="H699" s="274"/>
      <c r="I699" s="274"/>
      <c r="J699" s="274"/>
      <c r="K699" s="274"/>
      <c r="L699" s="274"/>
      <c r="M699" s="274"/>
      <c r="N699" s="274"/>
      <c r="O699" s="274"/>
      <c r="P699" s="274"/>
      <c r="Q699" s="274"/>
      <c r="R699" s="316"/>
      <c r="W699" s="274"/>
      <c r="X699" s="274"/>
      <c r="Y699" s="274"/>
      <c r="Z699" s="274">
        <v>41.281</v>
      </c>
      <c r="AA699" s="274"/>
      <c r="AB699" s="309">
        <v>3967283.185</v>
      </c>
      <c r="AC699" s="274"/>
      <c r="AD699" s="274"/>
      <c r="AE699" s="274"/>
      <c r="AF699" s="274"/>
      <c r="AG699" s="274"/>
      <c r="AH699" s="274"/>
      <c r="AI699" s="274"/>
      <c r="AJ699" s="274"/>
      <c r="AK699" s="274"/>
      <c r="AL699" s="274"/>
      <c r="AM699" s="274"/>
      <c r="AN699" s="274"/>
      <c r="AO699" s="274"/>
      <c r="AP699" s="274"/>
      <c r="AQ699" s="274"/>
      <c r="AR699" s="274"/>
      <c r="AS699" s="274"/>
      <c r="AT699" s="274"/>
      <c r="AU699" s="274"/>
      <c r="AV699" s="274"/>
      <c r="AW699" s="274"/>
    </row>
    <row r="700" ht="15.75" customHeight="1">
      <c r="A700" s="274"/>
      <c r="B700" s="274"/>
      <c r="C700" s="274"/>
      <c r="D700" s="274"/>
      <c r="E700" s="274"/>
      <c r="F700" s="274"/>
      <c r="G700" s="274"/>
      <c r="H700" s="274"/>
      <c r="I700" s="274"/>
      <c r="J700" s="274"/>
      <c r="K700" s="274"/>
      <c r="L700" s="274"/>
      <c r="M700" s="274"/>
      <c r="N700" s="274"/>
      <c r="O700" s="274"/>
      <c r="P700" s="274"/>
      <c r="Q700" s="274"/>
      <c r="R700" s="316"/>
      <c r="W700" s="274"/>
      <c r="X700" s="274"/>
      <c r="Y700" s="274"/>
      <c r="Z700" s="274">
        <v>41.343</v>
      </c>
      <c r="AA700" s="274"/>
      <c r="AB700" s="309">
        <v>3967283.185</v>
      </c>
      <c r="AC700" s="274"/>
      <c r="AD700" s="274"/>
      <c r="AE700" s="274"/>
      <c r="AF700" s="274"/>
      <c r="AG700" s="274"/>
      <c r="AH700" s="274"/>
      <c r="AI700" s="274"/>
      <c r="AJ700" s="274"/>
      <c r="AK700" s="274"/>
      <c r="AL700" s="274"/>
      <c r="AM700" s="274"/>
      <c r="AN700" s="274"/>
      <c r="AO700" s="274"/>
      <c r="AP700" s="274"/>
      <c r="AQ700" s="274"/>
      <c r="AR700" s="274"/>
      <c r="AS700" s="274"/>
      <c r="AT700" s="274"/>
      <c r="AU700" s="274"/>
      <c r="AV700" s="274"/>
      <c r="AW700" s="274"/>
    </row>
    <row r="701" ht="15.75" customHeight="1">
      <c r="A701" s="274"/>
      <c r="B701" s="274"/>
      <c r="C701" s="274"/>
      <c r="D701" s="274"/>
      <c r="E701" s="274"/>
      <c r="F701" s="274"/>
      <c r="G701" s="274"/>
      <c r="H701" s="274"/>
      <c r="I701" s="274"/>
      <c r="J701" s="274"/>
      <c r="K701" s="274"/>
      <c r="L701" s="274"/>
      <c r="M701" s="274"/>
      <c r="N701" s="274"/>
      <c r="O701" s="274"/>
      <c r="P701" s="274"/>
      <c r="Q701" s="274"/>
      <c r="R701" s="316"/>
      <c r="W701" s="274"/>
      <c r="X701" s="274"/>
      <c r="Y701" s="274"/>
      <c r="Z701" s="274">
        <v>41.406</v>
      </c>
      <c r="AA701" s="274"/>
      <c r="AB701" s="309">
        <v>3978917.446</v>
      </c>
      <c r="AC701" s="274"/>
      <c r="AD701" s="274"/>
      <c r="AE701" s="274"/>
      <c r="AF701" s="274"/>
      <c r="AG701" s="274"/>
      <c r="AH701" s="274"/>
      <c r="AI701" s="274"/>
      <c r="AJ701" s="274"/>
      <c r="AK701" s="274"/>
      <c r="AL701" s="274"/>
      <c r="AM701" s="274"/>
      <c r="AN701" s="274"/>
      <c r="AO701" s="274"/>
      <c r="AP701" s="274"/>
      <c r="AQ701" s="274"/>
      <c r="AR701" s="274"/>
      <c r="AS701" s="274"/>
      <c r="AT701" s="274"/>
      <c r="AU701" s="274"/>
      <c r="AV701" s="274"/>
      <c r="AW701" s="274"/>
    </row>
    <row r="702" ht="15.75" customHeight="1">
      <c r="A702" s="274"/>
      <c r="B702" s="274"/>
      <c r="C702" s="274"/>
      <c r="D702" s="274"/>
      <c r="E702" s="274"/>
      <c r="F702" s="274"/>
      <c r="G702" s="274"/>
      <c r="H702" s="274"/>
      <c r="I702" s="274"/>
      <c r="J702" s="274"/>
      <c r="K702" s="274"/>
      <c r="L702" s="274"/>
      <c r="M702" s="274"/>
      <c r="N702" s="274"/>
      <c r="O702" s="274"/>
      <c r="P702" s="274"/>
      <c r="Q702" s="274"/>
      <c r="R702" s="316"/>
      <c r="W702" s="274"/>
      <c r="X702" s="274"/>
      <c r="Y702" s="274"/>
      <c r="Z702" s="274">
        <v>41.468</v>
      </c>
      <c r="AA702" s="274"/>
      <c r="AB702" s="274"/>
      <c r="AC702" s="274"/>
      <c r="AD702" s="274"/>
      <c r="AE702" s="274"/>
      <c r="AF702" s="274"/>
      <c r="AG702" s="274"/>
      <c r="AH702" s="274"/>
      <c r="AI702" s="274"/>
      <c r="AJ702" s="274"/>
      <c r="AK702" s="274"/>
      <c r="AL702" s="274"/>
      <c r="AM702" s="274"/>
      <c r="AN702" s="274"/>
      <c r="AO702" s="274"/>
      <c r="AP702" s="274"/>
      <c r="AQ702" s="274"/>
      <c r="AR702" s="274"/>
      <c r="AS702" s="274"/>
      <c r="AT702" s="274"/>
      <c r="AU702" s="274"/>
      <c r="AV702" s="274"/>
      <c r="AW702" s="274"/>
    </row>
    <row r="703" ht="15.75" customHeight="1">
      <c r="A703" s="274"/>
      <c r="B703" s="274"/>
      <c r="C703" s="274"/>
      <c r="D703" s="274"/>
      <c r="E703" s="274"/>
      <c r="F703" s="274"/>
      <c r="G703" s="274"/>
      <c r="H703" s="274"/>
      <c r="I703" s="274"/>
      <c r="J703" s="274"/>
      <c r="K703" s="274"/>
      <c r="L703" s="274"/>
      <c r="M703" s="274"/>
      <c r="N703" s="274"/>
      <c r="O703" s="274"/>
      <c r="P703" s="274"/>
      <c r="Q703" s="274"/>
      <c r="R703" s="316"/>
      <c r="W703" s="274"/>
      <c r="X703" s="274"/>
      <c r="Y703" s="274"/>
      <c r="Z703" s="274">
        <v>41.531</v>
      </c>
      <c r="AA703" s="274"/>
      <c r="AB703" s="274"/>
      <c r="AC703" s="274"/>
      <c r="AD703" s="274"/>
      <c r="AE703" s="274"/>
      <c r="AF703" s="274"/>
      <c r="AG703" s="274"/>
      <c r="AH703" s="274"/>
      <c r="AI703" s="274"/>
      <c r="AJ703" s="274"/>
      <c r="AK703" s="274"/>
      <c r="AL703" s="274"/>
      <c r="AM703" s="274"/>
      <c r="AN703" s="274"/>
      <c r="AO703" s="274"/>
      <c r="AP703" s="274"/>
      <c r="AQ703" s="274"/>
      <c r="AR703" s="274"/>
      <c r="AS703" s="274"/>
      <c r="AT703" s="274"/>
      <c r="AU703" s="274"/>
      <c r="AV703" s="274"/>
      <c r="AW703" s="274"/>
    </row>
    <row r="704" ht="15.75" customHeight="1">
      <c r="A704" s="274"/>
      <c r="B704" s="274"/>
      <c r="C704" s="274"/>
      <c r="D704" s="274"/>
      <c r="E704" s="274"/>
      <c r="F704" s="274"/>
      <c r="G704" s="274"/>
      <c r="H704" s="274"/>
      <c r="I704" s="274"/>
      <c r="J704" s="274"/>
      <c r="K704" s="274"/>
      <c r="L704" s="274"/>
      <c r="M704" s="274"/>
      <c r="N704" s="274"/>
      <c r="O704" s="274"/>
      <c r="P704" s="274"/>
      <c r="Q704" s="274"/>
      <c r="R704" s="316"/>
      <c r="W704" s="274"/>
      <c r="X704" s="274"/>
      <c r="Y704" s="274"/>
      <c r="Z704" s="274">
        <v>41.593</v>
      </c>
      <c r="AA704" s="274"/>
      <c r="AB704" s="274"/>
      <c r="AC704" s="274"/>
      <c r="AD704" s="274"/>
      <c r="AE704" s="274"/>
      <c r="AF704" s="274"/>
      <c r="AG704" s="274"/>
      <c r="AH704" s="274"/>
      <c r="AI704" s="274"/>
      <c r="AJ704" s="274"/>
      <c r="AK704" s="274"/>
      <c r="AL704" s="274"/>
      <c r="AM704" s="274"/>
      <c r="AN704" s="274"/>
      <c r="AO704" s="274"/>
      <c r="AP704" s="274"/>
      <c r="AQ704" s="274"/>
      <c r="AR704" s="274"/>
      <c r="AS704" s="274"/>
      <c r="AT704" s="274"/>
      <c r="AU704" s="274"/>
      <c r="AV704" s="274"/>
      <c r="AW704" s="274"/>
    </row>
    <row r="705" ht="15.75" customHeight="1">
      <c r="A705" s="274"/>
      <c r="B705" s="274"/>
      <c r="C705" s="274"/>
      <c r="D705" s="274"/>
      <c r="E705" s="274"/>
      <c r="F705" s="274"/>
      <c r="G705" s="274"/>
      <c r="H705" s="274"/>
      <c r="I705" s="274"/>
      <c r="J705" s="274"/>
      <c r="K705" s="274"/>
      <c r="L705" s="274"/>
      <c r="M705" s="274"/>
      <c r="N705" s="274"/>
      <c r="O705" s="274"/>
      <c r="P705" s="274"/>
      <c r="Q705" s="274"/>
      <c r="R705" s="316"/>
      <c r="W705" s="274"/>
      <c r="X705" s="274"/>
      <c r="Y705" s="274"/>
      <c r="Z705" s="274">
        <v>41.656</v>
      </c>
      <c r="AA705" s="274"/>
      <c r="AB705" s="274"/>
      <c r="AC705" s="274"/>
      <c r="AD705" s="274"/>
      <c r="AE705" s="274"/>
      <c r="AF705" s="274"/>
      <c r="AG705" s="274"/>
      <c r="AH705" s="274"/>
      <c r="AI705" s="274"/>
      <c r="AJ705" s="274"/>
      <c r="AK705" s="274"/>
      <c r="AL705" s="274"/>
      <c r="AM705" s="274"/>
      <c r="AN705" s="274"/>
      <c r="AO705" s="274"/>
      <c r="AP705" s="274"/>
      <c r="AQ705" s="274"/>
      <c r="AR705" s="274"/>
      <c r="AS705" s="274"/>
      <c r="AT705" s="274"/>
      <c r="AU705" s="274"/>
      <c r="AV705" s="274"/>
      <c r="AW705" s="274"/>
    </row>
    <row r="706" ht="15.75" customHeight="1">
      <c r="A706" s="274"/>
      <c r="B706" s="274"/>
      <c r="C706" s="274"/>
      <c r="D706" s="274"/>
      <c r="E706" s="274"/>
      <c r="F706" s="274"/>
      <c r="G706" s="274"/>
      <c r="H706" s="274"/>
      <c r="I706" s="274"/>
      <c r="J706" s="274"/>
      <c r="K706" s="274"/>
      <c r="L706" s="274"/>
      <c r="M706" s="274"/>
      <c r="N706" s="274"/>
      <c r="O706" s="274"/>
      <c r="P706" s="274"/>
      <c r="Q706" s="274"/>
      <c r="R706" s="316"/>
      <c r="W706" s="274"/>
      <c r="X706" s="274"/>
      <c r="Y706" s="274"/>
      <c r="Z706" s="274">
        <v>41.718</v>
      </c>
      <c r="AA706" s="274"/>
      <c r="AB706" s="274"/>
      <c r="AC706" s="274"/>
      <c r="AD706" s="274"/>
      <c r="AE706" s="274"/>
      <c r="AF706" s="274"/>
      <c r="AG706" s="274"/>
      <c r="AH706" s="274"/>
      <c r="AI706" s="274"/>
      <c r="AJ706" s="274"/>
      <c r="AK706" s="274"/>
      <c r="AL706" s="274"/>
      <c r="AM706" s="274"/>
      <c r="AN706" s="274"/>
      <c r="AO706" s="274"/>
      <c r="AP706" s="274"/>
      <c r="AQ706" s="274"/>
      <c r="AR706" s="274"/>
      <c r="AS706" s="274"/>
      <c r="AT706" s="274"/>
      <c r="AU706" s="274"/>
      <c r="AV706" s="274"/>
      <c r="AW706" s="274"/>
    </row>
    <row r="707" ht="15.75" customHeight="1">
      <c r="A707" s="274"/>
      <c r="B707" s="274"/>
      <c r="C707" s="274"/>
      <c r="D707" s="274"/>
      <c r="E707" s="274"/>
      <c r="F707" s="274"/>
      <c r="G707" s="274"/>
      <c r="H707" s="274"/>
      <c r="I707" s="274"/>
      <c r="J707" s="274"/>
      <c r="K707" s="274"/>
      <c r="L707" s="274"/>
      <c r="M707" s="274"/>
      <c r="N707" s="274"/>
      <c r="O707" s="274"/>
      <c r="P707" s="274"/>
      <c r="Q707" s="274"/>
      <c r="R707" s="316"/>
      <c r="W707" s="274"/>
      <c r="X707" s="274"/>
      <c r="Y707" s="274"/>
      <c r="Z707" s="274">
        <v>41.781</v>
      </c>
      <c r="AA707" s="274"/>
      <c r="AB707" s="274"/>
      <c r="AC707" s="274"/>
      <c r="AD707" s="274"/>
      <c r="AE707" s="274"/>
      <c r="AF707" s="274"/>
      <c r="AG707" s="274"/>
      <c r="AH707" s="274"/>
      <c r="AI707" s="274"/>
      <c r="AJ707" s="274"/>
      <c r="AK707" s="274"/>
      <c r="AL707" s="274"/>
      <c r="AM707" s="274"/>
      <c r="AN707" s="274"/>
      <c r="AO707" s="274"/>
      <c r="AP707" s="274"/>
      <c r="AQ707" s="274"/>
      <c r="AR707" s="274"/>
      <c r="AS707" s="274"/>
      <c r="AT707" s="274"/>
      <c r="AU707" s="274"/>
      <c r="AV707" s="274"/>
      <c r="AW707" s="274"/>
    </row>
    <row r="708" ht="15.75" customHeight="1">
      <c r="A708" s="274"/>
      <c r="B708" s="274"/>
      <c r="C708" s="274"/>
      <c r="D708" s="274"/>
      <c r="E708" s="274"/>
      <c r="F708" s="274"/>
      <c r="G708" s="274"/>
      <c r="H708" s="274"/>
      <c r="I708" s="274"/>
      <c r="J708" s="274"/>
      <c r="K708" s="274"/>
      <c r="L708" s="274"/>
      <c r="M708" s="274"/>
      <c r="N708" s="274"/>
      <c r="O708" s="274"/>
      <c r="P708" s="274"/>
      <c r="Q708" s="274"/>
      <c r="R708" s="316"/>
      <c r="W708" s="274"/>
      <c r="X708" s="274"/>
      <c r="Y708" s="274"/>
      <c r="Z708" s="274">
        <v>41.843</v>
      </c>
      <c r="AA708" s="274"/>
      <c r="AB708" s="274"/>
      <c r="AC708" s="274"/>
      <c r="AD708" s="274"/>
      <c r="AE708" s="274"/>
      <c r="AF708" s="274"/>
      <c r="AG708" s="274"/>
      <c r="AH708" s="274"/>
      <c r="AI708" s="274"/>
      <c r="AJ708" s="274"/>
      <c r="AK708" s="274"/>
      <c r="AL708" s="274"/>
      <c r="AM708" s="274"/>
      <c r="AN708" s="274"/>
      <c r="AO708" s="274"/>
      <c r="AP708" s="274"/>
      <c r="AQ708" s="274"/>
      <c r="AR708" s="274"/>
      <c r="AS708" s="274"/>
      <c r="AT708" s="274"/>
      <c r="AU708" s="274"/>
      <c r="AV708" s="274"/>
      <c r="AW708" s="274"/>
    </row>
    <row r="709" ht="15.75" customHeight="1">
      <c r="A709" s="274"/>
      <c r="B709" s="274"/>
      <c r="C709" s="274"/>
      <c r="D709" s="274"/>
      <c r="E709" s="274"/>
      <c r="F709" s="274"/>
      <c r="G709" s="274"/>
      <c r="H709" s="274"/>
      <c r="I709" s="274"/>
      <c r="J709" s="274"/>
      <c r="K709" s="274"/>
      <c r="L709" s="274"/>
      <c r="M709" s="274"/>
      <c r="N709" s="274"/>
      <c r="O709" s="274"/>
      <c r="P709" s="274"/>
      <c r="Q709" s="274"/>
      <c r="R709" s="316"/>
      <c r="W709" s="274"/>
      <c r="X709" s="274"/>
      <c r="Y709" s="274"/>
      <c r="Z709" s="274">
        <v>41.906</v>
      </c>
      <c r="AA709" s="274"/>
      <c r="AB709" s="274"/>
      <c r="AC709" s="274"/>
      <c r="AD709" s="274"/>
      <c r="AE709" s="274"/>
      <c r="AF709" s="274"/>
      <c r="AG709" s="274"/>
      <c r="AH709" s="274"/>
      <c r="AI709" s="274"/>
      <c r="AJ709" s="274"/>
      <c r="AK709" s="274"/>
      <c r="AL709" s="274"/>
      <c r="AM709" s="274"/>
      <c r="AN709" s="274"/>
      <c r="AO709" s="274"/>
      <c r="AP709" s="274"/>
      <c r="AQ709" s="274"/>
      <c r="AR709" s="274"/>
      <c r="AS709" s="274"/>
      <c r="AT709" s="274"/>
      <c r="AU709" s="274"/>
      <c r="AV709" s="274"/>
      <c r="AW709" s="274"/>
    </row>
    <row r="710" ht="15.75" customHeight="1">
      <c r="A710" s="274"/>
      <c r="B710" s="274"/>
      <c r="C710" s="274"/>
      <c r="D710" s="274"/>
      <c r="E710" s="274"/>
      <c r="F710" s="274"/>
      <c r="G710" s="274"/>
      <c r="H710" s="274"/>
      <c r="I710" s="274"/>
      <c r="J710" s="274"/>
      <c r="K710" s="274"/>
      <c r="L710" s="274"/>
      <c r="M710" s="274"/>
      <c r="N710" s="274"/>
      <c r="O710" s="274"/>
      <c r="P710" s="274"/>
      <c r="Q710" s="274"/>
      <c r="R710" s="316"/>
      <c r="W710" s="274"/>
      <c r="X710" s="274"/>
      <c r="Y710" s="274"/>
      <c r="Z710" s="274">
        <v>41.968</v>
      </c>
      <c r="AA710" s="274"/>
      <c r="AB710" s="274"/>
      <c r="AC710" s="274"/>
      <c r="AD710" s="274"/>
      <c r="AE710" s="274"/>
      <c r="AF710" s="274"/>
      <c r="AG710" s="274"/>
      <c r="AH710" s="274"/>
      <c r="AI710" s="274"/>
      <c r="AJ710" s="274"/>
      <c r="AK710" s="274"/>
      <c r="AL710" s="274"/>
      <c r="AM710" s="274"/>
      <c r="AN710" s="274"/>
      <c r="AO710" s="274"/>
      <c r="AP710" s="274"/>
      <c r="AQ710" s="274"/>
      <c r="AR710" s="274"/>
      <c r="AS710" s="274"/>
      <c r="AT710" s="274"/>
      <c r="AU710" s="274"/>
      <c r="AV710" s="274"/>
      <c r="AW710" s="274"/>
    </row>
    <row r="711" ht="15.75" customHeight="1">
      <c r="A711" s="274"/>
      <c r="B711" s="274"/>
      <c r="C711" s="274"/>
      <c r="D711" s="274"/>
      <c r="E711" s="274"/>
      <c r="F711" s="274"/>
      <c r="G711" s="274"/>
      <c r="H711" s="274"/>
      <c r="I711" s="274"/>
      <c r="J711" s="274"/>
      <c r="K711" s="274"/>
      <c r="L711" s="274"/>
      <c r="M711" s="274"/>
      <c r="N711" s="274"/>
      <c r="O711" s="274"/>
      <c r="P711" s="274"/>
      <c r="Q711" s="274"/>
      <c r="R711" s="316"/>
      <c r="W711" s="274"/>
      <c r="X711" s="274"/>
      <c r="Y711" s="274"/>
      <c r="Z711" s="274">
        <v>42.031</v>
      </c>
      <c r="AA711" s="274"/>
      <c r="AB711" s="274"/>
      <c r="AC711" s="274"/>
      <c r="AD711" s="274"/>
      <c r="AE711" s="274"/>
      <c r="AF711" s="274"/>
      <c r="AG711" s="274"/>
      <c r="AH711" s="274"/>
      <c r="AI711" s="274"/>
      <c r="AJ711" s="274"/>
      <c r="AK711" s="274"/>
      <c r="AL711" s="274"/>
      <c r="AM711" s="274"/>
      <c r="AN711" s="274"/>
      <c r="AO711" s="274"/>
      <c r="AP711" s="274"/>
      <c r="AQ711" s="274"/>
      <c r="AR711" s="274"/>
      <c r="AS711" s="274"/>
      <c r="AT711" s="274"/>
      <c r="AU711" s="274"/>
      <c r="AV711" s="274"/>
      <c r="AW711" s="274"/>
    </row>
    <row r="712" ht="15.75" customHeight="1">
      <c r="A712" s="274"/>
      <c r="B712" s="274"/>
      <c r="C712" s="274"/>
      <c r="D712" s="274"/>
      <c r="E712" s="274"/>
      <c r="F712" s="274"/>
      <c r="G712" s="274"/>
      <c r="H712" s="274"/>
      <c r="I712" s="274"/>
      <c r="J712" s="274"/>
      <c r="K712" s="274"/>
      <c r="L712" s="274"/>
      <c r="M712" s="274"/>
      <c r="N712" s="274"/>
      <c r="O712" s="274"/>
      <c r="P712" s="274"/>
      <c r="Q712" s="274"/>
      <c r="R712" s="316"/>
      <c r="W712" s="274"/>
      <c r="X712" s="274"/>
      <c r="Y712" s="274"/>
      <c r="Z712" s="274">
        <v>42.093</v>
      </c>
      <c r="AA712" s="274"/>
      <c r="AB712" s="274"/>
      <c r="AC712" s="274"/>
      <c r="AD712" s="274"/>
      <c r="AE712" s="274"/>
      <c r="AF712" s="274"/>
      <c r="AG712" s="274"/>
      <c r="AH712" s="274"/>
      <c r="AI712" s="274"/>
      <c r="AJ712" s="274"/>
      <c r="AK712" s="274"/>
      <c r="AL712" s="274"/>
      <c r="AM712" s="274"/>
      <c r="AN712" s="274"/>
      <c r="AO712" s="274"/>
      <c r="AP712" s="274"/>
      <c r="AQ712" s="274"/>
      <c r="AR712" s="274"/>
      <c r="AS712" s="274"/>
      <c r="AT712" s="274"/>
      <c r="AU712" s="274"/>
      <c r="AV712" s="274"/>
      <c r="AW712" s="274"/>
    </row>
    <row r="713" ht="15.75" customHeight="1">
      <c r="A713" s="274"/>
      <c r="B713" s="274"/>
      <c r="C713" s="274"/>
      <c r="D713" s="274"/>
      <c r="E713" s="274"/>
      <c r="F713" s="274"/>
      <c r="G713" s="274"/>
      <c r="H713" s="274"/>
      <c r="I713" s="274"/>
      <c r="J713" s="274"/>
      <c r="K713" s="274"/>
      <c r="L713" s="274"/>
      <c r="M713" s="274"/>
      <c r="N713" s="274"/>
      <c r="O713" s="274"/>
      <c r="P713" s="274"/>
      <c r="Q713" s="274"/>
      <c r="R713" s="316"/>
      <c r="W713" s="274"/>
      <c r="X713" s="274"/>
      <c r="Y713" s="274"/>
      <c r="Z713" s="274">
        <v>42.156</v>
      </c>
      <c r="AA713" s="274"/>
      <c r="AB713" s="274"/>
      <c r="AC713" s="274"/>
      <c r="AD713" s="274"/>
      <c r="AE713" s="274"/>
      <c r="AF713" s="274"/>
      <c r="AG713" s="274"/>
      <c r="AH713" s="274"/>
      <c r="AI713" s="274"/>
      <c r="AJ713" s="274"/>
      <c r="AK713" s="274"/>
      <c r="AL713" s="274"/>
      <c r="AM713" s="274"/>
      <c r="AN713" s="274"/>
      <c r="AO713" s="274"/>
      <c r="AP713" s="274"/>
      <c r="AQ713" s="274"/>
      <c r="AR713" s="274"/>
      <c r="AS713" s="274"/>
      <c r="AT713" s="274"/>
      <c r="AU713" s="274"/>
      <c r="AV713" s="274"/>
      <c r="AW713" s="274"/>
    </row>
    <row r="714" ht="15.75" customHeight="1">
      <c r="A714" s="274"/>
      <c r="B714" s="274"/>
      <c r="C714" s="274"/>
      <c r="D714" s="274"/>
      <c r="E714" s="274"/>
      <c r="F714" s="274"/>
      <c r="G714" s="274"/>
      <c r="H714" s="274"/>
      <c r="I714" s="274"/>
      <c r="J714" s="274"/>
      <c r="K714" s="274"/>
      <c r="L714" s="274"/>
      <c r="M714" s="274"/>
      <c r="N714" s="274"/>
      <c r="O714" s="274"/>
      <c r="P714" s="274"/>
      <c r="Q714" s="274"/>
      <c r="R714" s="316"/>
      <c r="W714" s="274"/>
      <c r="X714" s="274"/>
      <c r="Y714" s="274"/>
      <c r="Z714" s="274">
        <v>42.218</v>
      </c>
      <c r="AA714" s="274"/>
      <c r="AB714" s="274"/>
      <c r="AC714" s="274"/>
      <c r="AD714" s="274"/>
      <c r="AE714" s="274"/>
      <c r="AF714" s="274"/>
      <c r="AG714" s="274"/>
      <c r="AH714" s="274"/>
      <c r="AI714" s="274"/>
      <c r="AJ714" s="274"/>
      <c r="AK714" s="274"/>
      <c r="AL714" s="274"/>
      <c r="AM714" s="274"/>
      <c r="AN714" s="274"/>
      <c r="AO714" s="274"/>
      <c r="AP714" s="274"/>
      <c r="AQ714" s="274"/>
      <c r="AR714" s="274"/>
      <c r="AS714" s="274"/>
      <c r="AT714" s="274"/>
      <c r="AU714" s="274"/>
      <c r="AV714" s="274"/>
      <c r="AW714" s="274"/>
    </row>
    <row r="715" ht="15.75" customHeight="1">
      <c r="A715" s="274"/>
      <c r="B715" s="274"/>
      <c r="C715" s="274"/>
      <c r="D715" s="274"/>
      <c r="E715" s="274"/>
      <c r="F715" s="274"/>
      <c r="G715" s="274"/>
      <c r="H715" s="274"/>
      <c r="I715" s="274"/>
      <c r="J715" s="274"/>
      <c r="K715" s="274"/>
      <c r="L715" s="274"/>
      <c r="M715" s="274"/>
      <c r="N715" s="274"/>
      <c r="O715" s="274"/>
      <c r="P715" s="274"/>
      <c r="Q715" s="274"/>
      <c r="R715" s="316"/>
      <c r="W715" s="274"/>
      <c r="X715" s="274"/>
      <c r="Y715" s="274"/>
      <c r="Z715" s="274">
        <v>42.281</v>
      </c>
      <c r="AA715" s="274"/>
      <c r="AB715" s="274"/>
      <c r="AC715" s="274"/>
      <c r="AD715" s="274"/>
      <c r="AE715" s="274"/>
      <c r="AF715" s="274"/>
      <c r="AG715" s="274"/>
      <c r="AH715" s="274"/>
      <c r="AI715" s="274"/>
      <c r="AJ715" s="274"/>
      <c r="AK715" s="274"/>
      <c r="AL715" s="274"/>
      <c r="AM715" s="274"/>
      <c r="AN715" s="274"/>
      <c r="AO715" s="274"/>
      <c r="AP715" s="274"/>
      <c r="AQ715" s="274"/>
      <c r="AR715" s="274"/>
      <c r="AS715" s="274"/>
      <c r="AT715" s="274"/>
      <c r="AU715" s="274"/>
      <c r="AV715" s="274"/>
      <c r="AW715" s="274"/>
    </row>
    <row r="716" ht="15.75" customHeight="1">
      <c r="A716" s="274"/>
      <c r="B716" s="274"/>
      <c r="C716" s="274"/>
      <c r="D716" s="274"/>
      <c r="E716" s="274"/>
      <c r="F716" s="274"/>
      <c r="G716" s="274"/>
      <c r="H716" s="274"/>
      <c r="I716" s="274"/>
      <c r="J716" s="274"/>
      <c r="K716" s="274"/>
      <c r="L716" s="274"/>
      <c r="M716" s="274"/>
      <c r="N716" s="274"/>
      <c r="O716" s="274"/>
      <c r="P716" s="274"/>
      <c r="Q716" s="274"/>
      <c r="R716" s="316"/>
      <c r="W716" s="274"/>
      <c r="X716" s="274"/>
      <c r="Y716" s="274"/>
      <c r="Z716" s="274">
        <v>42.343</v>
      </c>
      <c r="AA716" s="274"/>
      <c r="AB716" s="274"/>
      <c r="AC716" s="274"/>
      <c r="AD716" s="274"/>
      <c r="AE716" s="274"/>
      <c r="AF716" s="274"/>
      <c r="AG716" s="274"/>
      <c r="AH716" s="274"/>
      <c r="AI716" s="274"/>
      <c r="AJ716" s="274"/>
      <c r="AK716" s="274"/>
      <c r="AL716" s="274"/>
      <c r="AM716" s="274"/>
      <c r="AN716" s="274"/>
      <c r="AO716" s="274"/>
      <c r="AP716" s="274"/>
      <c r="AQ716" s="274"/>
      <c r="AR716" s="274"/>
      <c r="AS716" s="274"/>
      <c r="AT716" s="274"/>
      <c r="AU716" s="274"/>
      <c r="AV716" s="274"/>
      <c r="AW716" s="274"/>
    </row>
    <row r="717" ht="15.75" customHeight="1">
      <c r="A717" s="274"/>
      <c r="B717" s="274"/>
      <c r="C717" s="274"/>
      <c r="D717" s="274"/>
      <c r="E717" s="274"/>
      <c r="F717" s="274"/>
      <c r="G717" s="274"/>
      <c r="H717" s="274"/>
      <c r="I717" s="274"/>
      <c r="J717" s="274"/>
      <c r="K717" s="274"/>
      <c r="L717" s="274"/>
      <c r="M717" s="274"/>
      <c r="N717" s="274"/>
      <c r="O717" s="274"/>
      <c r="P717" s="274"/>
      <c r="Q717" s="274"/>
      <c r="R717" s="316"/>
      <c r="W717" s="274"/>
      <c r="X717" s="274"/>
      <c r="Y717" s="274"/>
      <c r="Z717" s="274">
        <v>42.406</v>
      </c>
      <c r="AA717" s="274"/>
      <c r="AB717" s="274"/>
      <c r="AC717" s="274"/>
      <c r="AD717" s="274"/>
      <c r="AE717" s="274"/>
      <c r="AF717" s="274"/>
      <c r="AG717" s="274"/>
      <c r="AH717" s="274"/>
      <c r="AI717" s="274"/>
      <c r="AJ717" s="274"/>
      <c r="AK717" s="274"/>
      <c r="AL717" s="274"/>
      <c r="AM717" s="274"/>
      <c r="AN717" s="274"/>
      <c r="AO717" s="274"/>
      <c r="AP717" s="274"/>
      <c r="AQ717" s="274"/>
      <c r="AR717" s="274"/>
      <c r="AS717" s="274"/>
      <c r="AT717" s="274"/>
      <c r="AU717" s="274"/>
      <c r="AV717" s="274"/>
      <c r="AW717" s="274"/>
    </row>
    <row r="718" ht="15.75" customHeight="1">
      <c r="A718" s="274"/>
      <c r="B718" s="274"/>
      <c r="C718" s="274"/>
      <c r="D718" s="274"/>
      <c r="E718" s="274"/>
      <c r="F718" s="274"/>
      <c r="G718" s="274"/>
      <c r="H718" s="274"/>
      <c r="I718" s="274"/>
      <c r="J718" s="274"/>
      <c r="K718" s="274"/>
      <c r="L718" s="274"/>
      <c r="M718" s="274"/>
      <c r="N718" s="274"/>
      <c r="O718" s="274"/>
      <c r="P718" s="274"/>
      <c r="Q718" s="274"/>
      <c r="R718" s="316"/>
      <c r="W718" s="274"/>
      <c r="X718" s="274"/>
      <c r="Y718" s="274"/>
      <c r="Z718" s="274">
        <v>42.468</v>
      </c>
      <c r="AA718" s="274"/>
      <c r="AB718" s="274"/>
      <c r="AC718" s="274"/>
      <c r="AD718" s="274"/>
      <c r="AE718" s="274"/>
      <c r="AF718" s="274"/>
      <c r="AG718" s="274"/>
      <c r="AH718" s="274"/>
      <c r="AI718" s="274"/>
      <c r="AJ718" s="274"/>
      <c r="AK718" s="274"/>
      <c r="AL718" s="274"/>
      <c r="AM718" s="274"/>
      <c r="AN718" s="274"/>
      <c r="AO718" s="274"/>
      <c r="AP718" s="274"/>
      <c r="AQ718" s="274"/>
      <c r="AR718" s="274"/>
      <c r="AS718" s="274"/>
      <c r="AT718" s="274"/>
      <c r="AU718" s="274"/>
      <c r="AV718" s="274"/>
      <c r="AW718" s="274"/>
    </row>
    <row r="719" ht="15.75" customHeight="1">
      <c r="A719" s="274"/>
      <c r="B719" s="274"/>
      <c r="C719" s="274"/>
      <c r="D719" s="274"/>
      <c r="E719" s="274"/>
      <c r="F719" s="274"/>
      <c r="G719" s="274"/>
      <c r="H719" s="274"/>
      <c r="I719" s="274"/>
      <c r="J719" s="274"/>
      <c r="K719" s="274"/>
      <c r="L719" s="274"/>
      <c r="M719" s="274"/>
      <c r="N719" s="274"/>
      <c r="O719" s="274"/>
      <c r="P719" s="274"/>
      <c r="Q719" s="274"/>
      <c r="R719" s="316"/>
      <c r="W719" s="274"/>
      <c r="X719" s="274"/>
      <c r="Y719" s="274"/>
      <c r="Z719" s="274">
        <v>42.531</v>
      </c>
      <c r="AA719" s="274"/>
      <c r="AB719" s="274"/>
      <c r="AC719" s="274"/>
      <c r="AD719" s="274"/>
      <c r="AE719" s="274"/>
      <c r="AF719" s="274"/>
      <c r="AG719" s="274"/>
      <c r="AH719" s="274"/>
      <c r="AI719" s="274"/>
      <c r="AJ719" s="274"/>
      <c r="AK719" s="274"/>
      <c r="AL719" s="274"/>
      <c r="AM719" s="274"/>
      <c r="AN719" s="274"/>
      <c r="AO719" s="274"/>
      <c r="AP719" s="274"/>
      <c r="AQ719" s="274"/>
      <c r="AR719" s="274"/>
      <c r="AS719" s="274"/>
      <c r="AT719" s="274"/>
      <c r="AU719" s="274"/>
      <c r="AV719" s="274"/>
      <c r="AW719" s="274"/>
    </row>
    <row r="720" ht="15.75" customHeight="1">
      <c r="A720" s="274"/>
      <c r="B720" s="274"/>
      <c r="C720" s="274"/>
      <c r="D720" s="274"/>
      <c r="E720" s="274"/>
      <c r="F720" s="274"/>
      <c r="G720" s="274"/>
      <c r="H720" s="274"/>
      <c r="I720" s="274"/>
      <c r="J720" s="274"/>
      <c r="K720" s="274"/>
      <c r="L720" s="274"/>
      <c r="M720" s="274"/>
      <c r="N720" s="274"/>
      <c r="O720" s="274"/>
      <c r="P720" s="274"/>
      <c r="Q720" s="274"/>
      <c r="R720" s="316"/>
      <c r="W720" s="274"/>
      <c r="X720" s="274"/>
      <c r="Y720" s="274"/>
      <c r="Z720" s="274">
        <v>42.609</v>
      </c>
      <c r="AA720" s="274"/>
      <c r="AB720" s="274"/>
      <c r="AC720" s="274"/>
      <c r="AD720" s="274"/>
      <c r="AE720" s="274"/>
      <c r="AF720" s="274"/>
      <c r="AG720" s="274"/>
      <c r="AH720" s="274"/>
      <c r="AI720" s="274"/>
      <c r="AJ720" s="274"/>
      <c r="AK720" s="274"/>
      <c r="AL720" s="274"/>
      <c r="AM720" s="274"/>
      <c r="AN720" s="274"/>
      <c r="AO720" s="274"/>
      <c r="AP720" s="274"/>
      <c r="AQ720" s="274"/>
      <c r="AR720" s="274"/>
      <c r="AS720" s="274"/>
      <c r="AT720" s="274"/>
      <c r="AU720" s="274"/>
      <c r="AV720" s="274"/>
      <c r="AW720" s="274"/>
    </row>
    <row r="721" ht="15.75" customHeight="1">
      <c r="A721" s="274"/>
      <c r="B721" s="274"/>
      <c r="C721" s="274"/>
      <c r="D721" s="274"/>
      <c r="E721" s="274"/>
      <c r="F721" s="274"/>
      <c r="G721" s="274"/>
      <c r="H721" s="274"/>
      <c r="I721" s="274"/>
      <c r="J721" s="274"/>
      <c r="K721" s="274"/>
      <c r="L721" s="274"/>
      <c r="M721" s="274"/>
      <c r="N721" s="274"/>
      <c r="O721" s="274"/>
      <c r="P721" s="274"/>
      <c r="Q721" s="274"/>
      <c r="R721" s="316"/>
      <c r="W721" s="274"/>
      <c r="X721" s="274"/>
      <c r="Y721" s="274"/>
      <c r="Z721" s="274">
        <v>42.656</v>
      </c>
      <c r="AA721" s="274"/>
      <c r="AB721" s="274"/>
      <c r="AC721" s="274"/>
      <c r="AD721" s="274"/>
      <c r="AE721" s="274"/>
      <c r="AF721" s="274"/>
      <c r="AG721" s="274"/>
      <c r="AH721" s="274"/>
      <c r="AI721" s="274"/>
      <c r="AJ721" s="274"/>
      <c r="AK721" s="274"/>
      <c r="AL721" s="274"/>
      <c r="AM721" s="274"/>
      <c r="AN721" s="274"/>
      <c r="AO721" s="274"/>
      <c r="AP721" s="274"/>
      <c r="AQ721" s="274"/>
      <c r="AR721" s="274"/>
      <c r="AS721" s="274"/>
      <c r="AT721" s="274"/>
      <c r="AU721" s="274"/>
      <c r="AV721" s="274"/>
      <c r="AW721" s="274"/>
    </row>
    <row r="722" ht="15.75" customHeight="1">
      <c r="A722" s="274"/>
      <c r="B722" s="274"/>
      <c r="C722" s="274"/>
      <c r="D722" s="274"/>
      <c r="E722" s="274"/>
      <c r="F722" s="274"/>
      <c r="G722" s="274"/>
      <c r="H722" s="274"/>
      <c r="I722" s="274"/>
      <c r="J722" s="274"/>
      <c r="K722" s="274"/>
      <c r="L722" s="274"/>
      <c r="M722" s="274"/>
      <c r="N722" s="274"/>
      <c r="O722" s="274"/>
      <c r="P722" s="274"/>
      <c r="Q722" s="274"/>
      <c r="R722" s="316"/>
      <c r="W722" s="274"/>
      <c r="X722" s="274"/>
      <c r="Y722" s="274"/>
      <c r="Z722" s="274">
        <v>42.718</v>
      </c>
      <c r="AA722" s="274"/>
      <c r="AB722" s="274"/>
      <c r="AC722" s="274"/>
      <c r="AD722" s="274"/>
      <c r="AE722" s="274"/>
      <c r="AF722" s="274"/>
      <c r="AG722" s="274"/>
      <c r="AH722" s="274"/>
      <c r="AI722" s="274"/>
      <c r="AJ722" s="274"/>
      <c r="AK722" s="274"/>
      <c r="AL722" s="274"/>
      <c r="AM722" s="274"/>
      <c r="AN722" s="274"/>
      <c r="AO722" s="274"/>
      <c r="AP722" s="274"/>
      <c r="AQ722" s="274"/>
      <c r="AR722" s="274"/>
      <c r="AS722" s="274"/>
      <c r="AT722" s="274"/>
      <c r="AU722" s="274"/>
      <c r="AV722" s="274"/>
      <c r="AW722" s="274"/>
    </row>
    <row r="723" ht="15.75" customHeight="1">
      <c r="A723" s="274"/>
      <c r="B723" s="274"/>
      <c r="C723" s="274"/>
      <c r="D723" s="274"/>
      <c r="E723" s="274"/>
      <c r="F723" s="274"/>
      <c r="G723" s="274"/>
      <c r="H723" s="274"/>
      <c r="I723" s="274"/>
      <c r="J723" s="274"/>
      <c r="K723" s="274"/>
      <c r="L723" s="274"/>
      <c r="M723" s="274"/>
      <c r="N723" s="274"/>
      <c r="O723" s="274"/>
      <c r="P723" s="274"/>
      <c r="Q723" s="274"/>
      <c r="R723" s="316"/>
      <c r="W723" s="274"/>
      <c r="X723" s="274"/>
      <c r="Y723" s="274"/>
      <c r="Z723" s="274">
        <v>42.781</v>
      </c>
      <c r="AA723" s="274"/>
      <c r="AB723" s="274"/>
      <c r="AC723" s="274"/>
      <c r="AD723" s="274"/>
      <c r="AE723" s="274"/>
      <c r="AF723" s="274"/>
      <c r="AG723" s="274"/>
      <c r="AH723" s="274"/>
      <c r="AI723" s="274"/>
      <c r="AJ723" s="274"/>
      <c r="AK723" s="274"/>
      <c r="AL723" s="274"/>
      <c r="AM723" s="274"/>
      <c r="AN723" s="274"/>
      <c r="AO723" s="274"/>
      <c r="AP723" s="274"/>
      <c r="AQ723" s="274"/>
      <c r="AR723" s="274"/>
      <c r="AS723" s="274"/>
      <c r="AT723" s="274"/>
      <c r="AU723" s="274"/>
      <c r="AV723" s="274"/>
      <c r="AW723" s="274"/>
    </row>
    <row r="724" ht="15.75" customHeight="1">
      <c r="A724" s="274"/>
      <c r="B724" s="274"/>
      <c r="C724" s="274"/>
      <c r="D724" s="274"/>
      <c r="E724" s="274"/>
      <c r="F724" s="274"/>
      <c r="G724" s="274"/>
      <c r="H724" s="274"/>
      <c r="I724" s="274"/>
      <c r="J724" s="274"/>
      <c r="K724" s="274"/>
      <c r="L724" s="274"/>
      <c r="M724" s="274"/>
      <c r="N724" s="274"/>
      <c r="O724" s="274"/>
      <c r="P724" s="274"/>
      <c r="Q724" s="274"/>
      <c r="R724" s="316"/>
      <c r="W724" s="274"/>
      <c r="X724" s="274"/>
      <c r="Y724" s="274"/>
      <c r="Z724" s="274">
        <v>42.843</v>
      </c>
      <c r="AA724" s="274"/>
      <c r="AB724" s="274"/>
      <c r="AC724" s="274"/>
      <c r="AD724" s="274"/>
      <c r="AE724" s="274"/>
      <c r="AF724" s="274"/>
      <c r="AG724" s="274"/>
      <c r="AH724" s="274"/>
      <c r="AI724" s="274"/>
      <c r="AJ724" s="274"/>
      <c r="AK724" s="274"/>
      <c r="AL724" s="274"/>
      <c r="AM724" s="274"/>
      <c r="AN724" s="274"/>
      <c r="AO724" s="274"/>
      <c r="AP724" s="274"/>
      <c r="AQ724" s="274"/>
      <c r="AR724" s="274"/>
      <c r="AS724" s="274"/>
      <c r="AT724" s="274"/>
      <c r="AU724" s="274"/>
      <c r="AV724" s="274"/>
      <c r="AW724" s="274"/>
    </row>
    <row r="725" ht="15.75" customHeight="1">
      <c r="A725" s="274"/>
      <c r="B725" s="274"/>
      <c r="C725" s="274"/>
      <c r="D725" s="274"/>
      <c r="E725" s="274"/>
      <c r="F725" s="274"/>
      <c r="G725" s="274"/>
      <c r="H725" s="274"/>
      <c r="I725" s="274"/>
      <c r="J725" s="274"/>
      <c r="K725" s="274"/>
      <c r="L725" s="274"/>
      <c r="M725" s="274"/>
      <c r="N725" s="274"/>
      <c r="O725" s="274"/>
      <c r="P725" s="274"/>
      <c r="Q725" s="274"/>
      <c r="R725" s="316"/>
      <c r="W725" s="274"/>
      <c r="X725" s="274"/>
      <c r="Y725" s="274"/>
      <c r="Z725" s="274">
        <v>42.906</v>
      </c>
      <c r="AA725" s="274"/>
      <c r="AB725" s="274"/>
      <c r="AC725" s="274"/>
      <c r="AD725" s="274"/>
      <c r="AE725" s="274"/>
      <c r="AF725" s="274"/>
      <c r="AG725" s="274"/>
      <c r="AH725" s="274"/>
      <c r="AI725" s="274"/>
      <c r="AJ725" s="274"/>
      <c r="AK725" s="274"/>
      <c r="AL725" s="274"/>
      <c r="AM725" s="274"/>
      <c r="AN725" s="274"/>
      <c r="AO725" s="274"/>
      <c r="AP725" s="274"/>
      <c r="AQ725" s="274"/>
      <c r="AR725" s="274"/>
      <c r="AS725" s="274"/>
      <c r="AT725" s="274"/>
      <c r="AU725" s="274"/>
      <c r="AV725" s="274"/>
      <c r="AW725" s="274"/>
    </row>
    <row r="726" ht="15.75" customHeight="1">
      <c r="A726" s="274"/>
      <c r="B726" s="274"/>
      <c r="C726" s="274"/>
      <c r="D726" s="274"/>
      <c r="E726" s="274"/>
      <c r="F726" s="274"/>
      <c r="G726" s="274"/>
      <c r="H726" s="274"/>
      <c r="I726" s="274"/>
      <c r="J726" s="274"/>
      <c r="K726" s="274"/>
      <c r="L726" s="274"/>
      <c r="M726" s="274"/>
      <c r="N726" s="274"/>
      <c r="O726" s="274"/>
      <c r="P726" s="274"/>
      <c r="Q726" s="274"/>
      <c r="R726" s="316"/>
      <c r="W726" s="274"/>
      <c r="X726" s="274"/>
      <c r="Y726" s="274"/>
      <c r="Z726" s="274">
        <v>42.968</v>
      </c>
      <c r="AA726" s="274"/>
      <c r="AB726" s="274"/>
      <c r="AC726" s="274"/>
      <c r="AD726" s="274"/>
      <c r="AE726" s="274"/>
      <c r="AF726" s="274"/>
      <c r="AG726" s="274"/>
      <c r="AH726" s="274"/>
      <c r="AI726" s="274"/>
      <c r="AJ726" s="274"/>
      <c r="AK726" s="274"/>
      <c r="AL726" s="274"/>
      <c r="AM726" s="274"/>
      <c r="AN726" s="274"/>
      <c r="AO726" s="274"/>
      <c r="AP726" s="274"/>
      <c r="AQ726" s="274"/>
      <c r="AR726" s="274"/>
      <c r="AS726" s="274"/>
      <c r="AT726" s="274"/>
      <c r="AU726" s="274"/>
      <c r="AV726" s="274"/>
      <c r="AW726" s="274"/>
    </row>
    <row r="727" ht="15.75" customHeight="1">
      <c r="A727" s="274"/>
      <c r="B727" s="274"/>
      <c r="C727" s="274"/>
      <c r="D727" s="274"/>
      <c r="E727" s="274"/>
      <c r="F727" s="274"/>
      <c r="G727" s="274"/>
      <c r="H727" s="274"/>
      <c r="I727" s="274"/>
      <c r="J727" s="274"/>
      <c r="K727" s="274"/>
      <c r="L727" s="274"/>
      <c r="M727" s="274"/>
      <c r="N727" s="274"/>
      <c r="O727" s="274"/>
      <c r="P727" s="274"/>
      <c r="Q727" s="274"/>
      <c r="R727" s="316"/>
      <c r="W727" s="274"/>
      <c r="X727" s="274"/>
      <c r="Y727" s="274"/>
      <c r="Z727" s="274">
        <v>43.031</v>
      </c>
      <c r="AA727" s="274"/>
      <c r="AB727" s="274"/>
      <c r="AC727" s="274"/>
      <c r="AD727" s="274"/>
      <c r="AE727" s="274"/>
      <c r="AF727" s="274"/>
      <c r="AG727" s="274"/>
      <c r="AH727" s="274"/>
      <c r="AI727" s="274"/>
      <c r="AJ727" s="274"/>
      <c r="AK727" s="274"/>
      <c r="AL727" s="274"/>
      <c r="AM727" s="274"/>
      <c r="AN727" s="274"/>
      <c r="AO727" s="274"/>
      <c r="AP727" s="274"/>
      <c r="AQ727" s="274"/>
      <c r="AR727" s="274"/>
      <c r="AS727" s="274"/>
      <c r="AT727" s="274"/>
      <c r="AU727" s="274"/>
      <c r="AV727" s="274"/>
      <c r="AW727" s="274"/>
    </row>
    <row r="728" ht="15.75" customHeight="1">
      <c r="A728" s="274"/>
      <c r="B728" s="274"/>
      <c r="C728" s="274"/>
      <c r="D728" s="274"/>
      <c r="E728" s="274"/>
      <c r="F728" s="274"/>
      <c r="G728" s="274"/>
      <c r="H728" s="274"/>
      <c r="I728" s="274"/>
      <c r="J728" s="274"/>
      <c r="K728" s="274"/>
      <c r="L728" s="274"/>
      <c r="M728" s="274"/>
      <c r="N728" s="274"/>
      <c r="O728" s="274"/>
      <c r="P728" s="274"/>
      <c r="Q728" s="274"/>
      <c r="R728" s="316"/>
      <c r="W728" s="274"/>
      <c r="X728" s="274"/>
      <c r="Y728" s="274"/>
      <c r="Z728" s="274">
        <v>43.093</v>
      </c>
      <c r="AA728" s="274"/>
      <c r="AB728" s="274"/>
      <c r="AC728" s="274"/>
      <c r="AD728" s="274"/>
      <c r="AE728" s="274"/>
      <c r="AF728" s="274"/>
      <c r="AG728" s="274"/>
      <c r="AH728" s="274"/>
      <c r="AI728" s="274"/>
      <c r="AJ728" s="274"/>
      <c r="AK728" s="274"/>
      <c r="AL728" s="274"/>
      <c r="AM728" s="274"/>
      <c r="AN728" s="274"/>
      <c r="AO728" s="274"/>
      <c r="AP728" s="274"/>
      <c r="AQ728" s="274"/>
      <c r="AR728" s="274"/>
      <c r="AS728" s="274"/>
      <c r="AT728" s="274"/>
      <c r="AU728" s="274"/>
      <c r="AV728" s="274"/>
      <c r="AW728" s="274"/>
    </row>
    <row r="729" ht="15.75" customHeight="1">
      <c r="A729" s="274"/>
      <c r="B729" s="274"/>
      <c r="C729" s="274"/>
      <c r="D729" s="274"/>
      <c r="E729" s="274"/>
      <c r="F729" s="274"/>
      <c r="G729" s="274"/>
      <c r="H729" s="274"/>
      <c r="I729" s="274"/>
      <c r="J729" s="274"/>
      <c r="K729" s="274"/>
      <c r="L729" s="274"/>
      <c r="M729" s="274"/>
      <c r="N729" s="274"/>
      <c r="O729" s="274"/>
      <c r="P729" s="274"/>
      <c r="Q729" s="274"/>
      <c r="R729" s="316"/>
      <c r="W729" s="274"/>
      <c r="X729" s="274"/>
      <c r="Y729" s="274"/>
      <c r="Z729" s="274">
        <v>43.156</v>
      </c>
      <c r="AA729" s="274"/>
      <c r="AB729" s="274"/>
      <c r="AC729" s="274"/>
      <c r="AD729" s="274"/>
      <c r="AE729" s="274"/>
      <c r="AF729" s="274"/>
      <c r="AG729" s="274"/>
      <c r="AH729" s="274"/>
      <c r="AI729" s="274"/>
      <c r="AJ729" s="274"/>
      <c r="AK729" s="274"/>
      <c r="AL729" s="274"/>
      <c r="AM729" s="274"/>
      <c r="AN729" s="274"/>
      <c r="AO729" s="274"/>
      <c r="AP729" s="274"/>
      <c r="AQ729" s="274"/>
      <c r="AR729" s="274"/>
      <c r="AS729" s="274"/>
      <c r="AT729" s="274"/>
      <c r="AU729" s="274"/>
      <c r="AV729" s="274"/>
      <c r="AW729" s="274"/>
    </row>
    <row r="730" ht="15.75" customHeight="1">
      <c r="A730" s="274"/>
      <c r="B730" s="274"/>
      <c r="C730" s="274"/>
      <c r="D730" s="274"/>
      <c r="E730" s="274"/>
      <c r="F730" s="274"/>
      <c r="G730" s="274"/>
      <c r="H730" s="274"/>
      <c r="I730" s="274"/>
      <c r="J730" s="274"/>
      <c r="K730" s="274"/>
      <c r="L730" s="274"/>
      <c r="M730" s="274"/>
      <c r="N730" s="274"/>
      <c r="O730" s="274"/>
      <c r="P730" s="274"/>
      <c r="Q730" s="274"/>
      <c r="R730" s="316"/>
      <c r="W730" s="274"/>
      <c r="X730" s="274"/>
      <c r="Y730" s="274"/>
      <c r="Z730" s="274">
        <v>43.234</v>
      </c>
      <c r="AA730" s="274"/>
      <c r="AB730" s="274"/>
      <c r="AC730" s="274"/>
      <c r="AD730" s="274"/>
      <c r="AE730" s="274"/>
      <c r="AF730" s="274"/>
      <c r="AG730" s="274"/>
      <c r="AH730" s="274"/>
      <c r="AI730" s="274"/>
      <c r="AJ730" s="274"/>
      <c r="AK730" s="274"/>
      <c r="AL730" s="274"/>
      <c r="AM730" s="274"/>
      <c r="AN730" s="274"/>
      <c r="AO730" s="274"/>
      <c r="AP730" s="274"/>
      <c r="AQ730" s="274"/>
      <c r="AR730" s="274"/>
      <c r="AS730" s="274"/>
      <c r="AT730" s="274"/>
      <c r="AU730" s="274"/>
      <c r="AV730" s="274"/>
      <c r="AW730" s="274"/>
    </row>
    <row r="731" ht="15.75" customHeight="1">
      <c r="A731" s="274"/>
      <c r="B731" s="274"/>
      <c r="C731" s="274"/>
      <c r="D731" s="274"/>
      <c r="E731" s="274"/>
      <c r="F731" s="274"/>
      <c r="G731" s="274"/>
      <c r="H731" s="274"/>
      <c r="I731" s="274"/>
      <c r="J731" s="274"/>
      <c r="K731" s="274"/>
      <c r="L731" s="274"/>
      <c r="M731" s="274"/>
      <c r="N731" s="274"/>
      <c r="O731" s="274"/>
      <c r="P731" s="274"/>
      <c r="Q731" s="274"/>
      <c r="R731" s="316"/>
      <c r="W731" s="274"/>
      <c r="X731" s="274"/>
      <c r="Y731" s="274"/>
      <c r="Z731" s="274">
        <v>43.281</v>
      </c>
      <c r="AA731" s="274"/>
      <c r="AB731" s="274"/>
      <c r="AC731" s="274"/>
      <c r="AD731" s="274"/>
      <c r="AE731" s="274"/>
      <c r="AF731" s="274"/>
      <c r="AG731" s="274"/>
      <c r="AH731" s="274"/>
      <c r="AI731" s="274"/>
      <c r="AJ731" s="274"/>
      <c r="AK731" s="274"/>
      <c r="AL731" s="274"/>
      <c r="AM731" s="274"/>
      <c r="AN731" s="274"/>
      <c r="AO731" s="274"/>
      <c r="AP731" s="274"/>
      <c r="AQ731" s="274"/>
      <c r="AR731" s="274"/>
      <c r="AS731" s="274"/>
      <c r="AT731" s="274"/>
      <c r="AU731" s="274"/>
      <c r="AV731" s="274"/>
      <c r="AW731" s="274"/>
    </row>
    <row r="732" ht="15.75" customHeight="1">
      <c r="A732" s="274"/>
      <c r="B732" s="274"/>
      <c r="C732" s="274"/>
      <c r="D732" s="274"/>
      <c r="E732" s="274"/>
      <c r="F732" s="274"/>
      <c r="G732" s="274"/>
      <c r="H732" s="274"/>
      <c r="I732" s="274"/>
      <c r="J732" s="274"/>
      <c r="K732" s="274"/>
      <c r="L732" s="274"/>
      <c r="M732" s="274"/>
      <c r="N732" s="274"/>
      <c r="O732" s="274"/>
      <c r="P732" s="274"/>
      <c r="Q732" s="274"/>
      <c r="R732" s="316"/>
      <c r="W732" s="274"/>
      <c r="X732" s="274"/>
      <c r="Y732" s="274"/>
      <c r="Z732" s="274">
        <v>43.343</v>
      </c>
      <c r="AA732" s="274"/>
      <c r="AB732" s="274"/>
      <c r="AC732" s="274"/>
      <c r="AD732" s="274"/>
      <c r="AE732" s="274"/>
      <c r="AF732" s="274"/>
      <c r="AG732" s="274"/>
      <c r="AH732" s="274"/>
      <c r="AI732" s="274"/>
      <c r="AJ732" s="274"/>
      <c r="AK732" s="274"/>
      <c r="AL732" s="274"/>
      <c r="AM732" s="274"/>
      <c r="AN732" s="274"/>
      <c r="AO732" s="274"/>
      <c r="AP732" s="274"/>
      <c r="AQ732" s="274"/>
      <c r="AR732" s="274"/>
      <c r="AS732" s="274"/>
      <c r="AT732" s="274"/>
      <c r="AU732" s="274"/>
      <c r="AV732" s="274"/>
      <c r="AW732" s="274"/>
    </row>
    <row r="733" ht="15.75" customHeight="1">
      <c r="A733" s="274"/>
      <c r="B733" s="274"/>
      <c r="C733" s="274"/>
      <c r="D733" s="274"/>
      <c r="E733" s="274"/>
      <c r="F733" s="274"/>
      <c r="G733" s="274"/>
      <c r="H733" s="274"/>
      <c r="I733" s="274"/>
      <c r="J733" s="274"/>
      <c r="K733" s="274"/>
      <c r="L733" s="274"/>
      <c r="M733" s="274"/>
      <c r="N733" s="274"/>
      <c r="O733" s="274"/>
      <c r="P733" s="274"/>
      <c r="Q733" s="274"/>
      <c r="R733" s="316"/>
      <c r="W733" s="274"/>
      <c r="X733" s="274"/>
      <c r="Y733" s="274"/>
      <c r="Z733" s="274">
        <v>43.406</v>
      </c>
      <c r="AA733" s="274"/>
      <c r="AB733" s="274"/>
      <c r="AC733" s="274"/>
      <c r="AD733" s="274"/>
      <c r="AE733" s="274"/>
      <c r="AF733" s="274"/>
      <c r="AG733" s="274"/>
      <c r="AH733" s="274"/>
      <c r="AI733" s="274"/>
      <c r="AJ733" s="274"/>
      <c r="AK733" s="274"/>
      <c r="AL733" s="274"/>
      <c r="AM733" s="274"/>
      <c r="AN733" s="274"/>
      <c r="AO733" s="274"/>
      <c r="AP733" s="274"/>
      <c r="AQ733" s="274"/>
      <c r="AR733" s="274"/>
      <c r="AS733" s="274"/>
      <c r="AT733" s="274"/>
      <c r="AU733" s="274"/>
      <c r="AV733" s="274"/>
      <c r="AW733" s="274"/>
    </row>
    <row r="734" ht="15.75" customHeight="1">
      <c r="A734" s="274"/>
      <c r="B734" s="274"/>
      <c r="C734" s="274"/>
      <c r="D734" s="274"/>
      <c r="E734" s="274"/>
      <c r="F734" s="274"/>
      <c r="G734" s="274"/>
      <c r="H734" s="274"/>
      <c r="I734" s="274"/>
      <c r="J734" s="274"/>
      <c r="K734" s="274"/>
      <c r="L734" s="274"/>
      <c r="M734" s="274"/>
      <c r="N734" s="274"/>
      <c r="O734" s="274"/>
      <c r="P734" s="274"/>
      <c r="Q734" s="274"/>
      <c r="R734" s="316"/>
      <c r="W734" s="274"/>
      <c r="X734" s="274"/>
      <c r="Y734" s="274"/>
      <c r="Z734" s="274">
        <v>43.468</v>
      </c>
      <c r="AA734" s="274"/>
      <c r="AB734" s="274"/>
      <c r="AC734" s="274"/>
      <c r="AD734" s="274"/>
      <c r="AE734" s="274"/>
      <c r="AF734" s="274"/>
      <c r="AG734" s="274"/>
      <c r="AH734" s="274"/>
      <c r="AI734" s="274"/>
      <c r="AJ734" s="274"/>
      <c r="AK734" s="274"/>
      <c r="AL734" s="274"/>
      <c r="AM734" s="274"/>
      <c r="AN734" s="274"/>
      <c r="AO734" s="274"/>
      <c r="AP734" s="274"/>
      <c r="AQ734" s="274"/>
      <c r="AR734" s="274"/>
      <c r="AS734" s="274"/>
      <c r="AT734" s="274"/>
      <c r="AU734" s="274"/>
      <c r="AV734" s="274"/>
      <c r="AW734" s="274"/>
    </row>
    <row r="735" ht="15.75" customHeight="1">
      <c r="A735" s="274"/>
      <c r="B735" s="274"/>
      <c r="C735" s="274"/>
      <c r="D735" s="274"/>
      <c r="E735" s="274"/>
      <c r="F735" s="274"/>
      <c r="G735" s="274"/>
      <c r="H735" s="274"/>
      <c r="I735" s="274"/>
      <c r="J735" s="274"/>
      <c r="K735" s="274"/>
      <c r="L735" s="274"/>
      <c r="M735" s="274"/>
      <c r="N735" s="274"/>
      <c r="O735" s="274"/>
      <c r="P735" s="274"/>
      <c r="Q735" s="274"/>
      <c r="R735" s="316"/>
      <c r="W735" s="274"/>
      <c r="X735" s="274"/>
      <c r="Y735" s="274"/>
      <c r="Z735" s="274">
        <v>43.531</v>
      </c>
      <c r="AA735" s="274"/>
      <c r="AB735" s="274"/>
      <c r="AC735" s="274"/>
      <c r="AD735" s="274"/>
      <c r="AE735" s="274"/>
      <c r="AF735" s="274"/>
      <c r="AG735" s="274"/>
      <c r="AH735" s="274"/>
      <c r="AI735" s="274"/>
      <c r="AJ735" s="274"/>
      <c r="AK735" s="274"/>
      <c r="AL735" s="274"/>
      <c r="AM735" s="274"/>
      <c r="AN735" s="274"/>
      <c r="AO735" s="274"/>
      <c r="AP735" s="274"/>
      <c r="AQ735" s="274"/>
      <c r="AR735" s="274"/>
      <c r="AS735" s="274"/>
      <c r="AT735" s="274"/>
      <c r="AU735" s="274"/>
      <c r="AV735" s="274"/>
      <c r="AW735" s="274"/>
    </row>
    <row r="736" ht="15.75" customHeight="1">
      <c r="A736" s="274"/>
      <c r="B736" s="274"/>
      <c r="C736" s="274"/>
      <c r="D736" s="274"/>
      <c r="E736" s="274"/>
      <c r="F736" s="274"/>
      <c r="G736" s="274"/>
      <c r="H736" s="274"/>
      <c r="I736" s="274"/>
      <c r="J736" s="274"/>
      <c r="K736" s="274"/>
      <c r="L736" s="274"/>
      <c r="M736" s="274"/>
      <c r="N736" s="274"/>
      <c r="O736" s="274"/>
      <c r="P736" s="274"/>
      <c r="Q736" s="274"/>
      <c r="R736" s="316"/>
      <c r="W736" s="274"/>
      <c r="X736" s="274"/>
      <c r="Y736" s="274"/>
      <c r="Z736" s="274">
        <v>43.593</v>
      </c>
      <c r="AA736" s="274"/>
      <c r="AB736" s="274"/>
      <c r="AC736" s="274"/>
      <c r="AD736" s="274"/>
      <c r="AE736" s="274"/>
      <c r="AF736" s="274"/>
      <c r="AG736" s="274"/>
      <c r="AH736" s="274"/>
      <c r="AI736" s="274"/>
      <c r="AJ736" s="274"/>
      <c r="AK736" s="274"/>
      <c r="AL736" s="274"/>
      <c r="AM736" s="274"/>
      <c r="AN736" s="274"/>
      <c r="AO736" s="274"/>
      <c r="AP736" s="274"/>
      <c r="AQ736" s="274"/>
      <c r="AR736" s="274"/>
      <c r="AS736" s="274"/>
      <c r="AT736" s="274"/>
      <c r="AU736" s="274"/>
      <c r="AV736" s="274"/>
      <c r="AW736" s="274"/>
    </row>
    <row r="737" ht="15.75" customHeight="1">
      <c r="A737" s="274"/>
      <c r="B737" s="274"/>
      <c r="C737" s="274"/>
      <c r="D737" s="274"/>
      <c r="E737" s="274"/>
      <c r="F737" s="274"/>
      <c r="G737" s="274"/>
      <c r="H737" s="274"/>
      <c r="I737" s="274"/>
      <c r="J737" s="274"/>
      <c r="K737" s="274"/>
      <c r="L737" s="274"/>
      <c r="M737" s="274"/>
      <c r="N737" s="274"/>
      <c r="O737" s="274"/>
      <c r="P737" s="274"/>
      <c r="Q737" s="274"/>
      <c r="R737" s="316"/>
      <c r="W737" s="274"/>
      <c r="X737" s="274"/>
      <c r="Y737" s="274"/>
      <c r="Z737" s="274">
        <v>43.656</v>
      </c>
      <c r="AA737" s="274"/>
      <c r="AB737" s="274"/>
      <c r="AC737" s="274"/>
      <c r="AD737" s="274"/>
      <c r="AE737" s="274"/>
      <c r="AF737" s="274"/>
      <c r="AG737" s="274"/>
      <c r="AH737" s="274"/>
      <c r="AI737" s="274"/>
      <c r="AJ737" s="274"/>
      <c r="AK737" s="274"/>
      <c r="AL737" s="274"/>
      <c r="AM737" s="274"/>
      <c r="AN737" s="274"/>
      <c r="AO737" s="274"/>
      <c r="AP737" s="274"/>
      <c r="AQ737" s="274"/>
      <c r="AR737" s="274"/>
      <c r="AS737" s="274"/>
      <c r="AT737" s="274"/>
      <c r="AU737" s="274"/>
      <c r="AV737" s="274"/>
      <c r="AW737" s="274"/>
    </row>
    <row r="738" ht="15.75" customHeight="1">
      <c r="A738" s="274"/>
      <c r="B738" s="274"/>
      <c r="C738" s="274"/>
      <c r="D738" s="274"/>
      <c r="E738" s="274"/>
      <c r="F738" s="274"/>
      <c r="G738" s="274"/>
      <c r="H738" s="274"/>
      <c r="I738" s="274"/>
      <c r="J738" s="274"/>
      <c r="K738" s="274"/>
      <c r="L738" s="274"/>
      <c r="M738" s="274"/>
      <c r="N738" s="274"/>
      <c r="O738" s="274"/>
      <c r="P738" s="274"/>
      <c r="Q738" s="274"/>
      <c r="R738" s="316"/>
      <c r="W738" s="274"/>
      <c r="X738" s="274"/>
      <c r="Y738" s="274"/>
      <c r="Z738" s="274">
        <v>43.718</v>
      </c>
      <c r="AA738" s="274"/>
      <c r="AB738" s="274"/>
      <c r="AC738" s="274"/>
      <c r="AD738" s="274"/>
      <c r="AE738" s="274"/>
      <c r="AF738" s="274"/>
      <c r="AG738" s="274"/>
      <c r="AH738" s="274"/>
      <c r="AI738" s="274"/>
      <c r="AJ738" s="274"/>
      <c r="AK738" s="274"/>
      <c r="AL738" s="274"/>
      <c r="AM738" s="274"/>
      <c r="AN738" s="274"/>
      <c r="AO738" s="274"/>
      <c r="AP738" s="274"/>
      <c r="AQ738" s="274"/>
      <c r="AR738" s="274"/>
      <c r="AS738" s="274"/>
      <c r="AT738" s="274"/>
      <c r="AU738" s="274"/>
      <c r="AV738" s="274"/>
      <c r="AW738" s="274"/>
    </row>
    <row r="739" ht="15.75" customHeight="1">
      <c r="A739" s="274"/>
      <c r="B739" s="274"/>
      <c r="C739" s="274"/>
      <c r="D739" s="274"/>
      <c r="E739" s="274"/>
      <c r="F739" s="274"/>
      <c r="G739" s="274"/>
      <c r="H739" s="274"/>
      <c r="I739" s="274"/>
      <c r="J739" s="274"/>
      <c r="K739" s="274"/>
      <c r="L739" s="274"/>
      <c r="M739" s="274"/>
      <c r="N739" s="274"/>
      <c r="O739" s="274"/>
      <c r="P739" s="274"/>
      <c r="Q739" s="274"/>
      <c r="R739" s="316"/>
      <c r="W739" s="274"/>
      <c r="X739" s="274"/>
      <c r="Y739" s="274"/>
      <c r="Z739" s="274">
        <v>43.781</v>
      </c>
      <c r="AA739" s="274"/>
      <c r="AB739" s="274"/>
      <c r="AC739" s="274"/>
      <c r="AD739" s="274"/>
      <c r="AE739" s="274"/>
      <c r="AF739" s="274"/>
      <c r="AG739" s="274"/>
      <c r="AH739" s="274"/>
      <c r="AI739" s="274"/>
      <c r="AJ739" s="274"/>
      <c r="AK739" s="274"/>
      <c r="AL739" s="274"/>
      <c r="AM739" s="274"/>
      <c r="AN739" s="274"/>
      <c r="AO739" s="274"/>
      <c r="AP739" s="274"/>
      <c r="AQ739" s="274"/>
      <c r="AR739" s="274"/>
      <c r="AS739" s="274"/>
      <c r="AT739" s="274"/>
      <c r="AU739" s="274"/>
      <c r="AV739" s="274"/>
      <c r="AW739" s="274"/>
    </row>
    <row r="740" ht="15.75" customHeight="1">
      <c r="A740" s="274"/>
      <c r="B740" s="274"/>
      <c r="C740" s="274"/>
      <c r="D740" s="274"/>
      <c r="E740" s="274"/>
      <c r="F740" s="274"/>
      <c r="G740" s="274"/>
      <c r="H740" s="274"/>
      <c r="I740" s="274"/>
      <c r="J740" s="274"/>
      <c r="K740" s="274"/>
      <c r="L740" s="274"/>
      <c r="M740" s="274"/>
      <c r="N740" s="274"/>
      <c r="O740" s="274"/>
      <c r="P740" s="274"/>
      <c r="Q740" s="274"/>
      <c r="R740" s="316"/>
      <c r="W740" s="274"/>
      <c r="X740" s="274"/>
      <c r="Y740" s="274"/>
      <c r="Z740" s="274">
        <v>43.843</v>
      </c>
      <c r="AA740" s="274"/>
      <c r="AB740" s="274"/>
      <c r="AC740" s="274"/>
      <c r="AD740" s="274"/>
      <c r="AE740" s="274"/>
      <c r="AF740" s="274"/>
      <c r="AG740" s="274"/>
      <c r="AH740" s="274"/>
      <c r="AI740" s="274"/>
      <c r="AJ740" s="274"/>
      <c r="AK740" s="274"/>
      <c r="AL740" s="274"/>
      <c r="AM740" s="274"/>
      <c r="AN740" s="274"/>
      <c r="AO740" s="274"/>
      <c r="AP740" s="274"/>
      <c r="AQ740" s="274"/>
      <c r="AR740" s="274"/>
      <c r="AS740" s="274"/>
      <c r="AT740" s="274"/>
      <c r="AU740" s="274"/>
      <c r="AV740" s="274"/>
      <c r="AW740" s="274"/>
    </row>
    <row r="741" ht="15.75" customHeight="1">
      <c r="A741" s="274"/>
      <c r="B741" s="274"/>
      <c r="C741" s="274"/>
      <c r="D741" s="274"/>
      <c r="E741" s="274"/>
      <c r="F741" s="274"/>
      <c r="G741" s="274"/>
      <c r="H741" s="274"/>
      <c r="I741" s="274"/>
      <c r="J741" s="274"/>
      <c r="K741" s="274"/>
      <c r="L741" s="274"/>
      <c r="M741" s="274"/>
      <c r="N741" s="274"/>
      <c r="O741" s="274"/>
      <c r="P741" s="274"/>
      <c r="Q741" s="274"/>
      <c r="R741" s="316"/>
      <c r="W741" s="274"/>
      <c r="X741" s="274"/>
      <c r="Y741" s="274"/>
      <c r="Z741" s="274">
        <v>43.906</v>
      </c>
      <c r="AA741" s="274"/>
      <c r="AB741" s="274"/>
      <c r="AC741" s="274"/>
      <c r="AD741" s="274"/>
      <c r="AE741" s="274"/>
      <c r="AF741" s="274"/>
      <c r="AG741" s="274"/>
      <c r="AH741" s="274"/>
      <c r="AI741" s="274"/>
      <c r="AJ741" s="274"/>
      <c r="AK741" s="274"/>
      <c r="AL741" s="274"/>
      <c r="AM741" s="274"/>
      <c r="AN741" s="274"/>
      <c r="AO741" s="274"/>
      <c r="AP741" s="274"/>
      <c r="AQ741" s="274"/>
      <c r="AR741" s="274"/>
      <c r="AS741" s="274"/>
      <c r="AT741" s="274"/>
      <c r="AU741" s="274"/>
      <c r="AV741" s="274"/>
      <c r="AW741" s="274"/>
    </row>
    <row r="742" ht="15.75" customHeight="1">
      <c r="A742" s="274"/>
      <c r="B742" s="274"/>
      <c r="C742" s="274"/>
      <c r="D742" s="274"/>
      <c r="E742" s="274"/>
      <c r="F742" s="274"/>
      <c r="G742" s="274"/>
      <c r="H742" s="274"/>
      <c r="I742" s="274"/>
      <c r="J742" s="274"/>
      <c r="K742" s="274"/>
      <c r="L742" s="274"/>
      <c r="M742" s="274"/>
      <c r="N742" s="274"/>
      <c r="O742" s="274"/>
      <c r="P742" s="274"/>
      <c r="Q742" s="274"/>
      <c r="R742" s="316"/>
      <c r="W742" s="274"/>
      <c r="X742" s="274"/>
      <c r="Y742" s="274"/>
      <c r="Z742" s="274">
        <v>43.968</v>
      </c>
      <c r="AA742" s="274"/>
      <c r="AB742" s="274"/>
      <c r="AC742" s="274"/>
      <c r="AD742" s="274"/>
      <c r="AE742" s="274"/>
      <c r="AF742" s="274"/>
      <c r="AG742" s="274"/>
      <c r="AH742" s="274"/>
      <c r="AI742" s="274"/>
      <c r="AJ742" s="274"/>
      <c r="AK742" s="274"/>
      <c r="AL742" s="274"/>
      <c r="AM742" s="274"/>
      <c r="AN742" s="274"/>
      <c r="AO742" s="274"/>
      <c r="AP742" s="274"/>
      <c r="AQ742" s="274"/>
      <c r="AR742" s="274"/>
      <c r="AS742" s="274"/>
      <c r="AT742" s="274"/>
      <c r="AU742" s="274"/>
      <c r="AV742" s="274"/>
      <c r="AW742" s="274"/>
    </row>
    <row r="743" ht="15.75" customHeight="1">
      <c r="A743" s="274"/>
      <c r="B743" s="274"/>
      <c r="C743" s="274"/>
      <c r="D743" s="274"/>
      <c r="E743" s="274"/>
      <c r="F743" s="274"/>
      <c r="G743" s="274"/>
      <c r="H743" s="274"/>
      <c r="I743" s="274"/>
      <c r="J743" s="274"/>
      <c r="K743" s="274"/>
      <c r="L743" s="274"/>
      <c r="M743" s="274"/>
      <c r="N743" s="274"/>
      <c r="O743" s="274"/>
      <c r="P743" s="274"/>
      <c r="Q743" s="274"/>
      <c r="R743" s="316"/>
      <c r="W743" s="274"/>
      <c r="X743" s="274"/>
      <c r="Y743" s="274"/>
      <c r="Z743" s="274">
        <v>44.031</v>
      </c>
      <c r="AA743" s="274"/>
      <c r="AB743" s="274"/>
      <c r="AC743" s="274"/>
      <c r="AD743" s="274"/>
      <c r="AE743" s="274"/>
      <c r="AF743" s="274"/>
      <c r="AG743" s="274"/>
      <c r="AH743" s="274"/>
      <c r="AI743" s="274"/>
      <c r="AJ743" s="274"/>
      <c r="AK743" s="274"/>
      <c r="AL743" s="274"/>
      <c r="AM743" s="274"/>
      <c r="AN743" s="274"/>
      <c r="AO743" s="274"/>
      <c r="AP743" s="274"/>
      <c r="AQ743" s="274"/>
      <c r="AR743" s="274"/>
      <c r="AS743" s="274"/>
      <c r="AT743" s="274"/>
      <c r="AU743" s="274"/>
      <c r="AV743" s="274"/>
      <c r="AW743" s="274"/>
    </row>
    <row r="744" ht="15.75" customHeight="1">
      <c r="A744" s="274"/>
      <c r="B744" s="274"/>
      <c r="C744" s="274"/>
      <c r="D744" s="274"/>
      <c r="E744" s="274"/>
      <c r="F744" s="274"/>
      <c r="G744" s="274"/>
      <c r="H744" s="274"/>
      <c r="I744" s="274"/>
      <c r="J744" s="274"/>
      <c r="K744" s="274"/>
      <c r="L744" s="274"/>
      <c r="M744" s="274"/>
      <c r="N744" s="274"/>
      <c r="O744" s="274"/>
      <c r="P744" s="274"/>
      <c r="Q744" s="274"/>
      <c r="R744" s="316"/>
      <c r="W744" s="274"/>
      <c r="X744" s="274"/>
      <c r="Y744" s="274"/>
      <c r="Z744" s="274">
        <v>44.093</v>
      </c>
      <c r="AA744" s="274"/>
      <c r="AB744" s="274"/>
      <c r="AC744" s="274"/>
      <c r="AD744" s="274"/>
      <c r="AE744" s="274"/>
      <c r="AF744" s="274"/>
      <c r="AG744" s="274"/>
      <c r="AH744" s="274"/>
      <c r="AI744" s="274"/>
      <c r="AJ744" s="274"/>
      <c r="AK744" s="274"/>
      <c r="AL744" s="274"/>
      <c r="AM744" s="274"/>
      <c r="AN744" s="274"/>
      <c r="AO744" s="274"/>
      <c r="AP744" s="274"/>
      <c r="AQ744" s="274"/>
      <c r="AR744" s="274"/>
      <c r="AS744" s="274"/>
      <c r="AT744" s="274"/>
      <c r="AU744" s="274"/>
      <c r="AV744" s="274"/>
      <c r="AW744" s="274"/>
    </row>
    <row r="745" ht="15.75" customHeight="1">
      <c r="A745" s="274"/>
      <c r="B745" s="274"/>
      <c r="C745" s="274"/>
      <c r="D745" s="274"/>
      <c r="E745" s="274"/>
      <c r="F745" s="274"/>
      <c r="G745" s="274"/>
      <c r="H745" s="274"/>
      <c r="I745" s="274"/>
      <c r="J745" s="274"/>
      <c r="K745" s="274"/>
      <c r="L745" s="274"/>
      <c r="M745" s="274"/>
      <c r="N745" s="274"/>
      <c r="O745" s="274"/>
      <c r="P745" s="274"/>
      <c r="Q745" s="274"/>
      <c r="R745" s="316"/>
      <c r="W745" s="274"/>
      <c r="X745" s="274"/>
      <c r="Y745" s="274"/>
      <c r="Z745" s="274">
        <v>44.156</v>
      </c>
      <c r="AA745" s="274"/>
      <c r="AB745" s="274"/>
      <c r="AC745" s="274"/>
      <c r="AD745" s="274"/>
      <c r="AE745" s="274"/>
      <c r="AF745" s="274"/>
      <c r="AG745" s="274"/>
      <c r="AH745" s="274"/>
      <c r="AI745" s="274"/>
      <c r="AJ745" s="274"/>
      <c r="AK745" s="274"/>
      <c r="AL745" s="274"/>
      <c r="AM745" s="274"/>
      <c r="AN745" s="274"/>
      <c r="AO745" s="274"/>
      <c r="AP745" s="274"/>
      <c r="AQ745" s="274"/>
      <c r="AR745" s="274"/>
      <c r="AS745" s="274"/>
      <c r="AT745" s="274"/>
      <c r="AU745" s="274"/>
      <c r="AV745" s="274"/>
      <c r="AW745" s="274"/>
    </row>
    <row r="746" ht="15.75" customHeight="1">
      <c r="A746" s="274"/>
      <c r="B746" s="274"/>
      <c r="C746" s="274"/>
      <c r="D746" s="274"/>
      <c r="E746" s="274"/>
      <c r="F746" s="274"/>
      <c r="G746" s="274"/>
      <c r="H746" s="274"/>
      <c r="I746" s="274"/>
      <c r="J746" s="274"/>
      <c r="K746" s="274"/>
      <c r="L746" s="274"/>
      <c r="M746" s="274"/>
      <c r="N746" s="274"/>
      <c r="O746" s="274"/>
      <c r="P746" s="274"/>
      <c r="Q746" s="274"/>
      <c r="R746" s="316"/>
      <c r="W746" s="274"/>
      <c r="X746" s="274"/>
      <c r="Y746" s="274"/>
      <c r="Z746" s="274">
        <v>44.218</v>
      </c>
      <c r="AA746" s="274"/>
      <c r="AB746" s="274"/>
      <c r="AC746" s="274"/>
      <c r="AD746" s="274"/>
      <c r="AE746" s="274"/>
      <c r="AF746" s="274"/>
      <c r="AG746" s="274"/>
      <c r="AH746" s="274"/>
      <c r="AI746" s="274"/>
      <c r="AJ746" s="274"/>
      <c r="AK746" s="274"/>
      <c r="AL746" s="274"/>
      <c r="AM746" s="274"/>
      <c r="AN746" s="274"/>
      <c r="AO746" s="274"/>
      <c r="AP746" s="274"/>
      <c r="AQ746" s="274"/>
      <c r="AR746" s="274"/>
      <c r="AS746" s="274"/>
      <c r="AT746" s="274"/>
      <c r="AU746" s="274"/>
      <c r="AV746" s="274"/>
      <c r="AW746" s="274"/>
    </row>
    <row r="747" ht="15.75" customHeight="1">
      <c r="A747" s="274"/>
      <c r="B747" s="274"/>
      <c r="C747" s="274"/>
      <c r="D747" s="274"/>
      <c r="E747" s="274"/>
      <c r="F747" s="274"/>
      <c r="G747" s="274"/>
      <c r="H747" s="274"/>
      <c r="I747" s="274"/>
      <c r="J747" s="274"/>
      <c r="K747" s="274"/>
      <c r="L747" s="274"/>
      <c r="M747" s="274"/>
      <c r="N747" s="274"/>
      <c r="O747" s="274"/>
      <c r="P747" s="274"/>
      <c r="Q747" s="274"/>
      <c r="R747" s="316"/>
      <c r="W747" s="274"/>
      <c r="X747" s="274"/>
      <c r="Y747" s="274"/>
      <c r="Z747" s="274">
        <v>44.281</v>
      </c>
      <c r="AA747" s="274"/>
      <c r="AB747" s="274"/>
      <c r="AC747" s="274"/>
      <c r="AD747" s="274"/>
      <c r="AE747" s="274"/>
      <c r="AF747" s="274"/>
      <c r="AG747" s="274"/>
      <c r="AH747" s="274"/>
      <c r="AI747" s="274"/>
      <c r="AJ747" s="274"/>
      <c r="AK747" s="274"/>
      <c r="AL747" s="274"/>
      <c r="AM747" s="274"/>
      <c r="AN747" s="274"/>
      <c r="AO747" s="274"/>
      <c r="AP747" s="274"/>
      <c r="AQ747" s="274"/>
      <c r="AR747" s="274"/>
      <c r="AS747" s="274"/>
      <c r="AT747" s="274"/>
      <c r="AU747" s="274"/>
      <c r="AV747" s="274"/>
      <c r="AW747" s="274"/>
    </row>
    <row r="748" ht="15.75" customHeight="1">
      <c r="A748" s="274"/>
      <c r="B748" s="274"/>
      <c r="C748" s="274"/>
      <c r="D748" s="274"/>
      <c r="E748" s="274"/>
      <c r="F748" s="274"/>
      <c r="G748" s="274"/>
      <c r="H748" s="274"/>
      <c r="I748" s="274"/>
      <c r="J748" s="274"/>
      <c r="K748" s="274"/>
      <c r="L748" s="274"/>
      <c r="M748" s="274"/>
      <c r="N748" s="274"/>
      <c r="O748" s="274"/>
      <c r="P748" s="274"/>
      <c r="Q748" s="274"/>
      <c r="R748" s="316"/>
      <c r="W748" s="274"/>
      <c r="X748" s="274"/>
      <c r="Y748" s="274"/>
      <c r="Z748" s="274">
        <v>44.343</v>
      </c>
      <c r="AA748" s="274"/>
      <c r="AB748" s="274"/>
      <c r="AC748" s="274"/>
      <c r="AD748" s="274"/>
      <c r="AE748" s="274"/>
      <c r="AF748" s="274"/>
      <c r="AG748" s="274"/>
      <c r="AH748" s="274"/>
      <c r="AI748" s="274"/>
      <c r="AJ748" s="274"/>
      <c r="AK748" s="274"/>
      <c r="AL748" s="274"/>
      <c r="AM748" s="274"/>
      <c r="AN748" s="274"/>
      <c r="AO748" s="274"/>
      <c r="AP748" s="274"/>
      <c r="AQ748" s="274"/>
      <c r="AR748" s="274"/>
      <c r="AS748" s="274"/>
      <c r="AT748" s="274"/>
      <c r="AU748" s="274"/>
      <c r="AV748" s="274"/>
      <c r="AW748" s="274"/>
    </row>
    <row r="749" ht="15.75" customHeight="1">
      <c r="A749" s="274"/>
      <c r="B749" s="274"/>
      <c r="C749" s="274"/>
      <c r="D749" s="274"/>
      <c r="E749" s="274"/>
      <c r="F749" s="274"/>
      <c r="G749" s="274"/>
      <c r="H749" s="274"/>
      <c r="I749" s="274"/>
      <c r="J749" s="274"/>
      <c r="K749" s="274"/>
      <c r="L749" s="274"/>
      <c r="M749" s="274"/>
      <c r="N749" s="274"/>
      <c r="O749" s="274"/>
      <c r="P749" s="274"/>
      <c r="Q749" s="274"/>
      <c r="R749" s="316"/>
      <c r="W749" s="274"/>
      <c r="X749" s="274"/>
      <c r="Y749" s="274"/>
      <c r="Z749" s="274">
        <v>44.406</v>
      </c>
      <c r="AA749" s="274"/>
      <c r="AB749" s="274"/>
      <c r="AC749" s="274"/>
      <c r="AD749" s="274"/>
      <c r="AE749" s="274"/>
      <c r="AF749" s="274"/>
      <c r="AG749" s="274"/>
      <c r="AH749" s="274"/>
      <c r="AI749" s="274"/>
      <c r="AJ749" s="274"/>
      <c r="AK749" s="274"/>
      <c r="AL749" s="274"/>
      <c r="AM749" s="274"/>
      <c r="AN749" s="274"/>
      <c r="AO749" s="274"/>
      <c r="AP749" s="274"/>
      <c r="AQ749" s="274"/>
      <c r="AR749" s="274"/>
      <c r="AS749" s="274"/>
      <c r="AT749" s="274"/>
      <c r="AU749" s="274"/>
      <c r="AV749" s="274"/>
      <c r="AW749" s="274"/>
    </row>
    <row r="750" ht="15.75" customHeight="1">
      <c r="A750" s="274"/>
      <c r="B750" s="274"/>
      <c r="C750" s="274"/>
      <c r="D750" s="274"/>
      <c r="E750" s="274"/>
      <c r="F750" s="274"/>
      <c r="G750" s="274"/>
      <c r="H750" s="274"/>
      <c r="I750" s="274"/>
      <c r="J750" s="274"/>
      <c r="K750" s="274"/>
      <c r="L750" s="274"/>
      <c r="M750" s="274"/>
      <c r="N750" s="274"/>
      <c r="O750" s="274"/>
      <c r="P750" s="274"/>
      <c r="Q750" s="274"/>
      <c r="R750" s="316"/>
      <c r="W750" s="274"/>
      <c r="X750" s="274"/>
      <c r="Y750" s="274"/>
      <c r="Z750" s="274">
        <v>44.468</v>
      </c>
      <c r="AA750" s="274"/>
      <c r="AB750" s="274"/>
      <c r="AC750" s="274"/>
      <c r="AD750" s="274"/>
      <c r="AE750" s="274"/>
      <c r="AF750" s="274"/>
      <c r="AG750" s="274"/>
      <c r="AH750" s="274"/>
      <c r="AI750" s="274"/>
      <c r="AJ750" s="274"/>
      <c r="AK750" s="274"/>
      <c r="AL750" s="274"/>
      <c r="AM750" s="274"/>
      <c r="AN750" s="274"/>
      <c r="AO750" s="274"/>
      <c r="AP750" s="274"/>
      <c r="AQ750" s="274"/>
      <c r="AR750" s="274"/>
      <c r="AS750" s="274"/>
      <c r="AT750" s="274"/>
      <c r="AU750" s="274"/>
      <c r="AV750" s="274"/>
      <c r="AW750" s="274"/>
    </row>
    <row r="751" ht="15.75" customHeight="1">
      <c r="A751" s="274"/>
      <c r="B751" s="274"/>
      <c r="C751" s="274"/>
      <c r="D751" s="274"/>
      <c r="E751" s="274"/>
      <c r="F751" s="274"/>
      <c r="G751" s="274"/>
      <c r="H751" s="274"/>
      <c r="I751" s="274"/>
      <c r="J751" s="274"/>
      <c r="K751" s="274"/>
      <c r="L751" s="274"/>
      <c r="M751" s="274"/>
      <c r="N751" s="274"/>
      <c r="O751" s="274"/>
      <c r="P751" s="274"/>
      <c r="Q751" s="274"/>
      <c r="R751" s="316"/>
      <c r="W751" s="274"/>
      <c r="X751" s="274"/>
      <c r="Y751" s="274"/>
      <c r="Z751" s="274">
        <v>44.531</v>
      </c>
      <c r="AA751" s="274"/>
      <c r="AB751" s="274"/>
      <c r="AC751" s="274"/>
      <c r="AD751" s="274"/>
      <c r="AE751" s="274"/>
      <c r="AF751" s="274"/>
      <c r="AG751" s="274"/>
      <c r="AH751" s="274"/>
      <c r="AI751" s="274"/>
      <c r="AJ751" s="274"/>
      <c r="AK751" s="274"/>
      <c r="AL751" s="274"/>
      <c r="AM751" s="274"/>
      <c r="AN751" s="274"/>
      <c r="AO751" s="274"/>
      <c r="AP751" s="274"/>
      <c r="AQ751" s="274"/>
      <c r="AR751" s="274"/>
      <c r="AS751" s="274"/>
      <c r="AT751" s="274"/>
      <c r="AU751" s="274"/>
      <c r="AV751" s="274"/>
      <c r="AW751" s="274"/>
    </row>
    <row r="752" ht="15.75" customHeight="1">
      <c r="A752" s="274"/>
      <c r="B752" s="274"/>
      <c r="C752" s="274"/>
      <c r="D752" s="274"/>
      <c r="E752" s="274"/>
      <c r="F752" s="274"/>
      <c r="G752" s="274"/>
      <c r="H752" s="274"/>
      <c r="I752" s="274"/>
      <c r="J752" s="274"/>
      <c r="K752" s="274"/>
      <c r="L752" s="274"/>
      <c r="M752" s="274"/>
      <c r="N752" s="274"/>
      <c r="O752" s="274"/>
      <c r="P752" s="274"/>
      <c r="Q752" s="274"/>
      <c r="R752" s="316"/>
      <c r="W752" s="274"/>
      <c r="X752" s="274"/>
      <c r="Y752" s="274"/>
      <c r="Z752" s="274">
        <v>44.593</v>
      </c>
      <c r="AA752" s="274"/>
      <c r="AB752" s="274"/>
      <c r="AC752" s="274"/>
      <c r="AD752" s="274"/>
      <c r="AE752" s="274"/>
      <c r="AF752" s="274"/>
      <c r="AG752" s="274"/>
      <c r="AH752" s="274"/>
      <c r="AI752" s="274"/>
      <c r="AJ752" s="274"/>
      <c r="AK752" s="274"/>
      <c r="AL752" s="274"/>
      <c r="AM752" s="274"/>
      <c r="AN752" s="274"/>
      <c r="AO752" s="274"/>
      <c r="AP752" s="274"/>
      <c r="AQ752" s="274"/>
      <c r="AR752" s="274"/>
      <c r="AS752" s="274"/>
      <c r="AT752" s="274"/>
      <c r="AU752" s="274"/>
      <c r="AV752" s="274"/>
      <c r="AW752" s="274"/>
    </row>
    <row r="753" ht="15.75" customHeight="1">
      <c r="A753" s="274"/>
      <c r="B753" s="274"/>
      <c r="C753" s="274"/>
      <c r="D753" s="274"/>
      <c r="E753" s="274"/>
      <c r="F753" s="274"/>
      <c r="G753" s="274"/>
      <c r="H753" s="274"/>
      <c r="I753" s="274"/>
      <c r="J753" s="274"/>
      <c r="K753" s="274"/>
      <c r="L753" s="274"/>
      <c r="M753" s="274"/>
      <c r="N753" s="274"/>
      <c r="O753" s="274"/>
      <c r="P753" s="274"/>
      <c r="Q753" s="274"/>
      <c r="R753" s="316"/>
      <c r="W753" s="274"/>
      <c r="X753" s="274"/>
      <c r="Y753" s="274"/>
      <c r="Z753" s="274">
        <v>44.656</v>
      </c>
      <c r="AA753" s="274"/>
      <c r="AB753" s="274"/>
      <c r="AC753" s="274"/>
      <c r="AD753" s="274"/>
      <c r="AE753" s="274"/>
      <c r="AF753" s="274"/>
      <c r="AG753" s="274"/>
      <c r="AH753" s="274"/>
      <c r="AI753" s="274"/>
      <c r="AJ753" s="274"/>
      <c r="AK753" s="274"/>
      <c r="AL753" s="274"/>
      <c r="AM753" s="274"/>
      <c r="AN753" s="274"/>
      <c r="AO753" s="274"/>
      <c r="AP753" s="274"/>
      <c r="AQ753" s="274"/>
      <c r="AR753" s="274"/>
      <c r="AS753" s="274"/>
      <c r="AT753" s="274"/>
      <c r="AU753" s="274"/>
      <c r="AV753" s="274"/>
      <c r="AW753" s="274"/>
    </row>
    <row r="754" ht="15.75" customHeight="1">
      <c r="A754" s="274"/>
      <c r="B754" s="274"/>
      <c r="C754" s="274"/>
      <c r="D754" s="274"/>
      <c r="E754" s="274"/>
      <c r="F754" s="274"/>
      <c r="G754" s="274"/>
      <c r="H754" s="274"/>
      <c r="I754" s="274"/>
      <c r="J754" s="274"/>
      <c r="K754" s="274"/>
      <c r="L754" s="274"/>
      <c r="M754" s="274"/>
      <c r="N754" s="274"/>
      <c r="O754" s="274"/>
      <c r="P754" s="274"/>
      <c r="Q754" s="274"/>
      <c r="R754" s="316"/>
      <c r="W754" s="274"/>
      <c r="X754" s="274"/>
      <c r="Y754" s="274"/>
      <c r="Z754" s="274">
        <v>44.718</v>
      </c>
      <c r="AA754" s="274"/>
      <c r="AB754" s="274"/>
      <c r="AC754" s="274"/>
      <c r="AD754" s="274"/>
      <c r="AE754" s="274"/>
      <c r="AF754" s="274"/>
      <c r="AG754" s="274"/>
      <c r="AH754" s="274"/>
      <c r="AI754" s="274"/>
      <c r="AJ754" s="274"/>
      <c r="AK754" s="274"/>
      <c r="AL754" s="274"/>
      <c r="AM754" s="274"/>
      <c r="AN754" s="274"/>
      <c r="AO754" s="274"/>
      <c r="AP754" s="274"/>
      <c r="AQ754" s="274"/>
      <c r="AR754" s="274"/>
      <c r="AS754" s="274"/>
      <c r="AT754" s="274"/>
      <c r="AU754" s="274"/>
      <c r="AV754" s="274"/>
      <c r="AW754" s="274"/>
    </row>
    <row r="755" ht="15.75" customHeight="1">
      <c r="A755" s="274"/>
      <c r="B755" s="274"/>
      <c r="C755" s="274"/>
      <c r="D755" s="274"/>
      <c r="E755" s="274"/>
      <c r="F755" s="274"/>
      <c r="G755" s="274"/>
      <c r="H755" s="274"/>
      <c r="I755" s="274"/>
      <c r="J755" s="274"/>
      <c r="K755" s="274"/>
      <c r="L755" s="274"/>
      <c r="M755" s="274"/>
      <c r="N755" s="274"/>
      <c r="O755" s="274"/>
      <c r="P755" s="274"/>
      <c r="Q755" s="274"/>
      <c r="R755" s="316"/>
      <c r="W755" s="274"/>
      <c r="X755" s="274"/>
      <c r="Y755" s="274"/>
      <c r="Z755" s="274">
        <v>44.781</v>
      </c>
      <c r="AA755" s="274"/>
      <c r="AB755" s="274"/>
      <c r="AC755" s="274"/>
      <c r="AD755" s="274"/>
      <c r="AE755" s="274"/>
      <c r="AF755" s="274"/>
      <c r="AG755" s="274"/>
      <c r="AH755" s="274"/>
      <c r="AI755" s="274"/>
      <c r="AJ755" s="274"/>
      <c r="AK755" s="274"/>
      <c r="AL755" s="274"/>
      <c r="AM755" s="274"/>
      <c r="AN755" s="274"/>
      <c r="AO755" s="274"/>
      <c r="AP755" s="274"/>
      <c r="AQ755" s="274"/>
      <c r="AR755" s="274"/>
      <c r="AS755" s="274"/>
      <c r="AT755" s="274"/>
      <c r="AU755" s="274"/>
      <c r="AV755" s="274"/>
      <c r="AW755" s="274"/>
    </row>
    <row r="756" ht="15.75" customHeight="1">
      <c r="A756" s="274"/>
      <c r="B756" s="274"/>
      <c r="C756" s="274"/>
      <c r="D756" s="274"/>
      <c r="E756" s="274"/>
      <c r="F756" s="274"/>
      <c r="G756" s="274"/>
      <c r="H756" s="274"/>
      <c r="I756" s="274"/>
      <c r="J756" s="274"/>
      <c r="K756" s="274"/>
      <c r="L756" s="274"/>
      <c r="M756" s="274"/>
      <c r="N756" s="274"/>
      <c r="O756" s="274"/>
      <c r="P756" s="274"/>
      <c r="Q756" s="274"/>
      <c r="R756" s="316"/>
      <c r="W756" s="274"/>
      <c r="X756" s="274"/>
      <c r="Y756" s="274"/>
      <c r="Z756" s="274">
        <v>44.843</v>
      </c>
      <c r="AA756" s="274"/>
      <c r="AB756" s="274"/>
      <c r="AC756" s="274"/>
      <c r="AD756" s="274"/>
      <c r="AE756" s="274"/>
      <c r="AF756" s="274"/>
      <c r="AG756" s="274"/>
      <c r="AH756" s="274"/>
      <c r="AI756" s="274"/>
      <c r="AJ756" s="274"/>
      <c r="AK756" s="274"/>
      <c r="AL756" s="274"/>
      <c r="AM756" s="274"/>
      <c r="AN756" s="274"/>
      <c r="AO756" s="274"/>
      <c r="AP756" s="274"/>
      <c r="AQ756" s="274"/>
      <c r="AR756" s="274"/>
      <c r="AS756" s="274"/>
      <c r="AT756" s="274"/>
      <c r="AU756" s="274"/>
      <c r="AV756" s="274"/>
      <c r="AW756" s="274"/>
    </row>
    <row r="757" ht="15.75" customHeight="1">
      <c r="A757" s="274"/>
      <c r="B757" s="274"/>
      <c r="C757" s="274"/>
      <c r="D757" s="274"/>
      <c r="E757" s="274"/>
      <c r="F757" s="274"/>
      <c r="G757" s="274"/>
      <c r="H757" s="274"/>
      <c r="I757" s="274"/>
      <c r="J757" s="274"/>
      <c r="K757" s="274"/>
      <c r="L757" s="274"/>
      <c r="M757" s="274"/>
      <c r="N757" s="274"/>
      <c r="O757" s="274"/>
      <c r="P757" s="274"/>
      <c r="Q757" s="274"/>
      <c r="R757" s="316"/>
      <c r="W757" s="274"/>
      <c r="X757" s="274"/>
      <c r="Y757" s="274"/>
      <c r="Z757" s="274">
        <v>44.906</v>
      </c>
      <c r="AA757" s="274"/>
      <c r="AB757" s="274"/>
      <c r="AC757" s="274"/>
      <c r="AD757" s="274"/>
      <c r="AE757" s="274"/>
      <c r="AF757" s="274"/>
      <c r="AG757" s="274"/>
      <c r="AH757" s="274"/>
      <c r="AI757" s="274"/>
      <c r="AJ757" s="274"/>
      <c r="AK757" s="274"/>
      <c r="AL757" s="274"/>
      <c r="AM757" s="274"/>
      <c r="AN757" s="274"/>
      <c r="AO757" s="274"/>
      <c r="AP757" s="274"/>
      <c r="AQ757" s="274"/>
      <c r="AR757" s="274"/>
      <c r="AS757" s="274"/>
      <c r="AT757" s="274"/>
      <c r="AU757" s="274"/>
      <c r="AV757" s="274"/>
      <c r="AW757" s="274"/>
    </row>
    <row r="758" ht="15.75" customHeight="1">
      <c r="A758" s="274"/>
      <c r="B758" s="274"/>
      <c r="C758" s="274"/>
      <c r="D758" s="274"/>
      <c r="E758" s="274"/>
      <c r="F758" s="274"/>
      <c r="G758" s="274"/>
      <c r="H758" s="274"/>
      <c r="I758" s="274"/>
      <c r="J758" s="274"/>
      <c r="K758" s="274"/>
      <c r="L758" s="274"/>
      <c r="M758" s="274"/>
      <c r="N758" s="274"/>
      <c r="O758" s="274"/>
      <c r="P758" s="274"/>
      <c r="Q758" s="274"/>
      <c r="R758" s="316"/>
      <c r="W758" s="274"/>
      <c r="X758" s="274"/>
      <c r="Y758" s="274"/>
      <c r="Z758" s="274">
        <v>44.968</v>
      </c>
      <c r="AA758" s="274"/>
      <c r="AB758" s="274"/>
      <c r="AC758" s="274"/>
      <c r="AD758" s="274"/>
      <c r="AE758" s="274"/>
      <c r="AF758" s="274"/>
      <c r="AG758" s="274"/>
      <c r="AH758" s="274"/>
      <c r="AI758" s="274"/>
      <c r="AJ758" s="274"/>
      <c r="AK758" s="274"/>
      <c r="AL758" s="274"/>
      <c r="AM758" s="274"/>
      <c r="AN758" s="274"/>
      <c r="AO758" s="274"/>
      <c r="AP758" s="274"/>
      <c r="AQ758" s="274"/>
      <c r="AR758" s="274"/>
      <c r="AS758" s="274"/>
      <c r="AT758" s="274"/>
      <c r="AU758" s="274"/>
      <c r="AV758" s="274"/>
      <c r="AW758" s="274"/>
    </row>
    <row r="759" ht="15.75" customHeight="1">
      <c r="A759" s="274"/>
      <c r="B759" s="274"/>
      <c r="C759" s="274"/>
      <c r="D759" s="274"/>
      <c r="E759" s="274"/>
      <c r="F759" s="274"/>
      <c r="G759" s="274"/>
      <c r="H759" s="274"/>
      <c r="I759" s="274"/>
      <c r="J759" s="274"/>
      <c r="K759" s="274"/>
      <c r="L759" s="274"/>
      <c r="M759" s="274"/>
      <c r="N759" s="274"/>
      <c r="O759" s="274"/>
      <c r="P759" s="274"/>
      <c r="Q759" s="274"/>
      <c r="R759" s="316"/>
      <c r="W759" s="274"/>
      <c r="X759" s="274"/>
      <c r="Y759" s="274"/>
      <c r="Z759" s="274">
        <v>45.031</v>
      </c>
      <c r="AA759" s="274"/>
      <c r="AB759" s="274"/>
      <c r="AC759" s="274"/>
      <c r="AD759" s="274"/>
      <c r="AE759" s="274"/>
      <c r="AF759" s="274"/>
      <c r="AG759" s="274"/>
      <c r="AH759" s="274"/>
      <c r="AI759" s="274"/>
      <c r="AJ759" s="274"/>
      <c r="AK759" s="274"/>
      <c r="AL759" s="274"/>
      <c r="AM759" s="274"/>
      <c r="AN759" s="274"/>
      <c r="AO759" s="274"/>
      <c r="AP759" s="274"/>
      <c r="AQ759" s="274"/>
      <c r="AR759" s="274"/>
      <c r="AS759" s="274"/>
      <c r="AT759" s="274"/>
      <c r="AU759" s="274"/>
      <c r="AV759" s="274"/>
      <c r="AW759" s="274"/>
    </row>
    <row r="760" ht="15.75" customHeight="1">
      <c r="A760" s="274"/>
      <c r="B760" s="274"/>
      <c r="C760" s="274"/>
      <c r="D760" s="274"/>
      <c r="E760" s="274"/>
      <c r="F760" s="274"/>
      <c r="G760" s="274"/>
      <c r="H760" s="274"/>
      <c r="I760" s="274"/>
      <c r="J760" s="274"/>
      <c r="K760" s="274"/>
      <c r="L760" s="274"/>
      <c r="M760" s="274"/>
      <c r="N760" s="274"/>
      <c r="O760" s="274"/>
      <c r="P760" s="274"/>
      <c r="Q760" s="274"/>
      <c r="R760" s="316"/>
      <c r="W760" s="274"/>
      <c r="X760" s="274"/>
      <c r="Y760" s="274"/>
      <c r="Z760" s="274"/>
      <c r="AA760" s="274"/>
      <c r="AB760" s="274"/>
      <c r="AC760" s="274"/>
      <c r="AD760" s="274"/>
      <c r="AE760" s="274"/>
      <c r="AF760" s="274"/>
      <c r="AG760" s="274"/>
      <c r="AH760" s="274"/>
      <c r="AI760" s="274"/>
      <c r="AJ760" s="274"/>
      <c r="AK760" s="274"/>
      <c r="AL760" s="274"/>
      <c r="AM760" s="274"/>
      <c r="AN760" s="274"/>
      <c r="AO760" s="274"/>
      <c r="AP760" s="274"/>
      <c r="AQ760" s="274"/>
      <c r="AR760" s="274"/>
      <c r="AS760" s="274"/>
      <c r="AT760" s="274"/>
      <c r="AU760" s="274"/>
      <c r="AV760" s="274"/>
      <c r="AW760" s="274"/>
    </row>
    <row r="761" ht="15.75" customHeight="1">
      <c r="A761" s="274"/>
      <c r="B761" s="274"/>
      <c r="C761" s="274"/>
      <c r="D761" s="274"/>
      <c r="E761" s="274"/>
      <c r="F761" s="274"/>
      <c r="G761" s="274"/>
      <c r="H761" s="274"/>
      <c r="I761" s="274"/>
      <c r="J761" s="274"/>
      <c r="K761" s="274"/>
      <c r="L761" s="274"/>
      <c r="M761" s="274"/>
      <c r="N761" s="274"/>
      <c r="O761" s="274"/>
      <c r="P761" s="274"/>
      <c r="Q761" s="274"/>
      <c r="R761" s="316"/>
      <c r="W761" s="274"/>
      <c r="X761" s="274"/>
      <c r="Y761" s="274"/>
      <c r="Z761" s="274"/>
      <c r="AA761" s="274"/>
      <c r="AB761" s="274"/>
      <c r="AC761" s="274"/>
      <c r="AD761" s="274"/>
      <c r="AE761" s="274"/>
      <c r="AF761" s="274"/>
      <c r="AG761" s="274"/>
      <c r="AH761" s="274"/>
      <c r="AI761" s="274"/>
      <c r="AJ761" s="274"/>
      <c r="AK761" s="274"/>
      <c r="AL761" s="274"/>
      <c r="AM761" s="274"/>
      <c r="AN761" s="274"/>
      <c r="AO761" s="274"/>
      <c r="AP761" s="274"/>
      <c r="AQ761" s="274"/>
      <c r="AR761" s="274"/>
      <c r="AS761" s="274"/>
      <c r="AT761" s="274"/>
      <c r="AU761" s="274"/>
      <c r="AV761" s="274"/>
      <c r="AW761" s="274"/>
    </row>
    <row r="762" ht="15.75" customHeight="1">
      <c r="A762" s="274"/>
      <c r="B762" s="274"/>
      <c r="C762" s="274"/>
      <c r="D762" s="274"/>
      <c r="E762" s="274"/>
      <c r="F762" s="274"/>
      <c r="G762" s="274"/>
      <c r="H762" s="274"/>
      <c r="I762" s="274"/>
      <c r="J762" s="274"/>
      <c r="K762" s="274"/>
      <c r="L762" s="274"/>
      <c r="M762" s="274"/>
      <c r="N762" s="274"/>
      <c r="O762" s="274"/>
      <c r="P762" s="274"/>
      <c r="Q762" s="274"/>
      <c r="R762" s="316"/>
      <c r="W762" s="274"/>
      <c r="X762" s="274"/>
      <c r="Y762" s="274"/>
      <c r="Z762" s="274"/>
      <c r="AA762" s="274"/>
      <c r="AB762" s="274"/>
      <c r="AC762" s="274"/>
      <c r="AD762" s="274"/>
      <c r="AE762" s="274"/>
      <c r="AF762" s="274"/>
      <c r="AG762" s="274"/>
      <c r="AH762" s="274"/>
      <c r="AI762" s="274"/>
      <c r="AJ762" s="274"/>
      <c r="AK762" s="274"/>
      <c r="AL762" s="274"/>
      <c r="AM762" s="274"/>
      <c r="AN762" s="274"/>
      <c r="AO762" s="274"/>
      <c r="AP762" s="274"/>
      <c r="AQ762" s="274"/>
      <c r="AR762" s="274"/>
      <c r="AS762" s="274"/>
      <c r="AT762" s="274"/>
      <c r="AU762" s="274"/>
      <c r="AV762" s="274"/>
      <c r="AW762" s="274"/>
    </row>
    <row r="763" ht="15.75" customHeight="1">
      <c r="A763" s="274"/>
      <c r="B763" s="274"/>
      <c r="C763" s="274"/>
      <c r="D763" s="274"/>
      <c r="E763" s="274"/>
      <c r="F763" s="274"/>
      <c r="G763" s="274"/>
      <c r="H763" s="274"/>
      <c r="I763" s="274"/>
      <c r="J763" s="274"/>
      <c r="K763" s="274"/>
      <c r="L763" s="274"/>
      <c r="M763" s="274"/>
      <c r="N763" s="274"/>
      <c r="O763" s="274"/>
      <c r="P763" s="274"/>
      <c r="Q763" s="274"/>
      <c r="R763" s="316"/>
      <c r="W763" s="274"/>
      <c r="X763" s="274"/>
      <c r="Y763" s="274"/>
      <c r="Z763" s="274"/>
      <c r="AA763" s="274"/>
      <c r="AB763" s="274"/>
      <c r="AC763" s="274"/>
      <c r="AD763" s="274"/>
      <c r="AE763" s="274"/>
      <c r="AF763" s="274"/>
      <c r="AG763" s="274"/>
      <c r="AH763" s="274"/>
      <c r="AI763" s="274"/>
      <c r="AJ763" s="274"/>
      <c r="AK763" s="274"/>
      <c r="AL763" s="274"/>
      <c r="AM763" s="274"/>
      <c r="AN763" s="274"/>
      <c r="AO763" s="274"/>
      <c r="AP763" s="274"/>
      <c r="AQ763" s="274"/>
      <c r="AR763" s="274"/>
      <c r="AS763" s="274"/>
      <c r="AT763" s="274"/>
      <c r="AU763" s="274"/>
      <c r="AV763" s="274"/>
      <c r="AW763" s="274"/>
    </row>
    <row r="764" ht="15.75" customHeight="1">
      <c r="A764" s="274"/>
      <c r="B764" s="274"/>
      <c r="C764" s="274"/>
      <c r="D764" s="274"/>
      <c r="E764" s="274"/>
      <c r="F764" s="274"/>
      <c r="G764" s="274"/>
      <c r="H764" s="274"/>
      <c r="I764" s="274"/>
      <c r="J764" s="274"/>
      <c r="K764" s="274"/>
      <c r="L764" s="274"/>
      <c r="M764" s="274"/>
      <c r="N764" s="274"/>
      <c r="O764" s="274"/>
      <c r="P764" s="274"/>
      <c r="Q764" s="274"/>
      <c r="R764" s="316"/>
      <c r="W764" s="274"/>
      <c r="X764" s="274"/>
      <c r="Y764" s="274"/>
      <c r="Z764" s="274"/>
      <c r="AA764" s="274"/>
      <c r="AB764" s="274"/>
      <c r="AC764" s="274"/>
      <c r="AD764" s="274"/>
      <c r="AE764" s="274"/>
      <c r="AF764" s="274"/>
      <c r="AG764" s="274"/>
      <c r="AH764" s="274"/>
      <c r="AI764" s="274"/>
      <c r="AJ764" s="274"/>
      <c r="AK764" s="274"/>
      <c r="AL764" s="274"/>
      <c r="AM764" s="274"/>
      <c r="AN764" s="274"/>
      <c r="AO764" s="274"/>
      <c r="AP764" s="274"/>
      <c r="AQ764" s="274"/>
      <c r="AR764" s="274"/>
      <c r="AS764" s="274"/>
      <c r="AT764" s="274"/>
      <c r="AU764" s="274"/>
      <c r="AV764" s="274"/>
      <c r="AW764" s="274"/>
    </row>
    <row r="765" ht="15.75" customHeight="1">
      <c r="A765" s="274"/>
      <c r="B765" s="274"/>
      <c r="C765" s="274"/>
      <c r="D765" s="274"/>
      <c r="E765" s="274"/>
      <c r="F765" s="274"/>
      <c r="G765" s="274"/>
      <c r="H765" s="274"/>
      <c r="I765" s="274"/>
      <c r="J765" s="274"/>
      <c r="K765" s="274"/>
      <c r="L765" s="274"/>
      <c r="M765" s="274"/>
      <c r="N765" s="274"/>
      <c r="O765" s="274"/>
      <c r="P765" s="274"/>
      <c r="Q765" s="274"/>
      <c r="R765" s="316"/>
      <c r="W765" s="274"/>
      <c r="X765" s="274"/>
      <c r="Y765" s="274"/>
      <c r="Z765" s="274"/>
      <c r="AA765" s="274"/>
      <c r="AB765" s="274"/>
      <c r="AC765" s="274"/>
      <c r="AD765" s="274"/>
      <c r="AE765" s="274"/>
      <c r="AF765" s="274"/>
      <c r="AG765" s="274"/>
      <c r="AH765" s="274"/>
      <c r="AI765" s="274"/>
      <c r="AJ765" s="274"/>
      <c r="AK765" s="274"/>
      <c r="AL765" s="274"/>
      <c r="AM765" s="274"/>
      <c r="AN765" s="274"/>
      <c r="AO765" s="274"/>
      <c r="AP765" s="274"/>
      <c r="AQ765" s="274"/>
      <c r="AR765" s="274"/>
      <c r="AS765" s="274"/>
      <c r="AT765" s="274"/>
      <c r="AU765" s="274"/>
      <c r="AV765" s="274"/>
      <c r="AW765" s="274"/>
    </row>
    <row r="766" ht="15.75" customHeight="1">
      <c r="A766" s="274"/>
      <c r="B766" s="274"/>
      <c r="C766" s="274"/>
      <c r="D766" s="274"/>
      <c r="E766" s="274"/>
      <c r="F766" s="274"/>
      <c r="G766" s="274"/>
      <c r="H766" s="274"/>
      <c r="I766" s="274"/>
      <c r="J766" s="274"/>
      <c r="K766" s="274"/>
      <c r="L766" s="274"/>
      <c r="M766" s="274"/>
      <c r="N766" s="274"/>
      <c r="O766" s="274"/>
      <c r="P766" s="274"/>
      <c r="Q766" s="274"/>
      <c r="R766" s="316"/>
      <c r="W766" s="274"/>
      <c r="X766" s="274"/>
      <c r="Y766" s="274"/>
      <c r="Z766" s="274"/>
      <c r="AA766" s="274"/>
      <c r="AB766" s="274"/>
      <c r="AC766" s="274"/>
      <c r="AD766" s="274"/>
      <c r="AE766" s="274"/>
      <c r="AF766" s="274"/>
      <c r="AG766" s="274"/>
      <c r="AH766" s="274"/>
      <c r="AI766" s="274"/>
      <c r="AJ766" s="274"/>
      <c r="AK766" s="274"/>
      <c r="AL766" s="274"/>
      <c r="AM766" s="274"/>
      <c r="AN766" s="274"/>
      <c r="AO766" s="274"/>
      <c r="AP766" s="274"/>
      <c r="AQ766" s="274"/>
      <c r="AR766" s="274"/>
      <c r="AS766" s="274"/>
      <c r="AT766" s="274"/>
      <c r="AU766" s="274"/>
      <c r="AV766" s="274"/>
      <c r="AW766" s="274"/>
    </row>
    <row r="767" ht="15.75" customHeight="1">
      <c r="A767" s="274"/>
      <c r="B767" s="274"/>
      <c r="C767" s="274"/>
      <c r="D767" s="274"/>
      <c r="E767" s="274"/>
      <c r="F767" s="274"/>
      <c r="G767" s="274"/>
      <c r="H767" s="274"/>
      <c r="I767" s="274"/>
      <c r="J767" s="274"/>
      <c r="K767" s="274"/>
      <c r="L767" s="274"/>
      <c r="M767" s="274"/>
      <c r="N767" s="274"/>
      <c r="O767" s="274"/>
      <c r="P767" s="274"/>
      <c r="Q767" s="274"/>
      <c r="R767" s="316"/>
      <c r="W767" s="274"/>
      <c r="X767" s="274"/>
      <c r="Y767" s="274"/>
      <c r="Z767" s="274"/>
      <c r="AA767" s="274"/>
      <c r="AB767" s="274"/>
      <c r="AC767" s="274"/>
      <c r="AD767" s="274"/>
      <c r="AE767" s="274"/>
      <c r="AF767" s="274"/>
      <c r="AG767" s="274"/>
      <c r="AH767" s="274"/>
      <c r="AI767" s="274"/>
      <c r="AJ767" s="274"/>
      <c r="AK767" s="274"/>
      <c r="AL767" s="274"/>
      <c r="AM767" s="274"/>
      <c r="AN767" s="274"/>
      <c r="AO767" s="274"/>
      <c r="AP767" s="274"/>
      <c r="AQ767" s="274"/>
      <c r="AR767" s="274"/>
      <c r="AS767" s="274"/>
      <c r="AT767" s="274"/>
      <c r="AU767" s="274"/>
      <c r="AV767" s="274"/>
      <c r="AW767" s="274"/>
    </row>
    <row r="768" ht="15.75" customHeight="1">
      <c r="A768" s="274"/>
      <c r="B768" s="274"/>
      <c r="C768" s="274"/>
      <c r="D768" s="274"/>
      <c r="E768" s="274"/>
      <c r="F768" s="274"/>
      <c r="G768" s="274"/>
      <c r="H768" s="274"/>
      <c r="I768" s="274"/>
      <c r="J768" s="274"/>
      <c r="K768" s="274"/>
      <c r="L768" s="274"/>
      <c r="M768" s="274"/>
      <c r="N768" s="274"/>
      <c r="O768" s="274"/>
      <c r="P768" s="274"/>
      <c r="Q768" s="274"/>
      <c r="R768" s="316"/>
      <c r="W768" s="274"/>
      <c r="X768" s="274"/>
      <c r="Y768" s="274"/>
      <c r="Z768" s="274"/>
      <c r="AA768" s="274"/>
      <c r="AB768" s="274"/>
      <c r="AC768" s="274"/>
      <c r="AD768" s="274"/>
      <c r="AE768" s="274"/>
      <c r="AF768" s="274"/>
      <c r="AG768" s="274"/>
      <c r="AH768" s="274"/>
      <c r="AI768" s="274"/>
      <c r="AJ768" s="274"/>
      <c r="AK768" s="274"/>
      <c r="AL768" s="274"/>
      <c r="AM768" s="274"/>
      <c r="AN768" s="274"/>
      <c r="AO768" s="274"/>
      <c r="AP768" s="274"/>
      <c r="AQ768" s="274"/>
      <c r="AR768" s="274"/>
      <c r="AS768" s="274"/>
      <c r="AT768" s="274"/>
      <c r="AU768" s="274"/>
      <c r="AV768" s="274"/>
      <c r="AW768" s="274"/>
    </row>
    <row r="769" ht="15.75" customHeight="1">
      <c r="A769" s="274"/>
      <c r="B769" s="274"/>
      <c r="C769" s="274"/>
      <c r="D769" s="274"/>
      <c r="E769" s="274"/>
      <c r="F769" s="274"/>
      <c r="G769" s="274"/>
      <c r="H769" s="274"/>
      <c r="I769" s="274"/>
      <c r="J769" s="274"/>
      <c r="K769" s="274"/>
      <c r="L769" s="274"/>
      <c r="M769" s="274"/>
      <c r="N769" s="274"/>
      <c r="O769" s="274"/>
      <c r="P769" s="274"/>
      <c r="Q769" s="274"/>
      <c r="R769" s="316"/>
      <c r="W769" s="274"/>
      <c r="X769" s="274"/>
      <c r="Y769" s="274"/>
      <c r="Z769" s="274"/>
      <c r="AA769" s="274"/>
      <c r="AB769" s="274"/>
      <c r="AC769" s="274"/>
      <c r="AD769" s="274"/>
      <c r="AE769" s="274"/>
      <c r="AF769" s="274"/>
      <c r="AG769" s="274"/>
      <c r="AH769" s="274"/>
      <c r="AI769" s="274"/>
      <c r="AJ769" s="274"/>
      <c r="AK769" s="274"/>
      <c r="AL769" s="274"/>
      <c r="AM769" s="274"/>
      <c r="AN769" s="274"/>
      <c r="AO769" s="274"/>
      <c r="AP769" s="274"/>
      <c r="AQ769" s="274"/>
      <c r="AR769" s="274"/>
      <c r="AS769" s="274"/>
      <c r="AT769" s="274"/>
      <c r="AU769" s="274"/>
      <c r="AV769" s="274"/>
      <c r="AW769" s="274"/>
    </row>
    <row r="770" ht="15.75" customHeight="1">
      <c r="A770" s="274"/>
      <c r="B770" s="274"/>
      <c r="C770" s="274"/>
      <c r="D770" s="274"/>
      <c r="E770" s="274"/>
      <c r="F770" s="274"/>
      <c r="G770" s="274"/>
      <c r="H770" s="274"/>
      <c r="I770" s="274"/>
      <c r="J770" s="274"/>
      <c r="K770" s="274"/>
      <c r="L770" s="274"/>
      <c r="M770" s="274"/>
      <c r="N770" s="274"/>
      <c r="O770" s="274"/>
      <c r="P770" s="274"/>
      <c r="Q770" s="274"/>
      <c r="R770" s="316"/>
      <c r="W770" s="274"/>
      <c r="X770" s="274"/>
      <c r="Y770" s="274"/>
      <c r="Z770" s="274"/>
      <c r="AA770" s="274"/>
      <c r="AB770" s="274"/>
      <c r="AC770" s="274"/>
      <c r="AD770" s="274"/>
      <c r="AE770" s="274"/>
      <c r="AF770" s="274"/>
      <c r="AG770" s="274"/>
      <c r="AH770" s="274"/>
      <c r="AI770" s="274"/>
      <c r="AJ770" s="274"/>
      <c r="AK770" s="274"/>
      <c r="AL770" s="274"/>
      <c r="AM770" s="274"/>
      <c r="AN770" s="274"/>
      <c r="AO770" s="274"/>
      <c r="AP770" s="274"/>
      <c r="AQ770" s="274"/>
      <c r="AR770" s="274"/>
      <c r="AS770" s="274"/>
      <c r="AT770" s="274"/>
      <c r="AU770" s="274"/>
      <c r="AV770" s="274"/>
      <c r="AW770" s="274"/>
    </row>
    <row r="771" ht="15.75" customHeight="1">
      <c r="A771" s="274"/>
      <c r="B771" s="274"/>
      <c r="C771" s="274"/>
      <c r="D771" s="274"/>
      <c r="E771" s="274"/>
      <c r="F771" s="274"/>
      <c r="G771" s="274"/>
      <c r="H771" s="274"/>
      <c r="I771" s="274"/>
      <c r="J771" s="274"/>
      <c r="K771" s="274"/>
      <c r="L771" s="274"/>
      <c r="M771" s="274"/>
      <c r="N771" s="274"/>
      <c r="O771" s="274"/>
      <c r="P771" s="274"/>
      <c r="Q771" s="274"/>
      <c r="R771" s="316"/>
      <c r="W771" s="274"/>
      <c r="X771" s="274"/>
      <c r="Y771" s="274"/>
      <c r="Z771" s="274"/>
      <c r="AA771" s="274"/>
      <c r="AB771" s="274"/>
      <c r="AC771" s="274"/>
      <c r="AD771" s="274"/>
      <c r="AE771" s="274"/>
      <c r="AF771" s="274"/>
      <c r="AG771" s="274"/>
      <c r="AH771" s="274"/>
      <c r="AI771" s="274"/>
      <c r="AJ771" s="274"/>
      <c r="AK771" s="274"/>
      <c r="AL771" s="274"/>
      <c r="AM771" s="274"/>
      <c r="AN771" s="274"/>
      <c r="AO771" s="274"/>
      <c r="AP771" s="274"/>
      <c r="AQ771" s="274"/>
      <c r="AR771" s="274"/>
      <c r="AS771" s="274"/>
      <c r="AT771" s="274"/>
      <c r="AU771" s="274"/>
      <c r="AV771" s="274"/>
      <c r="AW771" s="274"/>
    </row>
    <row r="772" ht="15.75" customHeight="1">
      <c r="A772" s="274"/>
      <c r="B772" s="274"/>
      <c r="C772" s="274"/>
      <c r="D772" s="274"/>
      <c r="E772" s="274"/>
      <c r="F772" s="274"/>
      <c r="G772" s="274"/>
      <c r="H772" s="274"/>
      <c r="I772" s="274"/>
      <c r="J772" s="274"/>
      <c r="K772" s="274"/>
      <c r="L772" s="274"/>
      <c r="M772" s="274"/>
      <c r="N772" s="274"/>
      <c r="O772" s="274"/>
      <c r="P772" s="274"/>
      <c r="Q772" s="274"/>
      <c r="R772" s="316"/>
      <c r="W772" s="274"/>
      <c r="X772" s="274"/>
      <c r="Y772" s="274"/>
      <c r="Z772" s="274"/>
      <c r="AA772" s="274"/>
      <c r="AB772" s="274"/>
      <c r="AC772" s="274"/>
      <c r="AD772" s="274"/>
      <c r="AE772" s="274"/>
      <c r="AF772" s="274"/>
      <c r="AG772" s="274"/>
      <c r="AH772" s="274"/>
      <c r="AI772" s="274"/>
      <c r="AJ772" s="274"/>
      <c r="AK772" s="274"/>
      <c r="AL772" s="274"/>
      <c r="AM772" s="274"/>
      <c r="AN772" s="274"/>
      <c r="AO772" s="274"/>
      <c r="AP772" s="274"/>
      <c r="AQ772" s="274"/>
      <c r="AR772" s="274"/>
      <c r="AS772" s="274"/>
      <c r="AT772" s="274"/>
      <c r="AU772" s="274"/>
      <c r="AV772" s="274"/>
      <c r="AW772" s="274"/>
    </row>
    <row r="773" ht="15.75" customHeight="1">
      <c r="A773" s="274"/>
      <c r="B773" s="274"/>
      <c r="C773" s="274"/>
      <c r="D773" s="274"/>
      <c r="E773" s="274"/>
      <c r="F773" s="274"/>
      <c r="G773" s="274"/>
      <c r="H773" s="274"/>
      <c r="I773" s="274"/>
      <c r="J773" s="274"/>
      <c r="K773" s="274"/>
      <c r="L773" s="274"/>
      <c r="M773" s="274"/>
      <c r="N773" s="274"/>
      <c r="O773" s="274"/>
      <c r="P773" s="274"/>
      <c r="Q773" s="274"/>
      <c r="R773" s="316"/>
      <c r="W773" s="274"/>
      <c r="X773" s="274"/>
      <c r="Y773" s="274"/>
      <c r="Z773" s="274"/>
      <c r="AA773" s="274"/>
      <c r="AB773" s="274"/>
      <c r="AC773" s="274"/>
      <c r="AD773" s="274"/>
      <c r="AE773" s="274"/>
      <c r="AF773" s="274"/>
      <c r="AG773" s="274"/>
      <c r="AH773" s="274"/>
      <c r="AI773" s="274"/>
      <c r="AJ773" s="274"/>
      <c r="AK773" s="274"/>
      <c r="AL773" s="274"/>
      <c r="AM773" s="274"/>
      <c r="AN773" s="274"/>
      <c r="AO773" s="274"/>
      <c r="AP773" s="274"/>
      <c r="AQ773" s="274"/>
      <c r="AR773" s="274"/>
      <c r="AS773" s="274"/>
      <c r="AT773" s="274"/>
      <c r="AU773" s="274"/>
      <c r="AV773" s="274"/>
      <c r="AW773" s="274"/>
    </row>
    <row r="774" ht="15.75" customHeight="1">
      <c r="A774" s="274"/>
      <c r="B774" s="274"/>
      <c r="C774" s="274"/>
      <c r="D774" s="274"/>
      <c r="E774" s="274"/>
      <c r="F774" s="274"/>
      <c r="G774" s="274"/>
      <c r="H774" s="274"/>
      <c r="I774" s="274"/>
      <c r="J774" s="274"/>
      <c r="K774" s="274"/>
      <c r="L774" s="274"/>
      <c r="M774" s="274"/>
      <c r="N774" s="274"/>
      <c r="O774" s="274"/>
      <c r="P774" s="274"/>
      <c r="Q774" s="274"/>
      <c r="R774" s="316"/>
      <c r="W774" s="274"/>
      <c r="X774" s="274"/>
      <c r="Y774" s="274"/>
      <c r="Z774" s="274"/>
      <c r="AA774" s="274"/>
      <c r="AB774" s="274"/>
      <c r="AC774" s="274"/>
      <c r="AD774" s="274"/>
      <c r="AE774" s="274"/>
      <c r="AF774" s="274"/>
      <c r="AG774" s="274"/>
      <c r="AH774" s="274"/>
      <c r="AI774" s="274"/>
      <c r="AJ774" s="274"/>
      <c r="AK774" s="274"/>
      <c r="AL774" s="274"/>
      <c r="AM774" s="274"/>
      <c r="AN774" s="274"/>
      <c r="AO774" s="274"/>
      <c r="AP774" s="274"/>
      <c r="AQ774" s="274"/>
      <c r="AR774" s="274"/>
      <c r="AS774" s="274"/>
      <c r="AT774" s="274"/>
      <c r="AU774" s="274"/>
      <c r="AV774" s="274"/>
      <c r="AW774" s="274"/>
    </row>
    <row r="775" ht="15.75" customHeight="1">
      <c r="A775" s="274"/>
      <c r="B775" s="274"/>
      <c r="C775" s="274"/>
      <c r="D775" s="274"/>
      <c r="E775" s="274"/>
      <c r="F775" s="274"/>
      <c r="G775" s="274"/>
      <c r="H775" s="274"/>
      <c r="I775" s="274"/>
      <c r="J775" s="274"/>
      <c r="K775" s="274"/>
      <c r="L775" s="274"/>
      <c r="M775" s="274"/>
      <c r="N775" s="274"/>
      <c r="O775" s="274"/>
      <c r="P775" s="274"/>
      <c r="Q775" s="274"/>
      <c r="R775" s="316"/>
      <c r="W775" s="274"/>
      <c r="X775" s="274"/>
      <c r="Y775" s="274"/>
      <c r="Z775" s="274"/>
      <c r="AA775" s="274"/>
      <c r="AB775" s="274"/>
      <c r="AC775" s="274"/>
      <c r="AD775" s="274"/>
      <c r="AE775" s="274"/>
      <c r="AF775" s="274"/>
      <c r="AG775" s="274"/>
      <c r="AH775" s="274"/>
      <c r="AI775" s="274"/>
      <c r="AJ775" s="274"/>
      <c r="AK775" s="274"/>
      <c r="AL775" s="274"/>
      <c r="AM775" s="274"/>
      <c r="AN775" s="274"/>
      <c r="AO775" s="274"/>
      <c r="AP775" s="274"/>
      <c r="AQ775" s="274"/>
      <c r="AR775" s="274"/>
      <c r="AS775" s="274"/>
      <c r="AT775" s="274"/>
      <c r="AU775" s="274"/>
      <c r="AV775" s="274"/>
      <c r="AW775" s="274"/>
    </row>
    <row r="776" ht="15.75" customHeight="1">
      <c r="A776" s="274"/>
      <c r="B776" s="274"/>
      <c r="C776" s="274"/>
      <c r="D776" s="274"/>
      <c r="E776" s="274"/>
      <c r="F776" s="274"/>
      <c r="G776" s="274"/>
      <c r="H776" s="274"/>
      <c r="I776" s="274"/>
      <c r="J776" s="274"/>
      <c r="K776" s="274"/>
      <c r="L776" s="274"/>
      <c r="M776" s="274"/>
      <c r="N776" s="274"/>
      <c r="O776" s="274"/>
      <c r="P776" s="274"/>
      <c r="Q776" s="274"/>
      <c r="R776" s="316"/>
      <c r="W776" s="274"/>
      <c r="X776" s="274"/>
      <c r="Y776" s="274"/>
      <c r="Z776" s="274"/>
      <c r="AA776" s="274"/>
      <c r="AB776" s="274"/>
      <c r="AC776" s="274"/>
      <c r="AD776" s="274"/>
      <c r="AE776" s="274"/>
      <c r="AF776" s="274"/>
      <c r="AG776" s="274"/>
      <c r="AH776" s="274"/>
      <c r="AI776" s="274"/>
      <c r="AJ776" s="274"/>
      <c r="AK776" s="274"/>
      <c r="AL776" s="274"/>
      <c r="AM776" s="274"/>
      <c r="AN776" s="274"/>
      <c r="AO776" s="274"/>
      <c r="AP776" s="274"/>
      <c r="AQ776" s="274"/>
      <c r="AR776" s="274"/>
      <c r="AS776" s="274"/>
      <c r="AT776" s="274"/>
      <c r="AU776" s="274"/>
      <c r="AV776" s="274"/>
      <c r="AW776" s="274"/>
    </row>
    <row r="777" ht="15.75" customHeight="1">
      <c r="A777" s="274"/>
      <c r="B777" s="274"/>
      <c r="C777" s="274"/>
      <c r="D777" s="274"/>
      <c r="E777" s="274"/>
      <c r="F777" s="274"/>
      <c r="G777" s="274"/>
      <c r="H777" s="274"/>
      <c r="I777" s="274"/>
      <c r="J777" s="274"/>
      <c r="K777" s="274"/>
      <c r="L777" s="274"/>
      <c r="M777" s="274"/>
      <c r="N777" s="274"/>
      <c r="O777" s="274"/>
      <c r="P777" s="274"/>
      <c r="Q777" s="274"/>
      <c r="R777" s="316"/>
      <c r="W777" s="274"/>
      <c r="X777" s="274"/>
      <c r="Y777" s="274"/>
      <c r="Z777" s="274"/>
      <c r="AA777" s="274"/>
      <c r="AB777" s="274"/>
      <c r="AC777" s="274"/>
      <c r="AD777" s="274"/>
      <c r="AE777" s="274"/>
      <c r="AF777" s="274"/>
      <c r="AG777" s="274"/>
      <c r="AH777" s="274"/>
      <c r="AI777" s="274"/>
      <c r="AJ777" s="274"/>
      <c r="AK777" s="274"/>
      <c r="AL777" s="274"/>
      <c r="AM777" s="274"/>
      <c r="AN777" s="274"/>
      <c r="AO777" s="274"/>
      <c r="AP777" s="274"/>
      <c r="AQ777" s="274"/>
      <c r="AR777" s="274"/>
      <c r="AS777" s="274"/>
      <c r="AT777" s="274"/>
      <c r="AU777" s="274"/>
      <c r="AV777" s="274"/>
      <c r="AW777" s="274"/>
    </row>
    <row r="778" ht="15.75" customHeight="1">
      <c r="A778" s="274"/>
      <c r="B778" s="274"/>
      <c r="C778" s="274"/>
      <c r="D778" s="274"/>
      <c r="E778" s="274"/>
      <c r="F778" s="274"/>
      <c r="G778" s="274"/>
      <c r="H778" s="274"/>
      <c r="I778" s="274"/>
      <c r="J778" s="274"/>
      <c r="K778" s="274"/>
      <c r="L778" s="274"/>
      <c r="M778" s="274"/>
      <c r="N778" s="274"/>
      <c r="O778" s="274"/>
      <c r="P778" s="274"/>
      <c r="Q778" s="274"/>
      <c r="R778" s="316"/>
      <c r="W778" s="274"/>
      <c r="X778" s="274"/>
      <c r="Y778" s="274"/>
      <c r="Z778" s="274"/>
      <c r="AA778" s="274"/>
      <c r="AB778" s="274"/>
      <c r="AC778" s="274"/>
      <c r="AD778" s="274"/>
      <c r="AE778" s="274"/>
      <c r="AF778" s="274"/>
      <c r="AG778" s="274"/>
      <c r="AH778" s="274"/>
      <c r="AI778" s="274"/>
      <c r="AJ778" s="274"/>
      <c r="AK778" s="274"/>
      <c r="AL778" s="274"/>
      <c r="AM778" s="274"/>
      <c r="AN778" s="274"/>
      <c r="AO778" s="274"/>
      <c r="AP778" s="274"/>
      <c r="AQ778" s="274"/>
      <c r="AR778" s="274"/>
      <c r="AS778" s="274"/>
      <c r="AT778" s="274"/>
      <c r="AU778" s="274"/>
      <c r="AV778" s="274"/>
      <c r="AW778" s="274"/>
    </row>
    <row r="779" ht="15.75" customHeight="1">
      <c r="A779" s="274"/>
      <c r="B779" s="274"/>
      <c r="C779" s="274"/>
      <c r="D779" s="274"/>
      <c r="E779" s="274"/>
      <c r="F779" s="274"/>
      <c r="G779" s="274"/>
      <c r="H779" s="274"/>
      <c r="I779" s="274"/>
      <c r="J779" s="274"/>
      <c r="K779" s="274"/>
      <c r="L779" s="274"/>
      <c r="M779" s="274"/>
      <c r="N779" s="274"/>
      <c r="O779" s="274"/>
      <c r="P779" s="274"/>
      <c r="Q779" s="274"/>
      <c r="R779" s="316"/>
      <c r="W779" s="274"/>
      <c r="X779" s="274"/>
      <c r="Y779" s="274"/>
      <c r="Z779" s="274"/>
      <c r="AA779" s="274"/>
      <c r="AB779" s="274"/>
      <c r="AC779" s="274"/>
      <c r="AD779" s="274"/>
      <c r="AE779" s="274"/>
      <c r="AF779" s="274"/>
      <c r="AG779" s="274"/>
      <c r="AH779" s="274"/>
      <c r="AI779" s="274"/>
      <c r="AJ779" s="274"/>
      <c r="AK779" s="274"/>
      <c r="AL779" s="274"/>
      <c r="AM779" s="274"/>
      <c r="AN779" s="274"/>
      <c r="AO779" s="274"/>
      <c r="AP779" s="274"/>
      <c r="AQ779" s="274"/>
      <c r="AR779" s="274"/>
      <c r="AS779" s="274"/>
      <c r="AT779" s="274"/>
      <c r="AU779" s="274"/>
      <c r="AV779" s="274"/>
      <c r="AW779" s="274"/>
    </row>
    <row r="780" ht="15.75" customHeight="1">
      <c r="A780" s="274"/>
      <c r="B780" s="274"/>
      <c r="C780" s="274"/>
      <c r="D780" s="274"/>
      <c r="E780" s="274"/>
      <c r="F780" s="274"/>
      <c r="G780" s="274"/>
      <c r="H780" s="274"/>
      <c r="I780" s="274"/>
      <c r="J780" s="274"/>
      <c r="K780" s="274"/>
      <c r="L780" s="274"/>
      <c r="M780" s="274"/>
      <c r="N780" s="274"/>
      <c r="O780" s="274"/>
      <c r="P780" s="274"/>
      <c r="Q780" s="274"/>
      <c r="R780" s="316"/>
      <c r="W780" s="274"/>
      <c r="X780" s="274"/>
      <c r="Y780" s="274"/>
      <c r="Z780" s="274"/>
      <c r="AA780" s="274"/>
      <c r="AB780" s="274"/>
      <c r="AC780" s="274"/>
      <c r="AD780" s="274"/>
      <c r="AE780" s="274"/>
      <c r="AF780" s="274"/>
      <c r="AG780" s="274"/>
      <c r="AH780" s="274"/>
      <c r="AI780" s="274"/>
      <c r="AJ780" s="274"/>
      <c r="AK780" s="274"/>
      <c r="AL780" s="274"/>
      <c r="AM780" s="274"/>
      <c r="AN780" s="274"/>
      <c r="AO780" s="274"/>
      <c r="AP780" s="274"/>
      <c r="AQ780" s="274"/>
      <c r="AR780" s="274"/>
      <c r="AS780" s="274"/>
      <c r="AT780" s="274"/>
      <c r="AU780" s="274"/>
      <c r="AV780" s="274"/>
      <c r="AW780" s="274"/>
    </row>
    <row r="781" ht="15.75" customHeight="1">
      <c r="A781" s="274"/>
      <c r="B781" s="274"/>
      <c r="C781" s="274"/>
      <c r="D781" s="274"/>
      <c r="E781" s="274"/>
      <c r="F781" s="274"/>
      <c r="G781" s="274"/>
      <c r="H781" s="274"/>
      <c r="I781" s="274"/>
      <c r="J781" s="274"/>
      <c r="K781" s="274"/>
      <c r="L781" s="274"/>
      <c r="M781" s="274"/>
      <c r="N781" s="274"/>
      <c r="O781" s="274"/>
      <c r="P781" s="274"/>
      <c r="Q781" s="274"/>
      <c r="R781" s="316"/>
      <c r="W781" s="274"/>
      <c r="X781" s="274"/>
      <c r="Y781" s="274"/>
      <c r="Z781" s="274"/>
      <c r="AA781" s="274"/>
      <c r="AB781" s="274"/>
      <c r="AC781" s="274"/>
      <c r="AD781" s="274"/>
      <c r="AE781" s="274"/>
      <c r="AF781" s="274"/>
      <c r="AG781" s="274"/>
      <c r="AH781" s="274"/>
      <c r="AI781" s="274"/>
      <c r="AJ781" s="274"/>
      <c r="AK781" s="274"/>
      <c r="AL781" s="274"/>
      <c r="AM781" s="274"/>
      <c r="AN781" s="274"/>
      <c r="AO781" s="274"/>
      <c r="AP781" s="274"/>
      <c r="AQ781" s="274"/>
      <c r="AR781" s="274"/>
      <c r="AS781" s="274"/>
      <c r="AT781" s="274"/>
      <c r="AU781" s="274"/>
      <c r="AV781" s="274"/>
      <c r="AW781" s="274"/>
    </row>
    <row r="782" ht="15.75" customHeight="1">
      <c r="A782" s="274"/>
      <c r="B782" s="274"/>
      <c r="C782" s="274"/>
      <c r="D782" s="274"/>
      <c r="E782" s="274"/>
      <c r="F782" s="274"/>
      <c r="G782" s="274"/>
      <c r="H782" s="274"/>
      <c r="I782" s="274"/>
      <c r="J782" s="274"/>
      <c r="K782" s="274"/>
      <c r="L782" s="274"/>
      <c r="M782" s="274"/>
      <c r="N782" s="274"/>
      <c r="O782" s="274"/>
      <c r="P782" s="274"/>
      <c r="Q782" s="274"/>
      <c r="R782" s="316"/>
      <c r="W782" s="274"/>
      <c r="X782" s="274"/>
      <c r="Y782" s="274"/>
      <c r="Z782" s="274"/>
      <c r="AA782" s="274"/>
      <c r="AB782" s="274"/>
      <c r="AC782" s="274"/>
      <c r="AD782" s="274"/>
      <c r="AE782" s="274"/>
      <c r="AF782" s="274"/>
      <c r="AG782" s="274"/>
      <c r="AH782" s="274"/>
      <c r="AI782" s="274"/>
      <c r="AJ782" s="274"/>
      <c r="AK782" s="274"/>
      <c r="AL782" s="274"/>
      <c r="AM782" s="274"/>
      <c r="AN782" s="274"/>
      <c r="AO782" s="274"/>
      <c r="AP782" s="274"/>
      <c r="AQ782" s="274"/>
      <c r="AR782" s="274"/>
      <c r="AS782" s="274"/>
      <c r="AT782" s="274"/>
      <c r="AU782" s="274"/>
      <c r="AV782" s="274"/>
      <c r="AW782" s="274"/>
    </row>
    <row r="783" ht="15.75" customHeight="1">
      <c r="A783" s="274"/>
      <c r="B783" s="274"/>
      <c r="C783" s="274"/>
      <c r="D783" s="274"/>
      <c r="E783" s="274"/>
      <c r="F783" s="274"/>
      <c r="G783" s="274"/>
      <c r="H783" s="274"/>
      <c r="I783" s="274"/>
      <c r="J783" s="274"/>
      <c r="K783" s="274"/>
      <c r="L783" s="274"/>
      <c r="M783" s="274"/>
      <c r="N783" s="274"/>
      <c r="O783" s="274"/>
      <c r="P783" s="274"/>
      <c r="Q783" s="274"/>
      <c r="R783" s="316"/>
      <c r="W783" s="274"/>
      <c r="X783" s="274"/>
      <c r="Y783" s="274"/>
      <c r="Z783" s="274"/>
      <c r="AA783" s="274"/>
      <c r="AB783" s="274"/>
      <c r="AC783" s="274"/>
      <c r="AD783" s="274"/>
      <c r="AE783" s="274"/>
      <c r="AF783" s="274"/>
      <c r="AG783" s="274"/>
      <c r="AH783" s="274"/>
      <c r="AI783" s="274"/>
      <c r="AJ783" s="274"/>
      <c r="AK783" s="274"/>
      <c r="AL783" s="274"/>
      <c r="AM783" s="274"/>
      <c r="AN783" s="274"/>
      <c r="AO783" s="274"/>
      <c r="AP783" s="274"/>
      <c r="AQ783" s="274"/>
      <c r="AR783" s="274"/>
      <c r="AS783" s="274"/>
      <c r="AT783" s="274"/>
      <c r="AU783" s="274"/>
      <c r="AV783" s="274"/>
      <c r="AW783" s="274"/>
    </row>
    <row r="784" ht="15.75" customHeight="1">
      <c r="A784" s="274"/>
      <c r="B784" s="274"/>
      <c r="C784" s="274"/>
      <c r="D784" s="274"/>
      <c r="E784" s="274"/>
      <c r="F784" s="274"/>
      <c r="G784" s="274"/>
      <c r="H784" s="274"/>
      <c r="I784" s="274"/>
      <c r="J784" s="274"/>
      <c r="K784" s="274"/>
      <c r="L784" s="274"/>
      <c r="M784" s="274"/>
      <c r="N784" s="274"/>
      <c r="O784" s="274"/>
      <c r="P784" s="274"/>
      <c r="Q784" s="274"/>
      <c r="R784" s="316"/>
      <c r="W784" s="274"/>
      <c r="X784" s="274"/>
      <c r="Y784" s="274"/>
      <c r="Z784" s="274"/>
      <c r="AA784" s="274"/>
      <c r="AB784" s="274"/>
      <c r="AC784" s="274"/>
      <c r="AD784" s="274"/>
      <c r="AE784" s="274"/>
      <c r="AF784" s="274"/>
      <c r="AG784" s="274"/>
      <c r="AH784" s="274"/>
      <c r="AI784" s="274"/>
      <c r="AJ784" s="274"/>
      <c r="AK784" s="274"/>
      <c r="AL784" s="274"/>
      <c r="AM784" s="274"/>
      <c r="AN784" s="274"/>
      <c r="AO784" s="274"/>
      <c r="AP784" s="274"/>
      <c r="AQ784" s="274"/>
      <c r="AR784" s="274"/>
      <c r="AS784" s="274"/>
      <c r="AT784" s="274"/>
      <c r="AU784" s="274"/>
      <c r="AV784" s="274"/>
      <c r="AW784" s="274"/>
    </row>
    <row r="785" ht="15.75" customHeight="1">
      <c r="A785" s="274"/>
      <c r="B785" s="274"/>
      <c r="C785" s="274"/>
      <c r="D785" s="274"/>
      <c r="E785" s="274"/>
      <c r="F785" s="274"/>
      <c r="G785" s="274"/>
      <c r="H785" s="274"/>
      <c r="I785" s="274"/>
      <c r="J785" s="274"/>
      <c r="K785" s="274"/>
      <c r="L785" s="274"/>
      <c r="M785" s="274"/>
      <c r="N785" s="274"/>
      <c r="O785" s="274"/>
      <c r="P785" s="274"/>
      <c r="Q785" s="274"/>
      <c r="R785" s="316"/>
      <c r="W785" s="274"/>
      <c r="X785" s="274"/>
      <c r="Y785" s="274"/>
      <c r="Z785" s="274"/>
      <c r="AA785" s="274"/>
      <c r="AB785" s="274"/>
      <c r="AC785" s="274"/>
      <c r="AD785" s="274"/>
      <c r="AE785" s="274"/>
      <c r="AF785" s="274"/>
      <c r="AG785" s="274"/>
      <c r="AH785" s="274"/>
      <c r="AI785" s="274"/>
      <c r="AJ785" s="274"/>
      <c r="AK785" s="274"/>
      <c r="AL785" s="274"/>
      <c r="AM785" s="274"/>
      <c r="AN785" s="274"/>
      <c r="AO785" s="274"/>
      <c r="AP785" s="274"/>
      <c r="AQ785" s="274"/>
      <c r="AR785" s="274"/>
      <c r="AS785" s="274"/>
      <c r="AT785" s="274"/>
      <c r="AU785" s="274"/>
      <c r="AV785" s="274"/>
      <c r="AW785" s="274"/>
    </row>
    <row r="786" ht="15.75" customHeight="1">
      <c r="A786" s="274"/>
      <c r="B786" s="274"/>
      <c r="C786" s="274"/>
      <c r="D786" s="274"/>
      <c r="E786" s="274"/>
      <c r="F786" s="274"/>
      <c r="G786" s="274"/>
      <c r="H786" s="274"/>
      <c r="I786" s="274"/>
      <c r="J786" s="274"/>
      <c r="K786" s="274"/>
      <c r="L786" s="274"/>
      <c r="M786" s="274"/>
      <c r="N786" s="274"/>
      <c r="O786" s="274"/>
      <c r="P786" s="274"/>
      <c r="Q786" s="274"/>
      <c r="R786" s="316"/>
      <c r="W786" s="274"/>
      <c r="X786" s="274"/>
      <c r="Y786" s="274"/>
      <c r="Z786" s="274"/>
      <c r="AA786" s="274"/>
      <c r="AB786" s="274"/>
      <c r="AC786" s="274"/>
      <c r="AD786" s="274"/>
      <c r="AE786" s="274"/>
      <c r="AF786" s="274"/>
      <c r="AG786" s="274"/>
      <c r="AH786" s="274"/>
      <c r="AI786" s="274"/>
      <c r="AJ786" s="274"/>
      <c r="AK786" s="274"/>
      <c r="AL786" s="274"/>
      <c r="AM786" s="274"/>
      <c r="AN786" s="274"/>
      <c r="AO786" s="274"/>
      <c r="AP786" s="274"/>
      <c r="AQ786" s="274"/>
      <c r="AR786" s="274"/>
      <c r="AS786" s="274"/>
      <c r="AT786" s="274"/>
      <c r="AU786" s="274"/>
      <c r="AV786" s="274"/>
      <c r="AW786" s="274"/>
    </row>
    <row r="787" ht="15.75" customHeight="1">
      <c r="A787" s="274"/>
      <c r="B787" s="274"/>
      <c r="C787" s="274"/>
      <c r="D787" s="274"/>
      <c r="E787" s="274"/>
      <c r="F787" s="274"/>
      <c r="G787" s="274"/>
      <c r="H787" s="274"/>
      <c r="I787" s="274"/>
      <c r="J787" s="274"/>
      <c r="K787" s="274"/>
      <c r="L787" s="274"/>
      <c r="M787" s="274"/>
      <c r="N787" s="274"/>
      <c r="O787" s="274"/>
      <c r="P787" s="274"/>
      <c r="Q787" s="274"/>
      <c r="R787" s="316"/>
      <c r="W787" s="274"/>
      <c r="X787" s="274"/>
      <c r="Y787" s="274"/>
      <c r="Z787" s="274"/>
      <c r="AA787" s="274"/>
      <c r="AB787" s="274"/>
      <c r="AC787" s="274"/>
      <c r="AD787" s="274"/>
      <c r="AE787" s="274"/>
      <c r="AF787" s="274"/>
      <c r="AG787" s="274"/>
      <c r="AH787" s="274"/>
      <c r="AI787" s="274"/>
      <c r="AJ787" s="274"/>
      <c r="AK787" s="274"/>
      <c r="AL787" s="274"/>
      <c r="AM787" s="274"/>
      <c r="AN787" s="274"/>
      <c r="AO787" s="274"/>
      <c r="AP787" s="274"/>
      <c r="AQ787" s="274"/>
      <c r="AR787" s="274"/>
      <c r="AS787" s="274"/>
      <c r="AT787" s="274"/>
      <c r="AU787" s="274"/>
      <c r="AV787" s="274"/>
      <c r="AW787" s="274"/>
    </row>
    <row r="788" ht="15.75" customHeight="1">
      <c r="A788" s="274"/>
      <c r="B788" s="274"/>
      <c r="C788" s="274"/>
      <c r="D788" s="274"/>
      <c r="E788" s="274"/>
      <c r="F788" s="274"/>
      <c r="G788" s="274"/>
      <c r="H788" s="274"/>
      <c r="I788" s="274"/>
      <c r="J788" s="274"/>
      <c r="K788" s="274"/>
      <c r="L788" s="274"/>
      <c r="M788" s="274"/>
      <c r="N788" s="274"/>
      <c r="O788" s="274"/>
      <c r="P788" s="274"/>
      <c r="Q788" s="274"/>
      <c r="R788" s="316"/>
      <c r="W788" s="274"/>
      <c r="X788" s="274"/>
      <c r="Y788" s="274"/>
      <c r="Z788" s="274"/>
      <c r="AA788" s="274"/>
      <c r="AB788" s="274"/>
      <c r="AC788" s="274"/>
      <c r="AD788" s="274"/>
      <c r="AE788" s="274"/>
      <c r="AF788" s="274"/>
      <c r="AG788" s="274"/>
      <c r="AH788" s="274"/>
      <c r="AI788" s="274"/>
      <c r="AJ788" s="274"/>
      <c r="AK788" s="274"/>
      <c r="AL788" s="274"/>
      <c r="AM788" s="274"/>
      <c r="AN788" s="274"/>
      <c r="AO788" s="274"/>
      <c r="AP788" s="274"/>
      <c r="AQ788" s="274"/>
      <c r="AR788" s="274"/>
      <c r="AS788" s="274"/>
      <c r="AT788" s="274"/>
      <c r="AU788" s="274"/>
      <c r="AV788" s="274"/>
      <c r="AW788" s="274"/>
    </row>
    <row r="789" ht="15.75" customHeight="1">
      <c r="A789" s="274"/>
      <c r="B789" s="274"/>
      <c r="C789" s="274"/>
      <c r="D789" s="274"/>
      <c r="E789" s="274"/>
      <c r="F789" s="274"/>
      <c r="G789" s="274"/>
      <c r="H789" s="274"/>
      <c r="I789" s="274"/>
      <c r="J789" s="274"/>
      <c r="K789" s="274"/>
      <c r="L789" s="274"/>
      <c r="M789" s="274"/>
      <c r="N789" s="274"/>
      <c r="O789" s="274"/>
      <c r="P789" s="274"/>
      <c r="Q789" s="274"/>
      <c r="R789" s="316"/>
      <c r="W789" s="274"/>
      <c r="X789" s="274"/>
      <c r="Y789" s="274"/>
      <c r="Z789" s="274"/>
      <c r="AA789" s="274"/>
      <c r="AB789" s="274"/>
      <c r="AC789" s="274"/>
      <c r="AD789" s="274"/>
      <c r="AE789" s="274"/>
      <c r="AF789" s="274"/>
      <c r="AG789" s="274"/>
      <c r="AH789" s="274"/>
      <c r="AI789" s="274"/>
      <c r="AJ789" s="274"/>
      <c r="AK789" s="274"/>
      <c r="AL789" s="274"/>
      <c r="AM789" s="274"/>
      <c r="AN789" s="274"/>
      <c r="AO789" s="274"/>
      <c r="AP789" s="274"/>
      <c r="AQ789" s="274"/>
      <c r="AR789" s="274"/>
      <c r="AS789" s="274"/>
      <c r="AT789" s="274"/>
      <c r="AU789" s="274"/>
      <c r="AV789" s="274"/>
      <c r="AW789" s="274"/>
    </row>
    <row r="790" ht="15.75" customHeight="1">
      <c r="A790" s="274"/>
      <c r="B790" s="274"/>
      <c r="C790" s="274"/>
      <c r="D790" s="274"/>
      <c r="E790" s="274"/>
      <c r="F790" s="274"/>
      <c r="G790" s="274"/>
      <c r="H790" s="274"/>
      <c r="I790" s="274"/>
      <c r="J790" s="274"/>
      <c r="K790" s="274"/>
      <c r="L790" s="274"/>
      <c r="M790" s="274"/>
      <c r="N790" s="274"/>
      <c r="O790" s="274"/>
      <c r="P790" s="274"/>
      <c r="Q790" s="274"/>
      <c r="R790" s="316"/>
      <c r="W790" s="274"/>
      <c r="X790" s="274"/>
      <c r="Y790" s="274"/>
      <c r="Z790" s="274"/>
      <c r="AA790" s="274"/>
      <c r="AB790" s="274"/>
      <c r="AC790" s="274"/>
      <c r="AD790" s="274"/>
      <c r="AE790" s="274"/>
      <c r="AF790" s="274"/>
      <c r="AG790" s="274"/>
      <c r="AH790" s="274"/>
      <c r="AI790" s="274"/>
      <c r="AJ790" s="274"/>
      <c r="AK790" s="274"/>
      <c r="AL790" s="274"/>
      <c r="AM790" s="274"/>
      <c r="AN790" s="274"/>
      <c r="AO790" s="274"/>
      <c r="AP790" s="274"/>
      <c r="AQ790" s="274"/>
      <c r="AR790" s="274"/>
      <c r="AS790" s="274"/>
      <c r="AT790" s="274"/>
      <c r="AU790" s="274"/>
      <c r="AV790" s="274"/>
      <c r="AW790" s="274"/>
    </row>
    <row r="791" ht="15.75" customHeight="1">
      <c r="A791" s="274"/>
      <c r="B791" s="274"/>
      <c r="C791" s="274"/>
      <c r="D791" s="274"/>
      <c r="E791" s="274"/>
      <c r="F791" s="274"/>
      <c r="G791" s="274"/>
      <c r="H791" s="274"/>
      <c r="I791" s="274"/>
      <c r="J791" s="274"/>
      <c r="K791" s="274"/>
      <c r="L791" s="274"/>
      <c r="M791" s="274"/>
      <c r="N791" s="274"/>
      <c r="O791" s="274"/>
      <c r="P791" s="274"/>
      <c r="Q791" s="274"/>
      <c r="R791" s="316"/>
      <c r="W791" s="274"/>
      <c r="X791" s="274"/>
      <c r="Y791" s="274"/>
      <c r="Z791" s="274"/>
      <c r="AA791" s="274"/>
      <c r="AB791" s="274"/>
      <c r="AC791" s="274"/>
      <c r="AD791" s="274"/>
      <c r="AE791" s="274"/>
      <c r="AF791" s="274"/>
      <c r="AG791" s="274"/>
      <c r="AH791" s="274"/>
      <c r="AI791" s="274"/>
      <c r="AJ791" s="274"/>
      <c r="AK791" s="274"/>
      <c r="AL791" s="274"/>
      <c r="AM791" s="274"/>
      <c r="AN791" s="274"/>
      <c r="AO791" s="274"/>
      <c r="AP791" s="274"/>
      <c r="AQ791" s="274"/>
      <c r="AR791" s="274"/>
      <c r="AS791" s="274"/>
      <c r="AT791" s="274"/>
      <c r="AU791" s="274"/>
      <c r="AV791" s="274"/>
      <c r="AW791" s="274"/>
    </row>
    <row r="792" ht="15.75" customHeight="1">
      <c r="A792" s="274"/>
      <c r="B792" s="274"/>
      <c r="C792" s="274"/>
      <c r="D792" s="274"/>
      <c r="E792" s="274"/>
      <c r="F792" s="274"/>
      <c r="G792" s="274"/>
      <c r="H792" s="274"/>
      <c r="I792" s="274"/>
      <c r="J792" s="274"/>
      <c r="K792" s="274"/>
      <c r="L792" s="274"/>
      <c r="M792" s="274"/>
      <c r="N792" s="274"/>
      <c r="O792" s="274"/>
      <c r="P792" s="274"/>
      <c r="Q792" s="274"/>
      <c r="R792" s="316"/>
      <c r="W792" s="274"/>
      <c r="X792" s="274"/>
      <c r="Y792" s="274"/>
      <c r="Z792" s="274"/>
      <c r="AA792" s="274"/>
      <c r="AB792" s="274"/>
      <c r="AC792" s="274"/>
      <c r="AD792" s="274"/>
      <c r="AE792" s="274"/>
      <c r="AF792" s="274"/>
      <c r="AG792" s="274"/>
      <c r="AH792" s="274"/>
      <c r="AI792" s="274"/>
      <c r="AJ792" s="274"/>
      <c r="AK792" s="274"/>
      <c r="AL792" s="274"/>
      <c r="AM792" s="274"/>
      <c r="AN792" s="274"/>
      <c r="AO792" s="274"/>
      <c r="AP792" s="274"/>
      <c r="AQ792" s="274"/>
      <c r="AR792" s="274"/>
      <c r="AS792" s="274"/>
      <c r="AT792" s="274"/>
      <c r="AU792" s="274"/>
      <c r="AV792" s="274"/>
      <c r="AW792" s="274"/>
    </row>
    <row r="793" ht="15.75" customHeight="1">
      <c r="A793" s="274"/>
      <c r="B793" s="274"/>
      <c r="C793" s="274"/>
      <c r="D793" s="274"/>
      <c r="E793" s="274"/>
      <c r="F793" s="274"/>
      <c r="G793" s="274"/>
      <c r="H793" s="274"/>
      <c r="I793" s="274"/>
      <c r="J793" s="274"/>
      <c r="K793" s="274"/>
      <c r="L793" s="274"/>
      <c r="M793" s="274"/>
      <c r="N793" s="274"/>
      <c r="O793" s="274"/>
      <c r="P793" s="274"/>
      <c r="Q793" s="274"/>
      <c r="R793" s="316"/>
      <c r="W793" s="274"/>
      <c r="X793" s="274"/>
      <c r="Y793" s="274"/>
      <c r="Z793" s="274"/>
      <c r="AA793" s="274"/>
      <c r="AB793" s="274"/>
      <c r="AC793" s="274"/>
      <c r="AD793" s="274"/>
      <c r="AE793" s="274"/>
      <c r="AF793" s="274"/>
      <c r="AG793" s="274"/>
      <c r="AH793" s="274"/>
      <c r="AI793" s="274"/>
      <c r="AJ793" s="274"/>
      <c r="AK793" s="274"/>
      <c r="AL793" s="274"/>
      <c r="AM793" s="274"/>
      <c r="AN793" s="274"/>
      <c r="AO793" s="274"/>
      <c r="AP793" s="274"/>
      <c r="AQ793" s="274"/>
      <c r="AR793" s="274"/>
      <c r="AS793" s="274"/>
      <c r="AT793" s="274"/>
      <c r="AU793" s="274"/>
      <c r="AV793" s="274"/>
      <c r="AW793" s="274"/>
    </row>
    <row r="794" ht="15.75" customHeight="1">
      <c r="A794" s="274"/>
      <c r="B794" s="274"/>
      <c r="C794" s="274"/>
      <c r="D794" s="274"/>
      <c r="E794" s="274"/>
      <c r="F794" s="274"/>
      <c r="G794" s="274"/>
      <c r="H794" s="274"/>
      <c r="I794" s="274"/>
      <c r="J794" s="274"/>
      <c r="K794" s="274"/>
      <c r="L794" s="274"/>
      <c r="M794" s="274"/>
      <c r="N794" s="274"/>
      <c r="O794" s="274"/>
      <c r="P794" s="274"/>
      <c r="Q794" s="274"/>
      <c r="R794" s="316"/>
      <c r="W794" s="274"/>
      <c r="X794" s="274"/>
      <c r="Y794" s="274"/>
      <c r="Z794" s="274"/>
      <c r="AA794" s="274"/>
      <c r="AB794" s="274"/>
      <c r="AC794" s="274"/>
      <c r="AD794" s="274"/>
      <c r="AE794" s="274"/>
      <c r="AF794" s="274"/>
      <c r="AG794" s="274"/>
      <c r="AH794" s="274"/>
      <c r="AI794" s="274"/>
      <c r="AJ794" s="274"/>
      <c r="AK794" s="274"/>
      <c r="AL794" s="274"/>
      <c r="AM794" s="274"/>
      <c r="AN794" s="274"/>
      <c r="AO794" s="274"/>
      <c r="AP794" s="274"/>
      <c r="AQ794" s="274"/>
      <c r="AR794" s="274"/>
      <c r="AS794" s="274"/>
      <c r="AT794" s="274"/>
      <c r="AU794" s="274"/>
      <c r="AV794" s="274"/>
      <c r="AW794" s="274"/>
    </row>
    <row r="795" ht="15.75" customHeight="1">
      <c r="A795" s="274"/>
      <c r="B795" s="274"/>
      <c r="C795" s="274"/>
      <c r="D795" s="274"/>
      <c r="E795" s="274"/>
      <c r="F795" s="274"/>
      <c r="G795" s="274"/>
      <c r="H795" s="274"/>
      <c r="I795" s="274"/>
      <c r="J795" s="274"/>
      <c r="K795" s="274"/>
      <c r="L795" s="274"/>
      <c r="M795" s="274"/>
      <c r="N795" s="274"/>
      <c r="O795" s="274"/>
      <c r="P795" s="274"/>
      <c r="Q795" s="274"/>
      <c r="R795" s="316"/>
      <c r="W795" s="274"/>
      <c r="X795" s="274"/>
      <c r="Y795" s="274"/>
      <c r="Z795" s="274"/>
      <c r="AA795" s="274"/>
      <c r="AB795" s="274"/>
      <c r="AC795" s="274"/>
      <c r="AD795" s="274"/>
      <c r="AE795" s="274"/>
      <c r="AF795" s="274"/>
      <c r="AG795" s="274"/>
      <c r="AH795" s="274"/>
      <c r="AI795" s="274"/>
      <c r="AJ795" s="274"/>
      <c r="AK795" s="274"/>
      <c r="AL795" s="274"/>
      <c r="AM795" s="274"/>
      <c r="AN795" s="274"/>
      <c r="AO795" s="274"/>
      <c r="AP795" s="274"/>
      <c r="AQ795" s="274"/>
      <c r="AR795" s="274"/>
      <c r="AS795" s="274"/>
      <c r="AT795" s="274"/>
      <c r="AU795" s="274"/>
      <c r="AV795" s="274"/>
      <c r="AW795" s="274"/>
    </row>
    <row r="796" ht="15.75" customHeight="1">
      <c r="A796" s="274"/>
      <c r="B796" s="274"/>
      <c r="C796" s="274"/>
      <c r="D796" s="274"/>
      <c r="E796" s="274"/>
      <c r="F796" s="274"/>
      <c r="G796" s="274"/>
      <c r="H796" s="274"/>
      <c r="I796" s="274"/>
      <c r="J796" s="274"/>
      <c r="K796" s="274"/>
      <c r="L796" s="274"/>
      <c r="M796" s="274"/>
      <c r="N796" s="274"/>
      <c r="O796" s="274"/>
      <c r="P796" s="274"/>
      <c r="Q796" s="274"/>
      <c r="R796" s="316"/>
      <c r="W796" s="274"/>
      <c r="X796" s="274"/>
      <c r="Y796" s="274"/>
      <c r="Z796" s="274"/>
      <c r="AA796" s="274"/>
      <c r="AB796" s="274"/>
      <c r="AC796" s="274"/>
      <c r="AD796" s="274"/>
      <c r="AE796" s="274"/>
      <c r="AF796" s="274"/>
      <c r="AG796" s="274"/>
      <c r="AH796" s="274"/>
      <c r="AI796" s="274"/>
      <c r="AJ796" s="274"/>
      <c r="AK796" s="274"/>
      <c r="AL796" s="274"/>
      <c r="AM796" s="274"/>
      <c r="AN796" s="274"/>
      <c r="AO796" s="274"/>
      <c r="AP796" s="274"/>
      <c r="AQ796" s="274"/>
      <c r="AR796" s="274"/>
      <c r="AS796" s="274"/>
      <c r="AT796" s="274"/>
      <c r="AU796" s="274"/>
      <c r="AV796" s="274"/>
      <c r="AW796" s="274"/>
    </row>
    <row r="797" ht="15.75" customHeight="1">
      <c r="A797" s="274"/>
      <c r="B797" s="274"/>
      <c r="C797" s="274"/>
      <c r="D797" s="274"/>
      <c r="E797" s="274"/>
      <c r="F797" s="274"/>
      <c r="G797" s="274"/>
      <c r="H797" s="274"/>
      <c r="I797" s="274"/>
      <c r="J797" s="274"/>
      <c r="K797" s="274"/>
      <c r="L797" s="274"/>
      <c r="M797" s="274"/>
      <c r="N797" s="274"/>
      <c r="O797" s="274"/>
      <c r="P797" s="274"/>
      <c r="Q797" s="274"/>
      <c r="R797" s="316"/>
      <c r="W797" s="274"/>
      <c r="X797" s="274"/>
      <c r="Y797" s="274"/>
      <c r="Z797" s="274"/>
      <c r="AA797" s="274"/>
      <c r="AB797" s="274"/>
      <c r="AC797" s="274"/>
      <c r="AD797" s="274"/>
      <c r="AE797" s="274"/>
      <c r="AF797" s="274"/>
      <c r="AG797" s="274"/>
      <c r="AH797" s="274"/>
      <c r="AI797" s="274"/>
      <c r="AJ797" s="274"/>
      <c r="AK797" s="274"/>
      <c r="AL797" s="274"/>
      <c r="AM797" s="274"/>
      <c r="AN797" s="274"/>
      <c r="AO797" s="274"/>
      <c r="AP797" s="274"/>
      <c r="AQ797" s="274"/>
      <c r="AR797" s="274"/>
      <c r="AS797" s="274"/>
      <c r="AT797" s="274"/>
      <c r="AU797" s="274"/>
      <c r="AV797" s="274"/>
      <c r="AW797" s="274"/>
    </row>
    <row r="798" ht="15.75" customHeight="1">
      <c r="A798" s="274"/>
      <c r="B798" s="274"/>
      <c r="C798" s="274"/>
      <c r="D798" s="274"/>
      <c r="E798" s="274"/>
      <c r="F798" s="274"/>
      <c r="G798" s="274"/>
      <c r="H798" s="274"/>
      <c r="I798" s="274"/>
      <c r="J798" s="274"/>
      <c r="K798" s="274"/>
      <c r="L798" s="274"/>
      <c r="M798" s="274"/>
      <c r="N798" s="274"/>
      <c r="O798" s="274"/>
      <c r="P798" s="274"/>
      <c r="Q798" s="274"/>
      <c r="R798" s="316"/>
      <c r="W798" s="274"/>
      <c r="X798" s="274"/>
      <c r="Y798" s="274"/>
      <c r="Z798" s="274"/>
      <c r="AA798" s="274"/>
      <c r="AB798" s="274"/>
      <c r="AC798" s="274"/>
      <c r="AD798" s="274"/>
      <c r="AE798" s="274"/>
      <c r="AF798" s="274"/>
      <c r="AG798" s="274"/>
      <c r="AH798" s="274"/>
      <c r="AI798" s="274"/>
      <c r="AJ798" s="274"/>
      <c r="AK798" s="274"/>
      <c r="AL798" s="274"/>
      <c r="AM798" s="274"/>
      <c r="AN798" s="274"/>
      <c r="AO798" s="274"/>
      <c r="AP798" s="274"/>
      <c r="AQ798" s="274"/>
      <c r="AR798" s="274"/>
      <c r="AS798" s="274"/>
      <c r="AT798" s="274"/>
      <c r="AU798" s="274"/>
      <c r="AV798" s="274"/>
      <c r="AW798" s="274"/>
    </row>
    <row r="799" ht="15.75" customHeight="1">
      <c r="A799" s="274"/>
      <c r="B799" s="274"/>
      <c r="C799" s="274"/>
      <c r="D799" s="274"/>
      <c r="E799" s="274"/>
      <c r="F799" s="274"/>
      <c r="G799" s="274"/>
      <c r="H799" s="274"/>
      <c r="I799" s="274"/>
      <c r="J799" s="274"/>
      <c r="K799" s="274"/>
      <c r="L799" s="274"/>
      <c r="M799" s="274"/>
      <c r="N799" s="274"/>
      <c r="O799" s="274"/>
      <c r="P799" s="274"/>
      <c r="Q799" s="274"/>
      <c r="R799" s="316"/>
      <c r="W799" s="274"/>
      <c r="X799" s="274"/>
      <c r="Y799" s="274"/>
      <c r="Z799" s="274"/>
      <c r="AA799" s="274"/>
      <c r="AB799" s="274"/>
      <c r="AC799" s="274"/>
      <c r="AD799" s="274"/>
      <c r="AE799" s="274"/>
      <c r="AF799" s="274"/>
      <c r="AG799" s="274"/>
      <c r="AH799" s="274"/>
      <c r="AI799" s="274"/>
      <c r="AJ799" s="274"/>
      <c r="AK799" s="274"/>
      <c r="AL799" s="274"/>
      <c r="AM799" s="274"/>
      <c r="AN799" s="274"/>
      <c r="AO799" s="274"/>
      <c r="AP799" s="274"/>
      <c r="AQ799" s="274"/>
      <c r="AR799" s="274"/>
      <c r="AS799" s="274"/>
      <c r="AT799" s="274"/>
      <c r="AU799" s="274"/>
      <c r="AV799" s="274"/>
      <c r="AW799" s="274"/>
    </row>
    <row r="800" ht="15.75" customHeight="1">
      <c r="A800" s="274"/>
      <c r="B800" s="274"/>
      <c r="C800" s="274"/>
      <c r="D800" s="274"/>
      <c r="E800" s="274"/>
      <c r="F800" s="274"/>
      <c r="G800" s="274"/>
      <c r="H800" s="274"/>
      <c r="I800" s="274"/>
      <c r="J800" s="274"/>
      <c r="K800" s="274"/>
      <c r="L800" s="274"/>
      <c r="M800" s="274"/>
      <c r="N800" s="274"/>
      <c r="O800" s="274"/>
      <c r="P800" s="274"/>
      <c r="Q800" s="274"/>
      <c r="R800" s="316"/>
      <c r="W800" s="274"/>
      <c r="X800" s="274"/>
      <c r="Y800" s="274"/>
      <c r="Z800" s="274"/>
      <c r="AA800" s="274"/>
      <c r="AB800" s="274"/>
      <c r="AC800" s="274"/>
      <c r="AD800" s="274"/>
      <c r="AE800" s="274"/>
      <c r="AF800" s="274"/>
      <c r="AG800" s="274"/>
      <c r="AH800" s="274"/>
      <c r="AI800" s="274"/>
      <c r="AJ800" s="274"/>
      <c r="AK800" s="274"/>
      <c r="AL800" s="274"/>
      <c r="AM800" s="274"/>
      <c r="AN800" s="274"/>
      <c r="AO800" s="274"/>
      <c r="AP800" s="274"/>
      <c r="AQ800" s="274"/>
      <c r="AR800" s="274"/>
      <c r="AS800" s="274"/>
      <c r="AT800" s="274"/>
      <c r="AU800" s="274"/>
      <c r="AV800" s="274"/>
      <c r="AW800" s="274"/>
    </row>
    <row r="801" ht="15.75" customHeight="1">
      <c r="A801" s="274"/>
      <c r="B801" s="274"/>
      <c r="C801" s="274"/>
      <c r="D801" s="274"/>
      <c r="E801" s="274"/>
      <c r="F801" s="274"/>
      <c r="G801" s="274"/>
      <c r="H801" s="274"/>
      <c r="I801" s="274"/>
      <c r="J801" s="274"/>
      <c r="K801" s="274"/>
      <c r="L801" s="274"/>
      <c r="M801" s="274"/>
      <c r="N801" s="274"/>
      <c r="O801" s="274"/>
      <c r="P801" s="274"/>
      <c r="Q801" s="274"/>
      <c r="R801" s="316"/>
      <c r="W801" s="274"/>
      <c r="X801" s="274"/>
      <c r="Y801" s="274"/>
      <c r="Z801" s="274"/>
      <c r="AA801" s="274"/>
      <c r="AB801" s="274"/>
      <c r="AC801" s="274"/>
      <c r="AD801" s="274"/>
      <c r="AE801" s="274"/>
      <c r="AF801" s="274"/>
      <c r="AG801" s="274"/>
      <c r="AH801" s="274"/>
      <c r="AI801" s="274"/>
      <c r="AJ801" s="274"/>
      <c r="AK801" s="274"/>
      <c r="AL801" s="274"/>
      <c r="AM801" s="274"/>
      <c r="AN801" s="274"/>
      <c r="AO801" s="274"/>
      <c r="AP801" s="274"/>
      <c r="AQ801" s="274"/>
      <c r="AR801" s="274"/>
      <c r="AS801" s="274"/>
      <c r="AT801" s="274"/>
      <c r="AU801" s="274"/>
      <c r="AV801" s="274"/>
      <c r="AW801" s="274"/>
    </row>
    <row r="802" ht="15.75" customHeight="1">
      <c r="A802" s="274"/>
      <c r="B802" s="274"/>
      <c r="C802" s="274"/>
      <c r="D802" s="274"/>
      <c r="E802" s="274"/>
      <c r="F802" s="274"/>
      <c r="G802" s="274"/>
      <c r="H802" s="274"/>
      <c r="I802" s="274"/>
      <c r="J802" s="274"/>
      <c r="K802" s="274"/>
      <c r="L802" s="274"/>
      <c r="M802" s="274"/>
      <c r="N802" s="274"/>
      <c r="O802" s="274"/>
      <c r="P802" s="274"/>
      <c r="Q802" s="274"/>
      <c r="R802" s="316"/>
      <c r="W802" s="274"/>
      <c r="X802" s="274"/>
      <c r="Y802" s="274"/>
      <c r="Z802" s="274"/>
      <c r="AA802" s="274"/>
      <c r="AB802" s="274"/>
      <c r="AC802" s="274"/>
      <c r="AD802" s="274"/>
      <c r="AE802" s="274"/>
      <c r="AF802" s="274"/>
      <c r="AG802" s="274"/>
      <c r="AH802" s="274"/>
      <c r="AI802" s="274"/>
      <c r="AJ802" s="274"/>
      <c r="AK802" s="274"/>
      <c r="AL802" s="274"/>
      <c r="AM802" s="274"/>
      <c r="AN802" s="274"/>
      <c r="AO802" s="274"/>
      <c r="AP802" s="274"/>
      <c r="AQ802" s="274"/>
      <c r="AR802" s="274"/>
      <c r="AS802" s="274"/>
      <c r="AT802" s="274"/>
      <c r="AU802" s="274"/>
      <c r="AV802" s="274"/>
      <c r="AW802" s="274"/>
    </row>
    <row r="803" ht="15.75" customHeight="1">
      <c r="A803" s="274"/>
      <c r="B803" s="274"/>
      <c r="C803" s="274"/>
      <c r="D803" s="274"/>
      <c r="E803" s="274"/>
      <c r="F803" s="274"/>
      <c r="G803" s="274"/>
      <c r="H803" s="274"/>
      <c r="I803" s="274"/>
      <c r="J803" s="274"/>
      <c r="K803" s="274"/>
      <c r="L803" s="274"/>
      <c r="M803" s="274"/>
      <c r="N803" s="274"/>
      <c r="O803" s="274"/>
      <c r="P803" s="274"/>
      <c r="Q803" s="274"/>
      <c r="R803" s="316"/>
      <c r="W803" s="274"/>
      <c r="X803" s="274"/>
      <c r="Y803" s="274"/>
      <c r="Z803" s="274"/>
      <c r="AA803" s="274"/>
      <c r="AB803" s="274"/>
      <c r="AC803" s="274"/>
      <c r="AD803" s="274"/>
      <c r="AE803" s="274"/>
      <c r="AF803" s="274"/>
      <c r="AG803" s="274"/>
      <c r="AH803" s="274"/>
      <c r="AI803" s="274"/>
      <c r="AJ803" s="274"/>
      <c r="AK803" s="274"/>
      <c r="AL803" s="274"/>
      <c r="AM803" s="274"/>
      <c r="AN803" s="274"/>
      <c r="AO803" s="274"/>
      <c r="AP803" s="274"/>
      <c r="AQ803" s="274"/>
      <c r="AR803" s="274"/>
      <c r="AS803" s="274"/>
      <c r="AT803" s="274"/>
      <c r="AU803" s="274"/>
      <c r="AV803" s="274"/>
      <c r="AW803" s="274"/>
    </row>
    <row r="804" ht="15.75" customHeight="1">
      <c r="A804" s="274"/>
      <c r="B804" s="274"/>
      <c r="C804" s="274"/>
      <c r="D804" s="274"/>
      <c r="E804" s="274"/>
      <c r="F804" s="274"/>
      <c r="G804" s="274"/>
      <c r="H804" s="274"/>
      <c r="I804" s="274"/>
      <c r="J804" s="274"/>
      <c r="K804" s="274"/>
      <c r="L804" s="274"/>
      <c r="M804" s="274"/>
      <c r="N804" s="274"/>
      <c r="O804" s="274"/>
      <c r="P804" s="274"/>
      <c r="Q804" s="274"/>
      <c r="R804" s="316"/>
      <c r="W804" s="274"/>
      <c r="X804" s="274"/>
      <c r="Y804" s="274"/>
      <c r="Z804" s="274"/>
      <c r="AA804" s="274"/>
      <c r="AB804" s="274"/>
      <c r="AC804" s="274"/>
      <c r="AD804" s="274"/>
      <c r="AE804" s="274"/>
      <c r="AF804" s="274"/>
      <c r="AG804" s="274"/>
      <c r="AH804" s="274"/>
      <c r="AI804" s="274"/>
      <c r="AJ804" s="274"/>
      <c r="AK804" s="274"/>
      <c r="AL804" s="274"/>
      <c r="AM804" s="274"/>
      <c r="AN804" s="274"/>
      <c r="AO804" s="274"/>
      <c r="AP804" s="274"/>
      <c r="AQ804" s="274"/>
      <c r="AR804" s="274"/>
      <c r="AS804" s="274"/>
      <c r="AT804" s="274"/>
      <c r="AU804" s="274"/>
      <c r="AV804" s="274"/>
      <c r="AW804" s="274"/>
    </row>
    <row r="805" ht="15.75" customHeight="1">
      <c r="A805" s="274"/>
      <c r="B805" s="274"/>
      <c r="C805" s="274"/>
      <c r="D805" s="274"/>
      <c r="E805" s="274"/>
      <c r="F805" s="274"/>
      <c r="G805" s="274"/>
      <c r="H805" s="274"/>
      <c r="I805" s="274"/>
      <c r="J805" s="274"/>
      <c r="K805" s="274"/>
      <c r="L805" s="274"/>
      <c r="M805" s="274"/>
      <c r="N805" s="274"/>
      <c r="O805" s="274"/>
      <c r="P805" s="274"/>
      <c r="Q805" s="274"/>
      <c r="R805" s="316"/>
      <c r="W805" s="274"/>
      <c r="X805" s="274"/>
      <c r="Y805" s="274"/>
      <c r="Z805" s="274"/>
      <c r="AA805" s="274"/>
      <c r="AB805" s="274"/>
      <c r="AC805" s="274"/>
      <c r="AD805" s="274"/>
      <c r="AE805" s="274"/>
      <c r="AF805" s="274"/>
      <c r="AG805" s="274"/>
      <c r="AH805" s="274"/>
      <c r="AI805" s="274"/>
      <c r="AJ805" s="274"/>
      <c r="AK805" s="274"/>
      <c r="AL805" s="274"/>
      <c r="AM805" s="274"/>
      <c r="AN805" s="274"/>
      <c r="AO805" s="274"/>
      <c r="AP805" s="274"/>
      <c r="AQ805" s="274"/>
      <c r="AR805" s="274"/>
      <c r="AS805" s="274"/>
      <c r="AT805" s="274"/>
      <c r="AU805" s="274"/>
      <c r="AV805" s="274"/>
      <c r="AW805" s="274"/>
    </row>
    <row r="806" ht="15.75" customHeight="1">
      <c r="A806" s="274"/>
      <c r="B806" s="274"/>
      <c r="C806" s="274"/>
      <c r="D806" s="274"/>
      <c r="E806" s="274"/>
      <c r="F806" s="274"/>
      <c r="G806" s="274"/>
      <c r="H806" s="274"/>
      <c r="I806" s="274"/>
      <c r="J806" s="274"/>
      <c r="K806" s="274"/>
      <c r="L806" s="274"/>
      <c r="M806" s="274"/>
      <c r="N806" s="274"/>
      <c r="O806" s="274"/>
      <c r="P806" s="274"/>
      <c r="Q806" s="274"/>
      <c r="R806" s="316"/>
      <c r="W806" s="274"/>
      <c r="X806" s="274"/>
      <c r="Y806" s="274"/>
      <c r="Z806" s="274"/>
      <c r="AA806" s="274"/>
      <c r="AB806" s="274"/>
      <c r="AC806" s="274"/>
      <c r="AD806" s="274"/>
      <c r="AE806" s="274"/>
      <c r="AF806" s="274"/>
      <c r="AG806" s="274"/>
      <c r="AH806" s="274"/>
      <c r="AI806" s="274"/>
      <c r="AJ806" s="274"/>
      <c r="AK806" s="274"/>
      <c r="AL806" s="274"/>
      <c r="AM806" s="274"/>
      <c r="AN806" s="274"/>
      <c r="AO806" s="274"/>
      <c r="AP806" s="274"/>
      <c r="AQ806" s="274"/>
      <c r="AR806" s="274"/>
      <c r="AS806" s="274"/>
      <c r="AT806" s="274"/>
      <c r="AU806" s="274"/>
      <c r="AV806" s="274"/>
      <c r="AW806" s="274"/>
    </row>
    <row r="807" ht="15.75" customHeight="1">
      <c r="A807" s="274"/>
      <c r="B807" s="274"/>
      <c r="C807" s="274"/>
      <c r="D807" s="274"/>
      <c r="E807" s="274"/>
      <c r="F807" s="274"/>
      <c r="G807" s="274"/>
      <c r="H807" s="274"/>
      <c r="I807" s="274"/>
      <c r="J807" s="274"/>
      <c r="K807" s="274"/>
      <c r="L807" s="274"/>
      <c r="M807" s="274"/>
      <c r="N807" s="274"/>
      <c r="O807" s="274"/>
      <c r="P807" s="274"/>
      <c r="Q807" s="274"/>
      <c r="R807" s="316"/>
      <c r="W807" s="274"/>
      <c r="X807" s="274"/>
      <c r="Y807" s="274"/>
      <c r="Z807" s="274"/>
      <c r="AA807" s="274"/>
      <c r="AB807" s="274"/>
      <c r="AC807" s="274"/>
      <c r="AD807" s="274"/>
      <c r="AE807" s="274"/>
      <c r="AF807" s="274"/>
      <c r="AG807" s="274"/>
      <c r="AH807" s="274"/>
      <c r="AI807" s="274"/>
      <c r="AJ807" s="274"/>
      <c r="AK807" s="274"/>
      <c r="AL807" s="274"/>
      <c r="AM807" s="274"/>
      <c r="AN807" s="274"/>
      <c r="AO807" s="274"/>
      <c r="AP807" s="274"/>
      <c r="AQ807" s="274"/>
      <c r="AR807" s="274"/>
      <c r="AS807" s="274"/>
      <c r="AT807" s="274"/>
      <c r="AU807" s="274"/>
      <c r="AV807" s="274"/>
      <c r="AW807" s="274"/>
    </row>
    <row r="808" ht="15.75" customHeight="1">
      <c r="A808" s="274"/>
      <c r="B808" s="274"/>
      <c r="C808" s="274"/>
      <c r="D808" s="274"/>
      <c r="E808" s="274"/>
      <c r="F808" s="274"/>
      <c r="G808" s="274"/>
      <c r="H808" s="274"/>
      <c r="I808" s="274"/>
      <c r="J808" s="274"/>
      <c r="K808" s="274"/>
      <c r="L808" s="274"/>
      <c r="M808" s="274"/>
      <c r="N808" s="274"/>
      <c r="O808" s="274"/>
      <c r="P808" s="274"/>
      <c r="Q808" s="274"/>
      <c r="R808" s="316"/>
      <c r="W808" s="274"/>
      <c r="X808" s="274"/>
      <c r="Y808" s="274"/>
      <c r="Z808" s="274"/>
      <c r="AA808" s="274"/>
      <c r="AB808" s="274"/>
      <c r="AC808" s="274"/>
      <c r="AD808" s="274"/>
      <c r="AE808" s="274"/>
      <c r="AF808" s="274"/>
      <c r="AG808" s="274"/>
      <c r="AH808" s="274"/>
      <c r="AI808" s="274"/>
      <c r="AJ808" s="274"/>
      <c r="AK808" s="274"/>
      <c r="AL808" s="274"/>
      <c r="AM808" s="274"/>
      <c r="AN808" s="274"/>
      <c r="AO808" s="274"/>
      <c r="AP808" s="274"/>
      <c r="AQ808" s="274"/>
      <c r="AR808" s="274"/>
      <c r="AS808" s="274"/>
      <c r="AT808" s="274"/>
      <c r="AU808" s="274"/>
      <c r="AV808" s="274"/>
      <c r="AW808" s="274"/>
    </row>
    <row r="809" ht="15.75" customHeight="1">
      <c r="A809" s="274"/>
      <c r="B809" s="274"/>
      <c r="C809" s="274"/>
      <c r="D809" s="274"/>
      <c r="E809" s="274"/>
      <c r="F809" s="274"/>
      <c r="G809" s="274"/>
      <c r="H809" s="274"/>
      <c r="I809" s="274"/>
      <c r="J809" s="274"/>
      <c r="K809" s="274"/>
      <c r="L809" s="274"/>
      <c r="M809" s="274"/>
      <c r="N809" s="274"/>
      <c r="O809" s="274"/>
      <c r="P809" s="274"/>
      <c r="Q809" s="274"/>
      <c r="R809" s="316"/>
      <c r="W809" s="274"/>
      <c r="X809" s="274"/>
      <c r="Y809" s="274"/>
      <c r="Z809" s="274"/>
      <c r="AA809" s="274"/>
      <c r="AB809" s="274"/>
      <c r="AC809" s="274"/>
      <c r="AD809" s="274"/>
      <c r="AE809" s="274"/>
      <c r="AF809" s="274"/>
      <c r="AG809" s="274"/>
      <c r="AH809" s="274"/>
      <c r="AI809" s="274"/>
      <c r="AJ809" s="274"/>
      <c r="AK809" s="274"/>
      <c r="AL809" s="274"/>
      <c r="AM809" s="274"/>
      <c r="AN809" s="274"/>
      <c r="AO809" s="274"/>
      <c r="AP809" s="274"/>
      <c r="AQ809" s="274"/>
      <c r="AR809" s="274"/>
      <c r="AS809" s="274"/>
      <c r="AT809" s="274"/>
      <c r="AU809" s="274"/>
      <c r="AV809" s="274"/>
      <c r="AW809" s="274"/>
    </row>
    <row r="810" ht="15.75" customHeight="1">
      <c r="A810" s="274"/>
      <c r="B810" s="274"/>
      <c r="C810" s="274"/>
      <c r="D810" s="274"/>
      <c r="E810" s="274"/>
      <c r="F810" s="274"/>
      <c r="G810" s="274"/>
      <c r="H810" s="274"/>
      <c r="I810" s="274"/>
      <c r="J810" s="274"/>
      <c r="K810" s="274"/>
      <c r="L810" s="274"/>
      <c r="M810" s="274"/>
      <c r="N810" s="274"/>
      <c r="O810" s="274"/>
      <c r="P810" s="274"/>
      <c r="Q810" s="274"/>
      <c r="R810" s="316"/>
      <c r="W810" s="274"/>
      <c r="X810" s="274"/>
      <c r="Y810" s="274"/>
      <c r="Z810" s="274"/>
      <c r="AA810" s="274"/>
      <c r="AB810" s="274"/>
      <c r="AC810" s="274"/>
      <c r="AD810" s="274"/>
      <c r="AE810" s="274"/>
      <c r="AF810" s="274"/>
      <c r="AG810" s="274"/>
      <c r="AH810" s="274"/>
      <c r="AI810" s="274"/>
      <c r="AJ810" s="274"/>
      <c r="AK810" s="274"/>
      <c r="AL810" s="274"/>
      <c r="AM810" s="274"/>
      <c r="AN810" s="274"/>
      <c r="AO810" s="274"/>
      <c r="AP810" s="274"/>
      <c r="AQ810" s="274"/>
      <c r="AR810" s="274"/>
      <c r="AS810" s="274"/>
      <c r="AT810" s="274"/>
      <c r="AU810" s="274"/>
      <c r="AV810" s="274"/>
      <c r="AW810" s="274"/>
    </row>
    <row r="811" ht="15.75" customHeight="1">
      <c r="A811" s="274"/>
      <c r="B811" s="274"/>
      <c r="C811" s="274"/>
      <c r="D811" s="274"/>
      <c r="E811" s="274"/>
      <c r="F811" s="274"/>
      <c r="G811" s="274"/>
      <c r="H811" s="274"/>
      <c r="I811" s="274"/>
      <c r="J811" s="274"/>
      <c r="K811" s="274"/>
      <c r="L811" s="274"/>
      <c r="M811" s="274"/>
      <c r="N811" s="274"/>
      <c r="O811" s="274"/>
      <c r="P811" s="274"/>
      <c r="Q811" s="274"/>
      <c r="R811" s="316"/>
      <c r="W811" s="274"/>
      <c r="X811" s="274"/>
      <c r="Y811" s="274"/>
      <c r="Z811" s="274"/>
      <c r="AA811" s="274"/>
      <c r="AB811" s="274"/>
      <c r="AC811" s="274"/>
      <c r="AD811" s="274"/>
      <c r="AE811" s="274"/>
      <c r="AF811" s="274"/>
      <c r="AG811" s="274"/>
      <c r="AH811" s="274"/>
      <c r="AI811" s="274"/>
      <c r="AJ811" s="274"/>
      <c r="AK811" s="274"/>
      <c r="AL811" s="274"/>
      <c r="AM811" s="274"/>
      <c r="AN811" s="274"/>
      <c r="AO811" s="274"/>
      <c r="AP811" s="274"/>
      <c r="AQ811" s="274"/>
      <c r="AR811" s="274"/>
      <c r="AS811" s="274"/>
      <c r="AT811" s="274"/>
      <c r="AU811" s="274"/>
      <c r="AV811" s="274"/>
      <c r="AW811" s="274"/>
    </row>
    <row r="812" ht="15.75" customHeight="1">
      <c r="A812" s="274"/>
      <c r="B812" s="274"/>
      <c r="C812" s="274"/>
      <c r="D812" s="274"/>
      <c r="E812" s="274"/>
      <c r="F812" s="274"/>
      <c r="G812" s="274"/>
      <c r="H812" s="274"/>
      <c r="I812" s="274"/>
      <c r="J812" s="274"/>
      <c r="K812" s="274"/>
      <c r="L812" s="274"/>
      <c r="M812" s="274"/>
      <c r="N812" s="274"/>
      <c r="O812" s="274"/>
      <c r="P812" s="274"/>
      <c r="Q812" s="274"/>
      <c r="R812" s="316"/>
      <c r="W812" s="274"/>
      <c r="X812" s="274"/>
      <c r="Y812" s="274"/>
      <c r="Z812" s="274"/>
      <c r="AA812" s="274"/>
      <c r="AB812" s="274"/>
      <c r="AC812" s="274"/>
      <c r="AD812" s="274"/>
      <c r="AE812" s="274"/>
      <c r="AF812" s="274"/>
      <c r="AG812" s="274"/>
      <c r="AH812" s="274"/>
      <c r="AI812" s="274"/>
      <c r="AJ812" s="274"/>
      <c r="AK812" s="274"/>
      <c r="AL812" s="274"/>
      <c r="AM812" s="274"/>
      <c r="AN812" s="274"/>
      <c r="AO812" s="274"/>
      <c r="AP812" s="274"/>
      <c r="AQ812" s="274"/>
      <c r="AR812" s="274"/>
      <c r="AS812" s="274"/>
      <c r="AT812" s="274"/>
      <c r="AU812" s="274"/>
      <c r="AV812" s="274"/>
      <c r="AW812" s="274"/>
    </row>
    <row r="813" ht="15.75" customHeight="1">
      <c r="A813" s="274"/>
      <c r="B813" s="274"/>
      <c r="C813" s="274"/>
      <c r="D813" s="274"/>
      <c r="E813" s="274"/>
      <c r="F813" s="274"/>
      <c r="G813" s="274"/>
      <c r="H813" s="274"/>
      <c r="I813" s="274"/>
      <c r="J813" s="274"/>
      <c r="K813" s="274"/>
      <c r="L813" s="274"/>
      <c r="M813" s="274"/>
      <c r="N813" s="274"/>
      <c r="O813" s="274"/>
      <c r="P813" s="274"/>
      <c r="Q813" s="274"/>
      <c r="R813" s="316"/>
      <c r="W813" s="274"/>
      <c r="X813" s="274"/>
      <c r="Y813" s="274"/>
      <c r="Z813" s="274"/>
      <c r="AA813" s="274"/>
      <c r="AB813" s="274"/>
      <c r="AC813" s="274"/>
      <c r="AD813" s="274"/>
      <c r="AE813" s="274"/>
      <c r="AF813" s="274"/>
      <c r="AG813" s="274"/>
      <c r="AH813" s="274"/>
      <c r="AI813" s="274"/>
      <c r="AJ813" s="274"/>
      <c r="AK813" s="274"/>
      <c r="AL813" s="274"/>
      <c r="AM813" s="274"/>
      <c r="AN813" s="274"/>
      <c r="AO813" s="274"/>
      <c r="AP813" s="274"/>
      <c r="AQ813" s="274"/>
      <c r="AR813" s="274"/>
      <c r="AS813" s="274"/>
      <c r="AT813" s="274"/>
      <c r="AU813" s="274"/>
      <c r="AV813" s="274"/>
      <c r="AW813" s="274"/>
    </row>
    <row r="814" ht="15.75" customHeight="1">
      <c r="A814" s="274"/>
      <c r="B814" s="274"/>
      <c r="C814" s="274"/>
      <c r="D814" s="274"/>
      <c r="E814" s="274"/>
      <c r="F814" s="274"/>
      <c r="G814" s="274"/>
      <c r="H814" s="274"/>
      <c r="I814" s="274"/>
      <c r="J814" s="274"/>
      <c r="K814" s="274"/>
      <c r="L814" s="274"/>
      <c r="M814" s="274"/>
      <c r="N814" s="274"/>
      <c r="O814" s="274"/>
      <c r="P814" s="274"/>
      <c r="Q814" s="274"/>
      <c r="R814" s="316"/>
      <c r="W814" s="274"/>
      <c r="X814" s="274"/>
      <c r="Y814" s="274"/>
      <c r="Z814" s="274"/>
      <c r="AA814" s="274"/>
      <c r="AB814" s="274"/>
      <c r="AC814" s="274"/>
      <c r="AD814" s="274"/>
      <c r="AE814" s="274"/>
      <c r="AF814" s="274"/>
      <c r="AG814" s="274"/>
      <c r="AH814" s="274"/>
      <c r="AI814" s="274"/>
      <c r="AJ814" s="274"/>
      <c r="AK814" s="274"/>
      <c r="AL814" s="274"/>
      <c r="AM814" s="274"/>
      <c r="AN814" s="274"/>
      <c r="AO814" s="274"/>
      <c r="AP814" s="274"/>
      <c r="AQ814" s="274"/>
      <c r="AR814" s="274"/>
      <c r="AS814" s="274"/>
      <c r="AT814" s="274"/>
      <c r="AU814" s="274"/>
      <c r="AV814" s="274"/>
      <c r="AW814" s="274"/>
    </row>
    <row r="815" ht="15.75" customHeight="1">
      <c r="A815" s="274"/>
      <c r="B815" s="274"/>
      <c r="C815" s="274"/>
      <c r="D815" s="274"/>
      <c r="E815" s="274"/>
      <c r="F815" s="274"/>
      <c r="G815" s="274"/>
      <c r="H815" s="274"/>
      <c r="I815" s="274"/>
      <c r="J815" s="274"/>
      <c r="K815" s="274"/>
      <c r="L815" s="274"/>
      <c r="M815" s="274"/>
      <c r="N815" s="274"/>
      <c r="O815" s="274"/>
      <c r="P815" s="274"/>
      <c r="Q815" s="274"/>
      <c r="R815" s="316"/>
      <c r="W815" s="274"/>
      <c r="X815" s="274"/>
      <c r="Y815" s="274"/>
      <c r="Z815" s="274"/>
      <c r="AA815" s="274"/>
      <c r="AB815" s="274"/>
      <c r="AC815" s="274"/>
      <c r="AD815" s="274"/>
      <c r="AE815" s="274"/>
      <c r="AF815" s="274"/>
      <c r="AG815" s="274"/>
      <c r="AH815" s="274"/>
      <c r="AI815" s="274"/>
      <c r="AJ815" s="274"/>
      <c r="AK815" s="274"/>
      <c r="AL815" s="274"/>
      <c r="AM815" s="274"/>
      <c r="AN815" s="274"/>
      <c r="AO815" s="274"/>
      <c r="AP815" s="274"/>
      <c r="AQ815" s="274"/>
      <c r="AR815" s="274"/>
      <c r="AS815" s="274"/>
      <c r="AT815" s="274"/>
      <c r="AU815" s="274"/>
      <c r="AV815" s="274"/>
      <c r="AW815" s="274"/>
    </row>
    <row r="816" ht="15.75" customHeight="1">
      <c r="A816" s="274"/>
      <c r="B816" s="274"/>
      <c r="C816" s="274"/>
      <c r="D816" s="274"/>
      <c r="E816" s="274"/>
      <c r="F816" s="274"/>
      <c r="G816" s="274"/>
      <c r="H816" s="274"/>
      <c r="I816" s="274"/>
      <c r="J816" s="274"/>
      <c r="K816" s="274"/>
      <c r="L816" s="274"/>
      <c r="M816" s="274"/>
      <c r="N816" s="274"/>
      <c r="O816" s="274"/>
      <c r="P816" s="274"/>
      <c r="Q816" s="274"/>
      <c r="R816" s="316"/>
      <c r="W816" s="274"/>
      <c r="X816" s="274"/>
      <c r="Y816" s="274"/>
      <c r="Z816" s="274"/>
      <c r="AA816" s="274"/>
      <c r="AB816" s="274"/>
      <c r="AC816" s="274"/>
      <c r="AD816" s="274"/>
      <c r="AE816" s="274"/>
      <c r="AF816" s="274"/>
      <c r="AG816" s="274"/>
      <c r="AH816" s="274"/>
      <c r="AI816" s="274"/>
      <c r="AJ816" s="274"/>
      <c r="AK816" s="274"/>
      <c r="AL816" s="274"/>
      <c r="AM816" s="274"/>
      <c r="AN816" s="274"/>
      <c r="AO816" s="274"/>
      <c r="AP816" s="274"/>
      <c r="AQ816" s="274"/>
      <c r="AR816" s="274"/>
      <c r="AS816" s="274"/>
      <c r="AT816" s="274"/>
      <c r="AU816" s="274"/>
      <c r="AV816" s="274"/>
      <c r="AW816" s="274"/>
    </row>
    <row r="817" ht="15.75" customHeight="1">
      <c r="A817" s="274"/>
      <c r="B817" s="274"/>
      <c r="C817" s="274"/>
      <c r="D817" s="274"/>
      <c r="E817" s="274"/>
      <c r="F817" s="274"/>
      <c r="G817" s="274"/>
      <c r="H817" s="274"/>
      <c r="I817" s="274"/>
      <c r="J817" s="274"/>
      <c r="K817" s="274"/>
      <c r="L817" s="274"/>
      <c r="M817" s="274"/>
      <c r="N817" s="274"/>
      <c r="O817" s="274"/>
      <c r="P817" s="274"/>
      <c r="Q817" s="274"/>
      <c r="R817" s="316"/>
      <c r="W817" s="274"/>
      <c r="X817" s="274"/>
      <c r="Y817" s="274"/>
      <c r="Z817" s="274"/>
      <c r="AA817" s="274"/>
      <c r="AB817" s="274"/>
      <c r="AC817" s="274"/>
      <c r="AD817" s="274"/>
      <c r="AE817" s="274"/>
      <c r="AF817" s="274"/>
      <c r="AG817" s="274"/>
      <c r="AH817" s="274"/>
      <c r="AI817" s="274"/>
      <c r="AJ817" s="274"/>
      <c r="AK817" s="274"/>
      <c r="AL817" s="274"/>
      <c r="AM817" s="274"/>
      <c r="AN817" s="274"/>
      <c r="AO817" s="274"/>
      <c r="AP817" s="274"/>
      <c r="AQ817" s="274"/>
      <c r="AR817" s="274"/>
      <c r="AS817" s="274"/>
      <c r="AT817" s="274"/>
      <c r="AU817" s="274"/>
      <c r="AV817" s="274"/>
      <c r="AW817" s="274"/>
    </row>
    <row r="818" ht="15.75" customHeight="1">
      <c r="A818" s="274"/>
      <c r="B818" s="274"/>
      <c r="C818" s="274"/>
      <c r="D818" s="274"/>
      <c r="E818" s="274"/>
      <c r="F818" s="274"/>
      <c r="G818" s="274"/>
      <c r="H818" s="274"/>
      <c r="I818" s="274"/>
      <c r="J818" s="274"/>
      <c r="K818" s="274"/>
      <c r="L818" s="274"/>
      <c r="M818" s="274"/>
      <c r="N818" s="274"/>
      <c r="O818" s="274"/>
      <c r="P818" s="274"/>
      <c r="Q818" s="274"/>
      <c r="R818" s="316"/>
      <c r="W818" s="274"/>
      <c r="X818" s="274"/>
      <c r="Y818" s="274"/>
      <c r="Z818" s="274"/>
      <c r="AA818" s="274"/>
      <c r="AB818" s="274"/>
      <c r="AC818" s="274"/>
      <c r="AD818" s="274"/>
      <c r="AE818" s="274"/>
      <c r="AF818" s="274"/>
      <c r="AG818" s="274"/>
      <c r="AH818" s="274"/>
      <c r="AI818" s="274"/>
      <c r="AJ818" s="274"/>
      <c r="AK818" s="274"/>
      <c r="AL818" s="274"/>
      <c r="AM818" s="274"/>
      <c r="AN818" s="274"/>
      <c r="AO818" s="274"/>
      <c r="AP818" s="274"/>
      <c r="AQ818" s="274"/>
      <c r="AR818" s="274"/>
      <c r="AS818" s="274"/>
      <c r="AT818" s="274"/>
      <c r="AU818" s="274"/>
      <c r="AV818" s="274"/>
      <c r="AW818" s="274"/>
    </row>
    <row r="819" ht="15.75" customHeight="1">
      <c r="A819" s="274"/>
      <c r="B819" s="274"/>
      <c r="C819" s="274"/>
      <c r="D819" s="274"/>
      <c r="E819" s="274"/>
      <c r="F819" s="274"/>
      <c r="G819" s="274"/>
      <c r="H819" s="274"/>
      <c r="I819" s="274"/>
      <c r="J819" s="274"/>
      <c r="K819" s="274"/>
      <c r="L819" s="274"/>
      <c r="M819" s="274"/>
      <c r="N819" s="274"/>
      <c r="O819" s="274"/>
      <c r="P819" s="274"/>
      <c r="Q819" s="274"/>
      <c r="R819" s="316"/>
      <c r="W819" s="274"/>
      <c r="X819" s="274"/>
      <c r="Y819" s="274"/>
      <c r="Z819" s="274"/>
      <c r="AA819" s="274"/>
      <c r="AB819" s="274"/>
      <c r="AC819" s="274"/>
      <c r="AD819" s="274"/>
      <c r="AE819" s="274"/>
      <c r="AF819" s="274"/>
      <c r="AG819" s="274"/>
      <c r="AH819" s="274"/>
      <c r="AI819" s="274"/>
      <c r="AJ819" s="274"/>
      <c r="AK819" s="274"/>
      <c r="AL819" s="274"/>
      <c r="AM819" s="274"/>
      <c r="AN819" s="274"/>
      <c r="AO819" s="274"/>
      <c r="AP819" s="274"/>
      <c r="AQ819" s="274"/>
      <c r="AR819" s="274"/>
      <c r="AS819" s="274"/>
      <c r="AT819" s="274"/>
      <c r="AU819" s="274"/>
      <c r="AV819" s="274"/>
      <c r="AW819" s="274"/>
    </row>
    <row r="820" ht="15.75" customHeight="1">
      <c r="A820" s="274"/>
      <c r="B820" s="274"/>
      <c r="C820" s="274"/>
      <c r="D820" s="274"/>
      <c r="E820" s="274"/>
      <c r="F820" s="274"/>
      <c r="G820" s="274"/>
      <c r="H820" s="274"/>
      <c r="I820" s="274"/>
      <c r="J820" s="274"/>
      <c r="K820" s="274"/>
      <c r="L820" s="274"/>
      <c r="M820" s="274"/>
      <c r="N820" s="274"/>
      <c r="O820" s="274"/>
      <c r="P820" s="274"/>
      <c r="Q820" s="274"/>
      <c r="R820" s="316"/>
      <c r="W820" s="274"/>
      <c r="X820" s="274"/>
      <c r="Y820" s="274"/>
      <c r="Z820" s="274"/>
      <c r="AA820" s="274"/>
      <c r="AB820" s="274"/>
      <c r="AC820" s="274"/>
      <c r="AD820" s="274"/>
      <c r="AE820" s="274"/>
      <c r="AF820" s="274"/>
      <c r="AG820" s="274"/>
      <c r="AH820" s="274"/>
      <c r="AI820" s="274"/>
      <c r="AJ820" s="274"/>
      <c r="AK820" s="274"/>
      <c r="AL820" s="274"/>
      <c r="AM820" s="274"/>
      <c r="AN820" s="274"/>
      <c r="AO820" s="274"/>
      <c r="AP820" s="274"/>
      <c r="AQ820" s="274"/>
      <c r="AR820" s="274"/>
      <c r="AS820" s="274"/>
      <c r="AT820" s="274"/>
      <c r="AU820" s="274"/>
      <c r="AV820" s="274"/>
      <c r="AW820" s="274"/>
    </row>
    <row r="821" ht="15.75" customHeight="1">
      <c r="A821" s="274"/>
      <c r="B821" s="274"/>
      <c r="C821" s="274"/>
      <c r="D821" s="274"/>
      <c r="E821" s="274"/>
      <c r="F821" s="274"/>
      <c r="G821" s="274"/>
      <c r="H821" s="274"/>
      <c r="I821" s="274"/>
      <c r="J821" s="274"/>
      <c r="K821" s="274"/>
      <c r="L821" s="274"/>
      <c r="M821" s="274"/>
      <c r="N821" s="274"/>
      <c r="O821" s="274"/>
      <c r="P821" s="274"/>
      <c r="Q821" s="274"/>
      <c r="R821" s="316"/>
      <c r="W821" s="274"/>
      <c r="X821" s="274"/>
      <c r="Y821" s="274"/>
      <c r="Z821" s="274"/>
      <c r="AA821" s="274"/>
      <c r="AB821" s="274"/>
      <c r="AC821" s="274"/>
      <c r="AD821" s="274"/>
      <c r="AE821" s="274"/>
      <c r="AF821" s="274"/>
      <c r="AG821" s="274"/>
      <c r="AH821" s="274"/>
      <c r="AI821" s="274"/>
      <c r="AJ821" s="274"/>
      <c r="AK821" s="274"/>
      <c r="AL821" s="274"/>
      <c r="AM821" s="274"/>
      <c r="AN821" s="274"/>
      <c r="AO821" s="274"/>
      <c r="AP821" s="274"/>
      <c r="AQ821" s="274"/>
      <c r="AR821" s="274"/>
      <c r="AS821" s="274"/>
      <c r="AT821" s="274"/>
      <c r="AU821" s="274"/>
      <c r="AV821" s="274"/>
      <c r="AW821" s="274"/>
    </row>
    <row r="822" ht="15.75" customHeight="1">
      <c r="A822" s="274"/>
      <c r="B822" s="274"/>
      <c r="C822" s="274"/>
      <c r="D822" s="274"/>
      <c r="E822" s="274"/>
      <c r="F822" s="274"/>
      <c r="G822" s="274"/>
      <c r="H822" s="274"/>
      <c r="I822" s="274"/>
      <c r="J822" s="274"/>
      <c r="K822" s="274"/>
      <c r="L822" s="274"/>
      <c r="M822" s="274"/>
      <c r="N822" s="274"/>
      <c r="O822" s="274"/>
      <c r="P822" s="274"/>
      <c r="Q822" s="274"/>
      <c r="R822" s="316"/>
      <c r="W822" s="274"/>
      <c r="X822" s="274"/>
      <c r="Y822" s="274"/>
      <c r="Z822" s="274"/>
      <c r="AA822" s="274"/>
      <c r="AB822" s="274"/>
      <c r="AC822" s="274"/>
      <c r="AD822" s="274"/>
      <c r="AE822" s="274"/>
      <c r="AF822" s="274"/>
      <c r="AG822" s="274"/>
      <c r="AH822" s="274"/>
      <c r="AI822" s="274"/>
      <c r="AJ822" s="274"/>
      <c r="AK822" s="274"/>
      <c r="AL822" s="274"/>
      <c r="AM822" s="274"/>
      <c r="AN822" s="274"/>
      <c r="AO822" s="274"/>
      <c r="AP822" s="274"/>
      <c r="AQ822" s="274"/>
      <c r="AR822" s="274"/>
      <c r="AS822" s="274"/>
      <c r="AT822" s="274"/>
      <c r="AU822" s="274"/>
      <c r="AV822" s="274"/>
      <c r="AW822" s="274"/>
    </row>
    <row r="823" ht="15.75" customHeight="1">
      <c r="A823" s="274"/>
      <c r="B823" s="274"/>
      <c r="C823" s="274"/>
      <c r="D823" s="274"/>
      <c r="E823" s="274"/>
      <c r="F823" s="274"/>
      <c r="G823" s="274"/>
      <c r="H823" s="274"/>
      <c r="I823" s="274"/>
      <c r="J823" s="274"/>
      <c r="K823" s="274"/>
      <c r="L823" s="274"/>
      <c r="M823" s="274"/>
      <c r="N823" s="274"/>
      <c r="O823" s="274"/>
      <c r="P823" s="274"/>
      <c r="Q823" s="274"/>
      <c r="R823" s="316"/>
      <c r="W823" s="274"/>
      <c r="X823" s="274"/>
      <c r="Y823" s="274"/>
      <c r="Z823" s="274"/>
      <c r="AA823" s="274"/>
      <c r="AB823" s="274"/>
      <c r="AC823" s="274"/>
      <c r="AD823" s="274"/>
      <c r="AE823" s="274"/>
      <c r="AF823" s="274"/>
      <c r="AG823" s="274"/>
      <c r="AH823" s="274"/>
      <c r="AI823" s="274"/>
      <c r="AJ823" s="274"/>
      <c r="AK823" s="274"/>
      <c r="AL823" s="274"/>
      <c r="AM823" s="274"/>
      <c r="AN823" s="274"/>
      <c r="AO823" s="274"/>
      <c r="AP823" s="274"/>
      <c r="AQ823" s="274"/>
      <c r="AR823" s="274"/>
      <c r="AS823" s="274"/>
      <c r="AT823" s="274"/>
      <c r="AU823" s="274"/>
      <c r="AV823" s="274"/>
      <c r="AW823" s="274"/>
    </row>
    <row r="824" ht="15.75" customHeight="1">
      <c r="A824" s="274"/>
      <c r="B824" s="274"/>
      <c r="C824" s="274"/>
      <c r="D824" s="274"/>
      <c r="E824" s="274"/>
      <c r="F824" s="274"/>
      <c r="G824" s="274"/>
      <c r="H824" s="274"/>
      <c r="I824" s="274"/>
      <c r="J824" s="274"/>
      <c r="K824" s="274"/>
      <c r="L824" s="274"/>
      <c r="M824" s="274"/>
      <c r="N824" s="274"/>
      <c r="O824" s="274"/>
      <c r="P824" s="274"/>
      <c r="Q824" s="274"/>
      <c r="R824" s="316"/>
      <c r="W824" s="274"/>
      <c r="X824" s="274"/>
      <c r="Y824" s="274"/>
      <c r="Z824" s="274"/>
      <c r="AA824" s="274"/>
      <c r="AB824" s="274"/>
      <c r="AC824" s="274"/>
      <c r="AD824" s="274"/>
      <c r="AE824" s="274"/>
      <c r="AF824" s="274"/>
      <c r="AG824" s="274"/>
      <c r="AH824" s="274"/>
      <c r="AI824" s="274"/>
      <c r="AJ824" s="274"/>
      <c r="AK824" s="274"/>
      <c r="AL824" s="274"/>
      <c r="AM824" s="274"/>
      <c r="AN824" s="274"/>
      <c r="AO824" s="274"/>
      <c r="AP824" s="274"/>
      <c r="AQ824" s="274"/>
      <c r="AR824" s="274"/>
      <c r="AS824" s="274"/>
      <c r="AT824" s="274"/>
      <c r="AU824" s="274"/>
      <c r="AV824" s="274"/>
      <c r="AW824" s="274"/>
    </row>
    <row r="825" ht="15.75" customHeight="1">
      <c r="A825" s="274"/>
      <c r="B825" s="274"/>
      <c r="C825" s="274"/>
      <c r="D825" s="274"/>
      <c r="E825" s="274"/>
      <c r="F825" s="274"/>
      <c r="G825" s="274"/>
      <c r="H825" s="274"/>
      <c r="I825" s="274"/>
      <c r="J825" s="274"/>
      <c r="K825" s="274"/>
      <c r="L825" s="274"/>
      <c r="M825" s="274"/>
      <c r="N825" s="274"/>
      <c r="O825" s="274"/>
      <c r="P825" s="274"/>
      <c r="Q825" s="274"/>
      <c r="R825" s="316"/>
      <c r="W825" s="274"/>
      <c r="X825" s="274"/>
      <c r="Y825" s="274"/>
      <c r="Z825" s="274"/>
      <c r="AA825" s="274"/>
      <c r="AB825" s="274"/>
      <c r="AC825" s="274"/>
      <c r="AD825" s="274"/>
      <c r="AE825" s="274"/>
      <c r="AF825" s="274"/>
      <c r="AG825" s="274"/>
      <c r="AH825" s="274"/>
      <c r="AI825" s="274"/>
      <c r="AJ825" s="274"/>
      <c r="AK825" s="274"/>
      <c r="AL825" s="274"/>
      <c r="AM825" s="274"/>
      <c r="AN825" s="274"/>
      <c r="AO825" s="274"/>
      <c r="AP825" s="274"/>
      <c r="AQ825" s="274"/>
      <c r="AR825" s="274"/>
      <c r="AS825" s="274"/>
      <c r="AT825" s="274"/>
      <c r="AU825" s="274"/>
      <c r="AV825" s="274"/>
      <c r="AW825" s="274"/>
    </row>
    <row r="826" ht="15.75" customHeight="1">
      <c r="A826" s="274"/>
      <c r="B826" s="274"/>
      <c r="C826" s="274"/>
      <c r="D826" s="274"/>
      <c r="E826" s="274"/>
      <c r="F826" s="274"/>
      <c r="G826" s="274"/>
      <c r="H826" s="274"/>
      <c r="I826" s="274"/>
      <c r="J826" s="274"/>
      <c r="K826" s="274"/>
      <c r="L826" s="274"/>
      <c r="M826" s="274"/>
      <c r="N826" s="274"/>
      <c r="O826" s="274"/>
      <c r="P826" s="274"/>
      <c r="Q826" s="274"/>
      <c r="R826" s="316"/>
      <c r="W826" s="274"/>
      <c r="X826" s="274"/>
      <c r="Y826" s="274"/>
      <c r="Z826" s="274"/>
      <c r="AA826" s="274"/>
      <c r="AB826" s="274"/>
      <c r="AC826" s="274"/>
      <c r="AD826" s="274"/>
      <c r="AE826" s="274"/>
      <c r="AF826" s="274"/>
      <c r="AG826" s="274"/>
      <c r="AH826" s="274"/>
      <c r="AI826" s="274"/>
      <c r="AJ826" s="274"/>
      <c r="AK826" s="274"/>
      <c r="AL826" s="274"/>
      <c r="AM826" s="274"/>
      <c r="AN826" s="274"/>
      <c r="AO826" s="274"/>
      <c r="AP826" s="274"/>
      <c r="AQ826" s="274"/>
      <c r="AR826" s="274"/>
      <c r="AS826" s="274"/>
      <c r="AT826" s="274"/>
      <c r="AU826" s="274"/>
      <c r="AV826" s="274"/>
      <c r="AW826" s="274"/>
    </row>
    <row r="827" ht="15.75" customHeight="1">
      <c r="A827" s="274"/>
      <c r="B827" s="274"/>
      <c r="C827" s="274"/>
      <c r="D827" s="274"/>
      <c r="E827" s="274"/>
      <c r="F827" s="274"/>
      <c r="G827" s="274"/>
      <c r="H827" s="274"/>
      <c r="I827" s="274"/>
      <c r="J827" s="274"/>
      <c r="K827" s="274"/>
      <c r="L827" s="274"/>
      <c r="M827" s="274"/>
      <c r="N827" s="274"/>
      <c r="O827" s="274"/>
      <c r="P827" s="274"/>
      <c r="Q827" s="274"/>
      <c r="R827" s="316"/>
      <c r="W827" s="274"/>
      <c r="X827" s="274"/>
      <c r="Y827" s="274"/>
      <c r="Z827" s="274"/>
      <c r="AA827" s="274"/>
      <c r="AB827" s="274"/>
      <c r="AC827" s="274"/>
      <c r="AD827" s="274"/>
      <c r="AE827" s="274"/>
      <c r="AF827" s="274"/>
      <c r="AG827" s="274"/>
      <c r="AH827" s="274"/>
      <c r="AI827" s="274"/>
      <c r="AJ827" s="274"/>
      <c r="AK827" s="274"/>
      <c r="AL827" s="274"/>
      <c r="AM827" s="274"/>
      <c r="AN827" s="274"/>
      <c r="AO827" s="274"/>
      <c r="AP827" s="274"/>
      <c r="AQ827" s="274"/>
      <c r="AR827" s="274"/>
      <c r="AS827" s="274"/>
      <c r="AT827" s="274"/>
      <c r="AU827" s="274"/>
      <c r="AV827" s="274"/>
      <c r="AW827" s="274"/>
    </row>
    <row r="828" ht="15.75" customHeight="1">
      <c r="A828" s="274"/>
      <c r="B828" s="274"/>
      <c r="C828" s="274"/>
      <c r="D828" s="274"/>
      <c r="E828" s="274"/>
      <c r="F828" s="274"/>
      <c r="G828" s="274"/>
      <c r="H828" s="274"/>
      <c r="I828" s="274"/>
      <c r="J828" s="274"/>
      <c r="K828" s="274"/>
      <c r="L828" s="274"/>
      <c r="M828" s="274"/>
      <c r="N828" s="274"/>
      <c r="O828" s="274"/>
      <c r="P828" s="274"/>
      <c r="Q828" s="274"/>
      <c r="R828" s="316"/>
      <c r="W828" s="274"/>
      <c r="X828" s="274"/>
      <c r="Y828" s="274"/>
      <c r="Z828" s="274"/>
      <c r="AA828" s="274"/>
      <c r="AB828" s="274"/>
      <c r="AC828" s="274"/>
      <c r="AD828" s="274"/>
      <c r="AE828" s="274"/>
      <c r="AF828" s="274"/>
      <c r="AG828" s="274"/>
      <c r="AH828" s="274"/>
      <c r="AI828" s="274"/>
      <c r="AJ828" s="274"/>
      <c r="AK828" s="274"/>
      <c r="AL828" s="274"/>
      <c r="AM828" s="274"/>
      <c r="AN828" s="274"/>
      <c r="AO828" s="274"/>
      <c r="AP828" s="274"/>
      <c r="AQ828" s="274"/>
      <c r="AR828" s="274"/>
      <c r="AS828" s="274"/>
      <c r="AT828" s="274"/>
      <c r="AU828" s="274"/>
      <c r="AV828" s="274"/>
      <c r="AW828" s="274"/>
    </row>
    <row r="829" ht="15.75" customHeight="1">
      <c r="A829" s="274"/>
      <c r="B829" s="274"/>
      <c r="C829" s="274"/>
      <c r="D829" s="274"/>
      <c r="E829" s="274"/>
      <c r="F829" s="274"/>
      <c r="G829" s="274"/>
      <c r="H829" s="274"/>
      <c r="I829" s="274"/>
      <c r="J829" s="274"/>
      <c r="K829" s="274"/>
      <c r="L829" s="274"/>
      <c r="M829" s="274"/>
      <c r="N829" s="274"/>
      <c r="O829" s="274"/>
      <c r="P829" s="274"/>
      <c r="Q829" s="274"/>
      <c r="R829" s="316"/>
      <c r="W829" s="274"/>
      <c r="X829" s="274"/>
      <c r="Y829" s="274"/>
      <c r="Z829" s="274"/>
      <c r="AA829" s="274"/>
      <c r="AB829" s="274"/>
      <c r="AC829" s="274"/>
      <c r="AD829" s="274"/>
      <c r="AE829" s="274"/>
      <c r="AF829" s="274"/>
      <c r="AG829" s="274"/>
      <c r="AH829" s="274"/>
      <c r="AI829" s="274"/>
      <c r="AJ829" s="274"/>
      <c r="AK829" s="274"/>
      <c r="AL829" s="274"/>
      <c r="AM829" s="274"/>
      <c r="AN829" s="274"/>
      <c r="AO829" s="274"/>
      <c r="AP829" s="274"/>
      <c r="AQ829" s="274"/>
      <c r="AR829" s="274"/>
      <c r="AS829" s="274"/>
      <c r="AT829" s="274"/>
      <c r="AU829" s="274"/>
      <c r="AV829" s="274"/>
      <c r="AW829" s="274"/>
    </row>
    <row r="830" ht="15.75" customHeight="1">
      <c r="A830" s="274"/>
      <c r="B830" s="274"/>
      <c r="C830" s="274"/>
      <c r="D830" s="274"/>
      <c r="E830" s="274"/>
      <c r="F830" s="274"/>
      <c r="G830" s="274"/>
      <c r="H830" s="274"/>
      <c r="I830" s="274"/>
      <c r="J830" s="274"/>
      <c r="K830" s="274"/>
      <c r="L830" s="274"/>
      <c r="M830" s="274"/>
      <c r="N830" s="274"/>
      <c r="O830" s="274"/>
      <c r="P830" s="274"/>
      <c r="Q830" s="274"/>
      <c r="R830" s="316"/>
      <c r="W830" s="274"/>
      <c r="X830" s="274"/>
      <c r="Y830" s="274"/>
      <c r="Z830" s="274"/>
      <c r="AA830" s="274"/>
      <c r="AB830" s="274"/>
      <c r="AC830" s="274"/>
      <c r="AD830" s="274"/>
      <c r="AE830" s="274"/>
      <c r="AF830" s="274"/>
      <c r="AG830" s="274"/>
      <c r="AH830" s="274"/>
      <c r="AI830" s="274"/>
      <c r="AJ830" s="274"/>
      <c r="AK830" s="274"/>
      <c r="AL830" s="274"/>
      <c r="AM830" s="274"/>
      <c r="AN830" s="274"/>
      <c r="AO830" s="274"/>
      <c r="AP830" s="274"/>
      <c r="AQ830" s="274"/>
      <c r="AR830" s="274"/>
      <c r="AS830" s="274"/>
      <c r="AT830" s="274"/>
      <c r="AU830" s="274"/>
      <c r="AV830" s="274"/>
      <c r="AW830" s="274"/>
    </row>
    <row r="831" ht="15.75" customHeight="1">
      <c r="A831" s="274"/>
      <c r="B831" s="274"/>
      <c r="C831" s="274"/>
      <c r="D831" s="274"/>
      <c r="E831" s="274"/>
      <c r="F831" s="274"/>
      <c r="G831" s="274"/>
      <c r="H831" s="274"/>
      <c r="I831" s="274"/>
      <c r="J831" s="274"/>
      <c r="K831" s="274"/>
      <c r="L831" s="274"/>
      <c r="M831" s="274"/>
      <c r="N831" s="274"/>
      <c r="O831" s="274"/>
      <c r="P831" s="274"/>
      <c r="Q831" s="274"/>
      <c r="R831" s="316"/>
      <c r="W831" s="274"/>
      <c r="X831" s="274"/>
      <c r="Y831" s="274"/>
      <c r="Z831" s="274"/>
      <c r="AA831" s="274"/>
      <c r="AB831" s="274"/>
      <c r="AC831" s="274"/>
      <c r="AD831" s="274"/>
      <c r="AE831" s="274"/>
      <c r="AF831" s="274"/>
      <c r="AG831" s="274"/>
      <c r="AH831" s="274"/>
      <c r="AI831" s="274"/>
      <c r="AJ831" s="274"/>
      <c r="AK831" s="274"/>
      <c r="AL831" s="274"/>
      <c r="AM831" s="274"/>
      <c r="AN831" s="274"/>
      <c r="AO831" s="274"/>
      <c r="AP831" s="274"/>
      <c r="AQ831" s="274"/>
      <c r="AR831" s="274"/>
      <c r="AS831" s="274"/>
      <c r="AT831" s="274"/>
      <c r="AU831" s="274"/>
      <c r="AV831" s="274"/>
      <c r="AW831" s="274"/>
    </row>
    <row r="832" ht="15.75" customHeight="1">
      <c r="A832" s="274"/>
      <c r="B832" s="274"/>
      <c r="C832" s="274"/>
      <c r="D832" s="274"/>
      <c r="E832" s="274"/>
      <c r="F832" s="274"/>
      <c r="G832" s="274"/>
      <c r="H832" s="274"/>
      <c r="I832" s="274"/>
      <c r="J832" s="274"/>
      <c r="K832" s="274"/>
      <c r="L832" s="274"/>
      <c r="M832" s="274"/>
      <c r="N832" s="274"/>
      <c r="O832" s="274"/>
      <c r="P832" s="274"/>
      <c r="Q832" s="274"/>
      <c r="R832" s="316"/>
      <c r="W832" s="274"/>
      <c r="X832" s="274"/>
      <c r="Y832" s="274"/>
      <c r="Z832" s="274"/>
      <c r="AA832" s="274"/>
      <c r="AB832" s="274"/>
      <c r="AC832" s="274"/>
      <c r="AD832" s="274"/>
      <c r="AE832" s="274"/>
      <c r="AF832" s="274"/>
      <c r="AG832" s="274"/>
      <c r="AH832" s="274"/>
      <c r="AI832" s="274"/>
      <c r="AJ832" s="274"/>
      <c r="AK832" s="274"/>
      <c r="AL832" s="274"/>
      <c r="AM832" s="274"/>
      <c r="AN832" s="274"/>
      <c r="AO832" s="274"/>
      <c r="AP832" s="274"/>
      <c r="AQ832" s="274"/>
      <c r="AR832" s="274"/>
      <c r="AS832" s="274"/>
      <c r="AT832" s="274"/>
      <c r="AU832" s="274"/>
      <c r="AV832" s="274"/>
      <c r="AW832" s="274"/>
    </row>
    <row r="833" ht="15.75" customHeight="1">
      <c r="A833" s="274"/>
      <c r="B833" s="274"/>
      <c r="C833" s="274"/>
      <c r="D833" s="274"/>
      <c r="E833" s="274"/>
      <c r="F833" s="274"/>
      <c r="G833" s="274"/>
      <c r="H833" s="274"/>
      <c r="I833" s="274"/>
      <c r="J833" s="274"/>
      <c r="K833" s="274"/>
      <c r="L833" s="274"/>
      <c r="M833" s="274"/>
      <c r="N833" s="274"/>
      <c r="O833" s="274"/>
      <c r="P833" s="274"/>
      <c r="Q833" s="274"/>
      <c r="R833" s="316"/>
      <c r="W833" s="274"/>
      <c r="X833" s="274"/>
      <c r="Y833" s="274"/>
      <c r="Z833" s="274"/>
      <c r="AA833" s="274"/>
      <c r="AB833" s="274"/>
      <c r="AC833" s="274"/>
      <c r="AD833" s="274"/>
      <c r="AE833" s="274"/>
      <c r="AF833" s="274"/>
      <c r="AG833" s="274"/>
      <c r="AH833" s="274"/>
      <c r="AI833" s="274"/>
      <c r="AJ833" s="274"/>
      <c r="AK833" s="274"/>
      <c r="AL833" s="274"/>
      <c r="AM833" s="274"/>
      <c r="AN833" s="274"/>
      <c r="AO833" s="274"/>
      <c r="AP833" s="274"/>
      <c r="AQ833" s="274"/>
      <c r="AR833" s="274"/>
      <c r="AS833" s="274"/>
      <c r="AT833" s="274"/>
      <c r="AU833" s="274"/>
      <c r="AV833" s="274"/>
      <c r="AW833" s="274"/>
    </row>
    <row r="834" ht="15.75" customHeight="1">
      <c r="A834" s="274"/>
      <c r="B834" s="274"/>
      <c r="C834" s="274"/>
      <c r="D834" s="274"/>
      <c r="E834" s="274"/>
      <c r="F834" s="274"/>
      <c r="G834" s="274"/>
      <c r="H834" s="274"/>
      <c r="I834" s="274"/>
      <c r="J834" s="274"/>
      <c r="K834" s="274"/>
      <c r="L834" s="274"/>
      <c r="M834" s="274"/>
      <c r="N834" s="274"/>
      <c r="O834" s="274"/>
      <c r="P834" s="274"/>
      <c r="Q834" s="274"/>
      <c r="R834" s="316"/>
      <c r="W834" s="274"/>
      <c r="X834" s="274"/>
      <c r="Y834" s="274"/>
      <c r="Z834" s="274"/>
      <c r="AA834" s="274"/>
      <c r="AB834" s="274"/>
      <c r="AC834" s="274"/>
      <c r="AD834" s="274"/>
      <c r="AE834" s="274"/>
      <c r="AF834" s="274"/>
      <c r="AG834" s="274"/>
      <c r="AH834" s="274"/>
      <c r="AI834" s="274"/>
      <c r="AJ834" s="274"/>
      <c r="AK834" s="274"/>
      <c r="AL834" s="274"/>
      <c r="AM834" s="274"/>
      <c r="AN834" s="274"/>
      <c r="AO834" s="274"/>
      <c r="AP834" s="274"/>
      <c r="AQ834" s="274"/>
      <c r="AR834" s="274"/>
      <c r="AS834" s="274"/>
      <c r="AT834" s="274"/>
      <c r="AU834" s="274"/>
      <c r="AV834" s="274"/>
      <c r="AW834" s="274"/>
    </row>
    <row r="835" ht="15.75" customHeight="1">
      <c r="A835" s="274"/>
      <c r="B835" s="274"/>
      <c r="C835" s="274"/>
      <c r="D835" s="274"/>
      <c r="E835" s="274"/>
      <c r="F835" s="274"/>
      <c r="G835" s="274"/>
      <c r="H835" s="274"/>
      <c r="I835" s="274"/>
      <c r="J835" s="274"/>
      <c r="K835" s="274"/>
      <c r="L835" s="274"/>
      <c r="M835" s="274"/>
      <c r="N835" s="274"/>
      <c r="O835" s="274"/>
      <c r="P835" s="274"/>
      <c r="Q835" s="274"/>
      <c r="R835" s="316"/>
      <c r="W835" s="274"/>
      <c r="X835" s="274"/>
      <c r="Y835" s="274"/>
      <c r="Z835" s="274"/>
      <c r="AA835" s="274"/>
      <c r="AB835" s="274"/>
      <c r="AC835" s="274"/>
      <c r="AD835" s="274"/>
      <c r="AE835" s="274"/>
      <c r="AF835" s="274"/>
      <c r="AG835" s="274"/>
      <c r="AH835" s="274"/>
      <c r="AI835" s="274"/>
      <c r="AJ835" s="274"/>
      <c r="AK835" s="274"/>
      <c r="AL835" s="274"/>
      <c r="AM835" s="274"/>
      <c r="AN835" s="274"/>
      <c r="AO835" s="274"/>
      <c r="AP835" s="274"/>
      <c r="AQ835" s="274"/>
      <c r="AR835" s="274"/>
      <c r="AS835" s="274"/>
      <c r="AT835" s="274"/>
      <c r="AU835" s="274"/>
      <c r="AV835" s="274"/>
      <c r="AW835" s="274"/>
    </row>
    <row r="836" ht="15.75" customHeight="1">
      <c r="A836" s="274"/>
      <c r="B836" s="274"/>
      <c r="C836" s="274"/>
      <c r="D836" s="274"/>
      <c r="E836" s="274"/>
      <c r="F836" s="274"/>
      <c r="G836" s="274"/>
      <c r="H836" s="274"/>
      <c r="I836" s="274"/>
      <c r="J836" s="274"/>
      <c r="K836" s="274"/>
      <c r="L836" s="274"/>
      <c r="M836" s="274"/>
      <c r="N836" s="274"/>
      <c r="O836" s="274"/>
      <c r="P836" s="274"/>
      <c r="Q836" s="274"/>
      <c r="R836" s="316"/>
      <c r="W836" s="274"/>
      <c r="X836" s="274"/>
      <c r="Y836" s="274"/>
      <c r="Z836" s="274"/>
      <c r="AA836" s="274"/>
      <c r="AB836" s="274"/>
      <c r="AC836" s="274"/>
      <c r="AD836" s="274"/>
      <c r="AE836" s="274"/>
      <c r="AF836" s="274"/>
      <c r="AG836" s="274"/>
      <c r="AH836" s="274"/>
      <c r="AI836" s="274"/>
      <c r="AJ836" s="274"/>
      <c r="AK836" s="274"/>
      <c r="AL836" s="274"/>
      <c r="AM836" s="274"/>
      <c r="AN836" s="274"/>
      <c r="AO836" s="274"/>
      <c r="AP836" s="274"/>
      <c r="AQ836" s="274"/>
      <c r="AR836" s="274"/>
      <c r="AS836" s="274"/>
      <c r="AT836" s="274"/>
      <c r="AU836" s="274"/>
      <c r="AV836" s="274"/>
      <c r="AW836" s="274"/>
    </row>
    <row r="837" ht="15.75" customHeight="1">
      <c r="A837" s="274"/>
      <c r="B837" s="274"/>
      <c r="C837" s="274"/>
      <c r="D837" s="274"/>
      <c r="E837" s="274"/>
      <c r="F837" s="274"/>
      <c r="G837" s="274"/>
      <c r="H837" s="274"/>
      <c r="I837" s="274"/>
      <c r="J837" s="274"/>
      <c r="K837" s="274"/>
      <c r="L837" s="274"/>
      <c r="M837" s="274"/>
      <c r="N837" s="274"/>
      <c r="O837" s="274"/>
      <c r="P837" s="274"/>
      <c r="Q837" s="274"/>
      <c r="R837" s="316"/>
      <c r="W837" s="274"/>
      <c r="X837" s="274"/>
      <c r="Y837" s="274"/>
      <c r="Z837" s="274"/>
      <c r="AA837" s="274"/>
      <c r="AB837" s="274"/>
      <c r="AC837" s="274"/>
      <c r="AD837" s="274"/>
      <c r="AE837" s="274"/>
      <c r="AF837" s="274"/>
      <c r="AG837" s="274"/>
      <c r="AH837" s="274"/>
      <c r="AI837" s="274"/>
      <c r="AJ837" s="274"/>
      <c r="AK837" s="274"/>
      <c r="AL837" s="274"/>
      <c r="AM837" s="274"/>
      <c r="AN837" s="274"/>
      <c r="AO837" s="274"/>
      <c r="AP837" s="274"/>
      <c r="AQ837" s="274"/>
      <c r="AR837" s="274"/>
      <c r="AS837" s="274"/>
      <c r="AT837" s="274"/>
      <c r="AU837" s="274"/>
      <c r="AV837" s="274"/>
      <c r="AW837" s="274"/>
    </row>
    <row r="838" ht="15.75" customHeight="1">
      <c r="A838" s="274"/>
      <c r="B838" s="274"/>
      <c r="C838" s="274"/>
      <c r="D838" s="274"/>
      <c r="E838" s="274"/>
      <c r="F838" s="274"/>
      <c r="G838" s="274"/>
      <c r="H838" s="274"/>
      <c r="I838" s="274"/>
      <c r="J838" s="274"/>
      <c r="K838" s="274"/>
      <c r="L838" s="274"/>
      <c r="M838" s="274"/>
      <c r="N838" s="274"/>
      <c r="O838" s="274"/>
      <c r="P838" s="274"/>
      <c r="Q838" s="274"/>
      <c r="R838" s="316"/>
      <c r="W838" s="274"/>
      <c r="X838" s="274"/>
      <c r="Y838" s="274"/>
      <c r="Z838" s="274"/>
      <c r="AA838" s="274"/>
      <c r="AB838" s="274"/>
      <c r="AC838" s="274"/>
      <c r="AD838" s="274"/>
      <c r="AE838" s="274"/>
      <c r="AF838" s="274"/>
      <c r="AG838" s="274"/>
      <c r="AH838" s="274"/>
      <c r="AI838" s="274"/>
      <c r="AJ838" s="274"/>
      <c r="AK838" s="274"/>
      <c r="AL838" s="274"/>
      <c r="AM838" s="274"/>
      <c r="AN838" s="274"/>
      <c r="AO838" s="274"/>
      <c r="AP838" s="274"/>
      <c r="AQ838" s="274"/>
      <c r="AR838" s="274"/>
      <c r="AS838" s="274"/>
      <c r="AT838" s="274"/>
      <c r="AU838" s="274"/>
      <c r="AV838" s="274"/>
      <c r="AW838" s="274"/>
    </row>
    <row r="839" ht="15.75" customHeight="1">
      <c r="A839" s="274"/>
      <c r="B839" s="274"/>
      <c r="C839" s="274"/>
      <c r="D839" s="274"/>
      <c r="E839" s="274"/>
      <c r="F839" s="274"/>
      <c r="G839" s="274"/>
      <c r="H839" s="274"/>
      <c r="I839" s="274"/>
      <c r="J839" s="274"/>
      <c r="K839" s="274"/>
      <c r="L839" s="274"/>
      <c r="M839" s="274"/>
      <c r="N839" s="274"/>
      <c r="O839" s="274"/>
      <c r="P839" s="274"/>
      <c r="Q839" s="274"/>
      <c r="R839" s="316"/>
      <c r="W839" s="274"/>
      <c r="X839" s="274"/>
      <c r="Y839" s="274"/>
      <c r="Z839" s="274"/>
      <c r="AA839" s="274"/>
      <c r="AB839" s="274"/>
      <c r="AC839" s="274"/>
      <c r="AD839" s="274"/>
      <c r="AE839" s="274"/>
      <c r="AF839" s="274"/>
      <c r="AG839" s="274"/>
      <c r="AH839" s="274"/>
      <c r="AI839" s="274"/>
      <c r="AJ839" s="274"/>
      <c r="AK839" s="274"/>
      <c r="AL839" s="274"/>
      <c r="AM839" s="274"/>
      <c r="AN839" s="274"/>
      <c r="AO839" s="274"/>
      <c r="AP839" s="274"/>
      <c r="AQ839" s="274"/>
      <c r="AR839" s="274"/>
      <c r="AS839" s="274"/>
      <c r="AT839" s="274"/>
      <c r="AU839" s="274"/>
      <c r="AV839" s="274"/>
      <c r="AW839" s="274"/>
    </row>
    <row r="840" ht="15.75" customHeight="1">
      <c r="A840" s="274"/>
      <c r="B840" s="274"/>
      <c r="C840" s="274"/>
      <c r="D840" s="274"/>
      <c r="E840" s="274"/>
      <c r="F840" s="274"/>
      <c r="G840" s="274"/>
      <c r="H840" s="274"/>
      <c r="I840" s="274"/>
      <c r="J840" s="274"/>
      <c r="K840" s="274"/>
      <c r="L840" s="274"/>
      <c r="M840" s="274"/>
      <c r="N840" s="274"/>
      <c r="O840" s="274"/>
      <c r="P840" s="274"/>
      <c r="Q840" s="274"/>
      <c r="R840" s="316"/>
      <c r="W840" s="274"/>
      <c r="X840" s="274"/>
      <c r="Y840" s="274"/>
      <c r="Z840" s="274"/>
      <c r="AA840" s="274"/>
      <c r="AB840" s="274"/>
      <c r="AC840" s="274"/>
      <c r="AD840" s="274"/>
      <c r="AE840" s="274"/>
      <c r="AF840" s="274"/>
      <c r="AG840" s="274"/>
      <c r="AH840" s="274"/>
      <c r="AI840" s="274"/>
      <c r="AJ840" s="274"/>
      <c r="AK840" s="274"/>
      <c r="AL840" s="274"/>
      <c r="AM840" s="274"/>
      <c r="AN840" s="274"/>
      <c r="AO840" s="274"/>
      <c r="AP840" s="274"/>
      <c r="AQ840" s="274"/>
      <c r="AR840" s="274"/>
      <c r="AS840" s="274"/>
      <c r="AT840" s="274"/>
      <c r="AU840" s="274"/>
      <c r="AV840" s="274"/>
      <c r="AW840" s="274"/>
    </row>
    <row r="841" ht="15.75" customHeight="1">
      <c r="A841" s="274"/>
      <c r="B841" s="274"/>
      <c r="C841" s="274"/>
      <c r="D841" s="274"/>
      <c r="E841" s="274"/>
      <c r="F841" s="274"/>
      <c r="G841" s="274"/>
      <c r="H841" s="274"/>
      <c r="I841" s="274"/>
      <c r="J841" s="274"/>
      <c r="K841" s="274"/>
      <c r="L841" s="274"/>
      <c r="M841" s="274"/>
      <c r="N841" s="274"/>
      <c r="O841" s="274"/>
      <c r="P841" s="274"/>
      <c r="Q841" s="274"/>
      <c r="R841" s="316"/>
      <c r="W841" s="274"/>
      <c r="X841" s="274"/>
      <c r="Y841" s="274"/>
      <c r="Z841" s="274"/>
      <c r="AA841" s="274"/>
      <c r="AB841" s="274"/>
      <c r="AC841" s="274"/>
      <c r="AD841" s="274"/>
      <c r="AE841" s="274"/>
      <c r="AF841" s="274"/>
      <c r="AG841" s="274"/>
      <c r="AH841" s="274"/>
      <c r="AI841" s="274"/>
      <c r="AJ841" s="274"/>
      <c r="AK841" s="274"/>
      <c r="AL841" s="274"/>
      <c r="AM841" s="274"/>
      <c r="AN841" s="274"/>
      <c r="AO841" s="274"/>
      <c r="AP841" s="274"/>
      <c r="AQ841" s="274"/>
      <c r="AR841" s="274"/>
      <c r="AS841" s="274"/>
      <c r="AT841" s="274"/>
      <c r="AU841" s="274"/>
      <c r="AV841" s="274"/>
      <c r="AW841" s="274"/>
    </row>
    <row r="842" ht="15.75" customHeight="1">
      <c r="A842" s="274"/>
      <c r="B842" s="274"/>
      <c r="C842" s="274"/>
      <c r="D842" s="274"/>
      <c r="E842" s="274"/>
      <c r="F842" s="274"/>
      <c r="G842" s="274"/>
      <c r="H842" s="274"/>
      <c r="I842" s="274"/>
      <c r="J842" s="274"/>
      <c r="K842" s="274"/>
      <c r="L842" s="274"/>
      <c r="M842" s="274"/>
      <c r="N842" s="274"/>
      <c r="O842" s="274"/>
      <c r="P842" s="274"/>
      <c r="Q842" s="274"/>
      <c r="R842" s="316"/>
      <c r="W842" s="274"/>
      <c r="X842" s="274"/>
      <c r="Y842" s="274"/>
      <c r="Z842" s="274"/>
      <c r="AA842" s="274"/>
      <c r="AB842" s="274"/>
      <c r="AC842" s="274"/>
      <c r="AD842" s="274"/>
      <c r="AE842" s="274"/>
      <c r="AF842" s="274"/>
      <c r="AG842" s="274"/>
      <c r="AH842" s="274"/>
      <c r="AI842" s="274"/>
      <c r="AJ842" s="274"/>
      <c r="AK842" s="274"/>
      <c r="AL842" s="274"/>
      <c r="AM842" s="274"/>
      <c r="AN842" s="274"/>
      <c r="AO842" s="274"/>
      <c r="AP842" s="274"/>
      <c r="AQ842" s="274"/>
      <c r="AR842" s="274"/>
      <c r="AS842" s="274"/>
      <c r="AT842" s="274"/>
      <c r="AU842" s="274"/>
      <c r="AV842" s="274"/>
      <c r="AW842" s="274"/>
    </row>
    <row r="843" ht="15.75" customHeight="1">
      <c r="A843" s="274"/>
      <c r="B843" s="274"/>
      <c r="C843" s="274"/>
      <c r="D843" s="274"/>
      <c r="E843" s="274"/>
      <c r="F843" s="274"/>
      <c r="G843" s="274"/>
      <c r="H843" s="274"/>
      <c r="I843" s="274"/>
      <c r="J843" s="274"/>
      <c r="K843" s="274"/>
      <c r="L843" s="274"/>
      <c r="M843" s="274"/>
      <c r="N843" s="274"/>
      <c r="O843" s="274"/>
      <c r="P843" s="274"/>
      <c r="Q843" s="274"/>
      <c r="R843" s="316"/>
      <c r="W843" s="274"/>
      <c r="X843" s="274"/>
      <c r="Y843" s="274"/>
      <c r="Z843" s="274"/>
      <c r="AA843" s="274"/>
      <c r="AB843" s="274"/>
      <c r="AC843" s="274"/>
      <c r="AD843" s="274"/>
      <c r="AE843" s="274"/>
      <c r="AF843" s="274"/>
      <c r="AG843" s="274"/>
      <c r="AH843" s="274"/>
      <c r="AI843" s="274"/>
      <c r="AJ843" s="274"/>
      <c r="AK843" s="274"/>
      <c r="AL843" s="274"/>
      <c r="AM843" s="274"/>
      <c r="AN843" s="274"/>
      <c r="AO843" s="274"/>
      <c r="AP843" s="274"/>
      <c r="AQ843" s="274"/>
      <c r="AR843" s="274"/>
      <c r="AS843" s="274"/>
      <c r="AT843" s="274"/>
      <c r="AU843" s="274"/>
      <c r="AV843" s="274"/>
      <c r="AW843" s="274"/>
    </row>
    <row r="844" ht="15.75" customHeight="1">
      <c r="A844" s="274"/>
      <c r="B844" s="274"/>
      <c r="C844" s="274"/>
      <c r="D844" s="274"/>
      <c r="E844" s="274"/>
      <c r="F844" s="274"/>
      <c r="G844" s="274"/>
      <c r="H844" s="274"/>
      <c r="I844" s="274"/>
      <c r="J844" s="274"/>
      <c r="K844" s="274"/>
      <c r="L844" s="274"/>
      <c r="M844" s="274"/>
      <c r="N844" s="274"/>
      <c r="O844" s="274"/>
      <c r="P844" s="274"/>
      <c r="Q844" s="274"/>
      <c r="R844" s="316"/>
      <c r="W844" s="274"/>
      <c r="X844" s="274"/>
      <c r="Y844" s="274"/>
      <c r="Z844" s="274"/>
      <c r="AA844" s="274"/>
      <c r="AB844" s="274"/>
      <c r="AC844" s="274"/>
      <c r="AD844" s="274"/>
      <c r="AE844" s="274"/>
      <c r="AF844" s="274"/>
      <c r="AG844" s="274"/>
      <c r="AH844" s="274"/>
      <c r="AI844" s="274"/>
      <c r="AJ844" s="274"/>
      <c r="AK844" s="274"/>
      <c r="AL844" s="274"/>
      <c r="AM844" s="274"/>
      <c r="AN844" s="274"/>
      <c r="AO844" s="274"/>
      <c r="AP844" s="274"/>
      <c r="AQ844" s="274"/>
      <c r="AR844" s="274"/>
      <c r="AS844" s="274"/>
      <c r="AT844" s="274"/>
      <c r="AU844" s="274"/>
      <c r="AV844" s="274"/>
      <c r="AW844" s="274"/>
    </row>
    <row r="845" ht="15.75" customHeight="1">
      <c r="A845" s="274"/>
      <c r="B845" s="274"/>
      <c r="C845" s="274"/>
      <c r="D845" s="274"/>
      <c r="E845" s="274"/>
      <c r="F845" s="274"/>
      <c r="G845" s="274"/>
      <c r="H845" s="274"/>
      <c r="I845" s="274"/>
      <c r="J845" s="274"/>
      <c r="K845" s="274"/>
      <c r="L845" s="274"/>
      <c r="M845" s="274"/>
      <c r="N845" s="274"/>
      <c r="O845" s="274"/>
      <c r="P845" s="274"/>
      <c r="Q845" s="274"/>
      <c r="R845" s="316"/>
      <c r="W845" s="274"/>
      <c r="X845" s="274"/>
      <c r="Y845" s="274"/>
      <c r="Z845" s="274"/>
      <c r="AA845" s="274"/>
      <c r="AB845" s="274"/>
      <c r="AC845" s="274"/>
      <c r="AD845" s="274"/>
      <c r="AE845" s="274"/>
      <c r="AF845" s="274"/>
      <c r="AG845" s="274"/>
      <c r="AH845" s="274"/>
      <c r="AI845" s="274"/>
      <c r="AJ845" s="274"/>
      <c r="AK845" s="274"/>
      <c r="AL845" s="274"/>
      <c r="AM845" s="274"/>
      <c r="AN845" s="274"/>
      <c r="AO845" s="274"/>
      <c r="AP845" s="274"/>
      <c r="AQ845" s="274"/>
      <c r="AR845" s="274"/>
      <c r="AS845" s="274"/>
      <c r="AT845" s="274"/>
      <c r="AU845" s="274"/>
      <c r="AV845" s="274"/>
      <c r="AW845" s="274"/>
    </row>
    <row r="846" ht="15.75" customHeight="1">
      <c r="A846" s="274"/>
      <c r="B846" s="274"/>
      <c r="C846" s="274"/>
      <c r="D846" s="274"/>
      <c r="E846" s="274"/>
      <c r="F846" s="274"/>
      <c r="G846" s="274"/>
      <c r="H846" s="274"/>
      <c r="I846" s="274"/>
      <c r="J846" s="274"/>
      <c r="K846" s="274"/>
      <c r="L846" s="274"/>
      <c r="M846" s="274"/>
      <c r="N846" s="274"/>
      <c r="O846" s="274"/>
      <c r="P846" s="274"/>
      <c r="Q846" s="274"/>
      <c r="R846" s="316"/>
      <c r="W846" s="274"/>
      <c r="X846" s="274"/>
      <c r="Y846" s="274"/>
      <c r="Z846" s="274"/>
      <c r="AA846" s="274"/>
      <c r="AB846" s="274"/>
      <c r="AC846" s="274"/>
      <c r="AD846" s="274"/>
      <c r="AE846" s="274"/>
      <c r="AF846" s="274"/>
      <c r="AG846" s="274"/>
      <c r="AH846" s="274"/>
      <c r="AI846" s="274"/>
      <c r="AJ846" s="274"/>
      <c r="AK846" s="274"/>
      <c r="AL846" s="274"/>
      <c r="AM846" s="274"/>
      <c r="AN846" s="274"/>
      <c r="AO846" s="274"/>
      <c r="AP846" s="274"/>
      <c r="AQ846" s="274"/>
      <c r="AR846" s="274"/>
      <c r="AS846" s="274"/>
      <c r="AT846" s="274"/>
      <c r="AU846" s="274"/>
      <c r="AV846" s="274"/>
      <c r="AW846" s="274"/>
    </row>
    <row r="847" ht="15.75" customHeight="1">
      <c r="A847" s="274"/>
      <c r="B847" s="274"/>
      <c r="C847" s="274"/>
      <c r="D847" s="274"/>
      <c r="E847" s="274"/>
      <c r="F847" s="274"/>
      <c r="G847" s="274"/>
      <c r="H847" s="274"/>
      <c r="I847" s="274"/>
      <c r="J847" s="274"/>
      <c r="K847" s="274"/>
      <c r="L847" s="274"/>
      <c r="M847" s="274"/>
      <c r="N847" s="274"/>
      <c r="O847" s="274"/>
      <c r="P847" s="274"/>
      <c r="Q847" s="274"/>
      <c r="R847" s="316"/>
      <c r="W847" s="274"/>
      <c r="X847" s="274"/>
      <c r="Y847" s="274"/>
      <c r="Z847" s="274"/>
      <c r="AA847" s="274"/>
      <c r="AB847" s="274"/>
      <c r="AC847" s="274"/>
      <c r="AD847" s="274"/>
      <c r="AE847" s="274"/>
      <c r="AF847" s="274"/>
      <c r="AG847" s="274"/>
      <c r="AH847" s="274"/>
      <c r="AI847" s="274"/>
      <c r="AJ847" s="274"/>
      <c r="AK847" s="274"/>
      <c r="AL847" s="274"/>
      <c r="AM847" s="274"/>
      <c r="AN847" s="274"/>
      <c r="AO847" s="274"/>
      <c r="AP847" s="274"/>
      <c r="AQ847" s="274"/>
      <c r="AR847" s="274"/>
      <c r="AS847" s="274"/>
      <c r="AT847" s="274"/>
      <c r="AU847" s="274"/>
      <c r="AV847" s="274"/>
      <c r="AW847" s="274"/>
    </row>
    <row r="848" ht="15.75" customHeight="1">
      <c r="A848" s="274"/>
      <c r="B848" s="274"/>
      <c r="C848" s="274"/>
      <c r="D848" s="274"/>
      <c r="E848" s="274"/>
      <c r="F848" s="274"/>
      <c r="G848" s="274"/>
      <c r="H848" s="274"/>
      <c r="I848" s="274"/>
      <c r="J848" s="274"/>
      <c r="K848" s="274"/>
      <c r="L848" s="274"/>
      <c r="M848" s="274"/>
      <c r="N848" s="274"/>
      <c r="O848" s="274"/>
      <c r="P848" s="274"/>
      <c r="Q848" s="274"/>
      <c r="R848" s="316"/>
      <c r="W848" s="274"/>
      <c r="X848" s="274"/>
      <c r="Y848" s="274"/>
      <c r="Z848" s="274"/>
      <c r="AA848" s="274"/>
      <c r="AB848" s="274"/>
      <c r="AC848" s="274"/>
      <c r="AD848" s="274"/>
      <c r="AE848" s="274"/>
      <c r="AF848" s="274"/>
      <c r="AG848" s="274"/>
      <c r="AH848" s="274"/>
      <c r="AI848" s="274"/>
      <c r="AJ848" s="274"/>
      <c r="AK848" s="274"/>
      <c r="AL848" s="274"/>
      <c r="AM848" s="274"/>
      <c r="AN848" s="274"/>
      <c r="AO848" s="274"/>
      <c r="AP848" s="274"/>
      <c r="AQ848" s="274"/>
      <c r="AR848" s="274"/>
      <c r="AS848" s="274"/>
      <c r="AT848" s="274"/>
      <c r="AU848" s="274"/>
      <c r="AV848" s="274"/>
      <c r="AW848" s="274"/>
    </row>
    <row r="849" ht="15.75" customHeight="1">
      <c r="A849" s="274"/>
      <c r="B849" s="274"/>
      <c r="C849" s="274"/>
      <c r="D849" s="274"/>
      <c r="E849" s="274"/>
      <c r="F849" s="274"/>
      <c r="G849" s="274"/>
      <c r="H849" s="274"/>
      <c r="I849" s="274"/>
      <c r="J849" s="274"/>
      <c r="K849" s="274"/>
      <c r="L849" s="274"/>
      <c r="M849" s="274"/>
      <c r="N849" s="274"/>
      <c r="O849" s="274"/>
      <c r="P849" s="274"/>
      <c r="Q849" s="274"/>
      <c r="R849" s="316"/>
      <c r="W849" s="274"/>
      <c r="X849" s="274"/>
      <c r="Y849" s="274"/>
      <c r="Z849" s="274"/>
      <c r="AA849" s="274"/>
      <c r="AB849" s="274"/>
      <c r="AC849" s="274"/>
      <c r="AD849" s="274"/>
      <c r="AE849" s="274"/>
      <c r="AF849" s="274"/>
      <c r="AG849" s="274"/>
      <c r="AH849" s="274"/>
      <c r="AI849" s="274"/>
      <c r="AJ849" s="274"/>
      <c r="AK849" s="274"/>
      <c r="AL849" s="274"/>
      <c r="AM849" s="274"/>
      <c r="AN849" s="274"/>
      <c r="AO849" s="274"/>
      <c r="AP849" s="274"/>
      <c r="AQ849" s="274"/>
      <c r="AR849" s="274"/>
      <c r="AS849" s="274"/>
      <c r="AT849" s="274"/>
      <c r="AU849" s="274"/>
      <c r="AV849" s="274"/>
      <c r="AW849" s="274"/>
    </row>
    <row r="850" ht="15.75" customHeight="1">
      <c r="A850" s="274"/>
      <c r="B850" s="274"/>
      <c r="C850" s="274"/>
      <c r="D850" s="274"/>
      <c r="E850" s="274"/>
      <c r="F850" s="274"/>
      <c r="G850" s="274"/>
      <c r="H850" s="274"/>
      <c r="I850" s="274"/>
      <c r="J850" s="274"/>
      <c r="K850" s="274"/>
      <c r="L850" s="274"/>
      <c r="M850" s="274"/>
      <c r="N850" s="274"/>
      <c r="O850" s="274"/>
      <c r="P850" s="274"/>
      <c r="Q850" s="274"/>
      <c r="R850" s="316"/>
      <c r="W850" s="274"/>
      <c r="X850" s="274"/>
      <c r="Y850" s="274"/>
      <c r="Z850" s="274"/>
      <c r="AA850" s="274"/>
      <c r="AB850" s="274"/>
      <c r="AC850" s="274"/>
      <c r="AD850" s="274"/>
      <c r="AE850" s="274"/>
      <c r="AF850" s="274"/>
      <c r="AG850" s="274"/>
      <c r="AH850" s="274"/>
      <c r="AI850" s="274"/>
      <c r="AJ850" s="274"/>
      <c r="AK850" s="274"/>
      <c r="AL850" s="274"/>
      <c r="AM850" s="274"/>
      <c r="AN850" s="274"/>
      <c r="AO850" s="274"/>
      <c r="AP850" s="274"/>
      <c r="AQ850" s="274"/>
      <c r="AR850" s="274"/>
      <c r="AS850" s="274"/>
      <c r="AT850" s="274"/>
      <c r="AU850" s="274"/>
      <c r="AV850" s="274"/>
      <c r="AW850" s="274"/>
    </row>
    <row r="851" ht="15.75" customHeight="1">
      <c r="A851" s="274"/>
      <c r="B851" s="274"/>
      <c r="C851" s="274"/>
      <c r="D851" s="274"/>
      <c r="E851" s="274"/>
      <c r="F851" s="274"/>
      <c r="G851" s="274"/>
      <c r="H851" s="274"/>
      <c r="I851" s="274"/>
      <c r="J851" s="274"/>
      <c r="K851" s="274"/>
      <c r="L851" s="274"/>
      <c r="M851" s="274"/>
      <c r="N851" s="274"/>
      <c r="O851" s="274"/>
      <c r="P851" s="274"/>
      <c r="Q851" s="274"/>
      <c r="R851" s="316"/>
      <c r="W851" s="274"/>
      <c r="X851" s="274"/>
      <c r="Y851" s="274"/>
      <c r="Z851" s="274"/>
      <c r="AA851" s="274"/>
      <c r="AB851" s="274"/>
      <c r="AC851" s="274"/>
      <c r="AD851" s="274"/>
      <c r="AE851" s="274"/>
      <c r="AF851" s="274"/>
      <c r="AG851" s="274"/>
      <c r="AH851" s="274"/>
      <c r="AI851" s="274"/>
      <c r="AJ851" s="274"/>
      <c r="AK851" s="274"/>
      <c r="AL851" s="274"/>
      <c r="AM851" s="274"/>
      <c r="AN851" s="274"/>
      <c r="AO851" s="274"/>
      <c r="AP851" s="274"/>
      <c r="AQ851" s="274"/>
      <c r="AR851" s="274"/>
      <c r="AS851" s="274"/>
      <c r="AT851" s="274"/>
      <c r="AU851" s="274"/>
      <c r="AV851" s="274"/>
      <c r="AW851" s="274"/>
    </row>
    <row r="852" ht="15.75" customHeight="1">
      <c r="A852" s="274"/>
      <c r="B852" s="274"/>
      <c r="C852" s="274"/>
      <c r="D852" s="274"/>
      <c r="E852" s="274"/>
      <c r="F852" s="274"/>
      <c r="G852" s="274"/>
      <c r="H852" s="274"/>
      <c r="I852" s="274"/>
      <c r="J852" s="274"/>
      <c r="K852" s="274"/>
      <c r="L852" s="274"/>
      <c r="M852" s="274"/>
      <c r="N852" s="274"/>
      <c r="O852" s="274"/>
      <c r="P852" s="274"/>
      <c r="Q852" s="274"/>
      <c r="R852" s="316"/>
      <c r="W852" s="274"/>
      <c r="X852" s="274"/>
      <c r="Y852" s="274"/>
      <c r="Z852" s="274"/>
      <c r="AA852" s="274"/>
      <c r="AB852" s="274"/>
      <c r="AC852" s="274"/>
      <c r="AD852" s="274"/>
      <c r="AE852" s="274"/>
      <c r="AF852" s="274"/>
      <c r="AG852" s="274"/>
      <c r="AH852" s="274"/>
      <c r="AI852" s="274"/>
      <c r="AJ852" s="274"/>
      <c r="AK852" s="274"/>
      <c r="AL852" s="274"/>
      <c r="AM852" s="274"/>
      <c r="AN852" s="274"/>
      <c r="AO852" s="274"/>
      <c r="AP852" s="274"/>
      <c r="AQ852" s="274"/>
      <c r="AR852" s="274"/>
      <c r="AS852" s="274"/>
      <c r="AT852" s="274"/>
      <c r="AU852" s="274"/>
      <c r="AV852" s="274"/>
      <c r="AW852" s="274"/>
    </row>
    <row r="853" ht="15.75" customHeight="1">
      <c r="A853" s="274"/>
      <c r="B853" s="274"/>
      <c r="C853" s="274"/>
      <c r="D853" s="274"/>
      <c r="E853" s="274"/>
      <c r="F853" s="274"/>
      <c r="G853" s="274"/>
      <c r="H853" s="274"/>
      <c r="I853" s="274"/>
      <c r="J853" s="274"/>
      <c r="K853" s="274"/>
      <c r="L853" s="274"/>
      <c r="M853" s="274"/>
      <c r="N853" s="274"/>
      <c r="O853" s="274"/>
      <c r="P853" s="274"/>
      <c r="Q853" s="274"/>
      <c r="R853" s="316"/>
      <c r="W853" s="274"/>
      <c r="X853" s="274"/>
      <c r="Y853" s="274"/>
      <c r="Z853" s="274"/>
      <c r="AA853" s="274"/>
      <c r="AB853" s="274"/>
      <c r="AC853" s="274"/>
      <c r="AD853" s="274"/>
      <c r="AE853" s="274"/>
      <c r="AF853" s="274"/>
      <c r="AG853" s="274"/>
      <c r="AH853" s="274"/>
      <c r="AI853" s="274"/>
      <c r="AJ853" s="274"/>
      <c r="AK853" s="274"/>
      <c r="AL853" s="274"/>
      <c r="AM853" s="274"/>
      <c r="AN853" s="274"/>
      <c r="AO853" s="274"/>
      <c r="AP853" s="274"/>
      <c r="AQ853" s="274"/>
      <c r="AR853" s="274"/>
      <c r="AS853" s="274"/>
      <c r="AT853" s="274"/>
      <c r="AU853" s="274"/>
      <c r="AV853" s="274"/>
      <c r="AW853" s="274"/>
    </row>
    <row r="854" ht="15.75" customHeight="1">
      <c r="A854" s="274"/>
      <c r="B854" s="274"/>
      <c r="C854" s="274"/>
      <c r="D854" s="274"/>
      <c r="E854" s="274"/>
      <c r="F854" s="274"/>
      <c r="G854" s="274"/>
      <c r="H854" s="274"/>
      <c r="I854" s="274"/>
      <c r="J854" s="274"/>
      <c r="K854" s="274"/>
      <c r="L854" s="274"/>
      <c r="M854" s="274"/>
      <c r="N854" s="274"/>
      <c r="O854" s="274"/>
      <c r="P854" s="274"/>
      <c r="Q854" s="274"/>
      <c r="R854" s="316"/>
      <c r="W854" s="274"/>
      <c r="X854" s="274"/>
      <c r="Y854" s="274"/>
      <c r="Z854" s="274"/>
      <c r="AA854" s="274"/>
      <c r="AB854" s="274"/>
      <c r="AC854" s="274"/>
      <c r="AD854" s="274"/>
      <c r="AE854" s="274"/>
      <c r="AF854" s="274"/>
      <c r="AG854" s="274"/>
      <c r="AH854" s="274"/>
      <c r="AI854" s="274"/>
      <c r="AJ854" s="274"/>
      <c r="AK854" s="274"/>
      <c r="AL854" s="274"/>
      <c r="AM854" s="274"/>
      <c r="AN854" s="274"/>
      <c r="AO854" s="274"/>
      <c r="AP854" s="274"/>
      <c r="AQ854" s="274"/>
      <c r="AR854" s="274"/>
      <c r="AS854" s="274"/>
      <c r="AT854" s="274"/>
      <c r="AU854" s="274"/>
      <c r="AV854" s="274"/>
      <c r="AW854" s="274"/>
    </row>
    <row r="855" ht="15.75" customHeight="1">
      <c r="A855" s="274"/>
      <c r="B855" s="274"/>
      <c r="C855" s="274"/>
      <c r="D855" s="274"/>
      <c r="E855" s="274"/>
      <c r="F855" s="274"/>
      <c r="G855" s="274"/>
      <c r="H855" s="274"/>
      <c r="I855" s="274"/>
      <c r="J855" s="274"/>
      <c r="K855" s="274"/>
      <c r="L855" s="274"/>
      <c r="M855" s="274"/>
      <c r="N855" s="274"/>
      <c r="O855" s="274"/>
      <c r="P855" s="274"/>
      <c r="Q855" s="274"/>
      <c r="R855" s="316"/>
      <c r="W855" s="274"/>
      <c r="X855" s="274"/>
      <c r="Y855" s="274"/>
      <c r="Z855" s="274"/>
      <c r="AA855" s="274"/>
      <c r="AB855" s="274"/>
      <c r="AC855" s="274"/>
      <c r="AD855" s="274"/>
      <c r="AE855" s="274"/>
      <c r="AF855" s="274"/>
      <c r="AG855" s="274"/>
      <c r="AH855" s="274"/>
      <c r="AI855" s="274"/>
      <c r="AJ855" s="274"/>
      <c r="AK855" s="274"/>
      <c r="AL855" s="274"/>
      <c r="AM855" s="274"/>
      <c r="AN855" s="274"/>
      <c r="AO855" s="274"/>
      <c r="AP855" s="274"/>
      <c r="AQ855" s="274"/>
      <c r="AR855" s="274"/>
      <c r="AS855" s="274"/>
      <c r="AT855" s="274"/>
      <c r="AU855" s="274"/>
      <c r="AV855" s="274"/>
      <c r="AW855" s="274"/>
    </row>
    <row r="856" ht="15.75" customHeight="1">
      <c r="A856" s="274"/>
      <c r="B856" s="274"/>
      <c r="C856" s="274"/>
      <c r="D856" s="274"/>
      <c r="E856" s="274"/>
      <c r="F856" s="274"/>
      <c r="G856" s="274"/>
      <c r="H856" s="274"/>
      <c r="I856" s="274"/>
      <c r="J856" s="274"/>
      <c r="K856" s="274"/>
      <c r="L856" s="274"/>
      <c r="M856" s="274"/>
      <c r="N856" s="274"/>
      <c r="O856" s="274"/>
      <c r="P856" s="274"/>
      <c r="Q856" s="274"/>
      <c r="R856" s="316"/>
      <c r="W856" s="274"/>
      <c r="X856" s="274"/>
      <c r="Y856" s="274"/>
      <c r="Z856" s="274"/>
      <c r="AA856" s="274"/>
      <c r="AB856" s="274"/>
      <c r="AC856" s="274"/>
      <c r="AD856" s="274"/>
      <c r="AE856" s="274"/>
      <c r="AF856" s="274"/>
      <c r="AG856" s="274"/>
      <c r="AH856" s="274"/>
      <c r="AI856" s="274"/>
      <c r="AJ856" s="274"/>
      <c r="AK856" s="274"/>
      <c r="AL856" s="274"/>
      <c r="AM856" s="274"/>
      <c r="AN856" s="274"/>
      <c r="AO856" s="274"/>
      <c r="AP856" s="274"/>
      <c r="AQ856" s="274"/>
      <c r="AR856" s="274"/>
      <c r="AS856" s="274"/>
      <c r="AT856" s="274"/>
      <c r="AU856" s="274"/>
      <c r="AV856" s="274"/>
      <c r="AW856" s="274"/>
    </row>
    <row r="857" ht="15.75" customHeight="1">
      <c r="A857" s="274"/>
      <c r="B857" s="274"/>
      <c r="C857" s="274"/>
      <c r="D857" s="274"/>
      <c r="E857" s="274"/>
      <c r="F857" s="274"/>
      <c r="G857" s="274"/>
      <c r="H857" s="274"/>
      <c r="I857" s="274"/>
      <c r="J857" s="274"/>
      <c r="K857" s="274"/>
      <c r="L857" s="274"/>
      <c r="M857" s="274"/>
      <c r="N857" s="274"/>
      <c r="O857" s="274"/>
      <c r="P857" s="274"/>
      <c r="Q857" s="274"/>
      <c r="R857" s="316"/>
      <c r="W857" s="274"/>
      <c r="X857" s="274"/>
      <c r="Y857" s="274"/>
      <c r="Z857" s="274"/>
      <c r="AA857" s="274"/>
      <c r="AB857" s="274"/>
      <c r="AC857" s="274"/>
      <c r="AD857" s="274"/>
      <c r="AE857" s="274"/>
      <c r="AF857" s="274"/>
      <c r="AG857" s="274"/>
      <c r="AH857" s="274"/>
      <c r="AI857" s="274"/>
      <c r="AJ857" s="274"/>
      <c r="AK857" s="274"/>
      <c r="AL857" s="274"/>
      <c r="AM857" s="274"/>
      <c r="AN857" s="274"/>
      <c r="AO857" s="274"/>
      <c r="AP857" s="274"/>
      <c r="AQ857" s="274"/>
      <c r="AR857" s="274"/>
      <c r="AS857" s="274"/>
      <c r="AT857" s="274"/>
      <c r="AU857" s="274"/>
      <c r="AV857" s="274"/>
      <c r="AW857" s="274"/>
    </row>
    <row r="858" ht="15.75" customHeight="1">
      <c r="A858" s="274"/>
      <c r="B858" s="274"/>
      <c r="C858" s="274"/>
      <c r="D858" s="274"/>
      <c r="E858" s="274"/>
      <c r="F858" s="274"/>
      <c r="G858" s="274"/>
      <c r="H858" s="274"/>
      <c r="I858" s="274"/>
      <c r="J858" s="274"/>
      <c r="K858" s="274"/>
      <c r="L858" s="274"/>
      <c r="M858" s="274"/>
      <c r="N858" s="274"/>
      <c r="O858" s="274"/>
      <c r="P858" s="274"/>
      <c r="Q858" s="274"/>
      <c r="R858" s="316"/>
      <c r="W858" s="274"/>
      <c r="X858" s="274"/>
      <c r="Y858" s="274"/>
      <c r="Z858" s="274"/>
      <c r="AA858" s="274"/>
      <c r="AB858" s="274"/>
      <c r="AC858" s="274"/>
      <c r="AD858" s="274"/>
      <c r="AE858" s="274"/>
      <c r="AF858" s="274"/>
      <c r="AG858" s="274"/>
      <c r="AH858" s="274"/>
      <c r="AI858" s="274"/>
      <c r="AJ858" s="274"/>
      <c r="AK858" s="274"/>
      <c r="AL858" s="274"/>
      <c r="AM858" s="274"/>
      <c r="AN858" s="274"/>
      <c r="AO858" s="274"/>
      <c r="AP858" s="274"/>
      <c r="AQ858" s="274"/>
      <c r="AR858" s="274"/>
      <c r="AS858" s="274"/>
      <c r="AT858" s="274"/>
      <c r="AU858" s="274"/>
      <c r="AV858" s="274"/>
      <c r="AW858" s="274"/>
    </row>
    <row r="859" ht="15.75" customHeight="1">
      <c r="A859" s="274"/>
      <c r="B859" s="274"/>
      <c r="C859" s="274"/>
      <c r="D859" s="274"/>
      <c r="E859" s="274"/>
      <c r="F859" s="274"/>
      <c r="G859" s="274"/>
      <c r="H859" s="274"/>
      <c r="I859" s="274"/>
      <c r="J859" s="274"/>
      <c r="K859" s="274"/>
      <c r="L859" s="274"/>
      <c r="M859" s="274"/>
      <c r="N859" s="274"/>
      <c r="O859" s="274"/>
      <c r="P859" s="274"/>
      <c r="Q859" s="274"/>
      <c r="R859" s="316"/>
      <c r="W859" s="274"/>
      <c r="X859" s="274"/>
      <c r="Y859" s="274"/>
      <c r="Z859" s="274"/>
      <c r="AA859" s="274"/>
      <c r="AB859" s="274"/>
      <c r="AC859" s="274"/>
      <c r="AD859" s="274"/>
      <c r="AE859" s="274"/>
      <c r="AF859" s="274"/>
      <c r="AG859" s="274"/>
      <c r="AH859" s="274"/>
      <c r="AI859" s="274"/>
      <c r="AJ859" s="274"/>
      <c r="AK859" s="274"/>
      <c r="AL859" s="274"/>
      <c r="AM859" s="274"/>
      <c r="AN859" s="274"/>
      <c r="AO859" s="274"/>
      <c r="AP859" s="274"/>
      <c r="AQ859" s="274"/>
      <c r="AR859" s="274"/>
      <c r="AS859" s="274"/>
      <c r="AT859" s="274"/>
      <c r="AU859" s="274"/>
      <c r="AV859" s="274"/>
      <c r="AW859" s="274"/>
    </row>
    <row r="860" ht="15.75" customHeight="1">
      <c r="A860" s="274"/>
      <c r="B860" s="274"/>
      <c r="C860" s="274"/>
      <c r="D860" s="274"/>
      <c r="E860" s="274"/>
      <c r="F860" s="274"/>
      <c r="G860" s="274"/>
      <c r="H860" s="274"/>
      <c r="I860" s="274"/>
      <c r="J860" s="274"/>
      <c r="K860" s="274"/>
      <c r="L860" s="274"/>
      <c r="M860" s="274"/>
      <c r="N860" s="274"/>
      <c r="O860" s="274"/>
      <c r="P860" s="274"/>
      <c r="Q860" s="274"/>
      <c r="R860" s="316"/>
      <c r="W860" s="274"/>
      <c r="X860" s="274"/>
      <c r="Y860" s="274"/>
      <c r="Z860" s="274"/>
      <c r="AA860" s="274"/>
      <c r="AB860" s="274"/>
      <c r="AC860" s="274"/>
      <c r="AD860" s="274"/>
      <c r="AE860" s="274"/>
      <c r="AF860" s="274"/>
      <c r="AG860" s="274"/>
      <c r="AH860" s="274"/>
      <c r="AI860" s="274"/>
      <c r="AJ860" s="274"/>
      <c r="AK860" s="274"/>
      <c r="AL860" s="274"/>
      <c r="AM860" s="274"/>
      <c r="AN860" s="274"/>
      <c r="AO860" s="274"/>
      <c r="AP860" s="274"/>
      <c r="AQ860" s="274"/>
      <c r="AR860" s="274"/>
      <c r="AS860" s="274"/>
      <c r="AT860" s="274"/>
      <c r="AU860" s="274"/>
      <c r="AV860" s="274"/>
      <c r="AW860" s="274"/>
    </row>
    <row r="861" ht="15.75" customHeight="1">
      <c r="A861" s="274"/>
      <c r="B861" s="274"/>
      <c r="C861" s="274"/>
      <c r="D861" s="274"/>
      <c r="E861" s="274"/>
      <c r="F861" s="274"/>
      <c r="G861" s="274"/>
      <c r="H861" s="274"/>
      <c r="I861" s="274"/>
      <c r="J861" s="274"/>
      <c r="K861" s="274"/>
      <c r="L861" s="274"/>
      <c r="M861" s="274"/>
      <c r="N861" s="274"/>
      <c r="O861" s="274"/>
      <c r="P861" s="274"/>
      <c r="Q861" s="274"/>
      <c r="R861" s="316"/>
      <c r="W861" s="274"/>
      <c r="X861" s="274"/>
      <c r="Y861" s="274"/>
      <c r="Z861" s="274"/>
      <c r="AA861" s="274"/>
      <c r="AB861" s="274"/>
      <c r="AC861" s="274"/>
      <c r="AD861" s="274"/>
      <c r="AE861" s="274"/>
      <c r="AF861" s="274"/>
      <c r="AG861" s="274"/>
      <c r="AH861" s="274"/>
      <c r="AI861" s="274"/>
      <c r="AJ861" s="274"/>
      <c r="AK861" s="274"/>
      <c r="AL861" s="274"/>
      <c r="AM861" s="274"/>
      <c r="AN861" s="274"/>
      <c r="AO861" s="274"/>
      <c r="AP861" s="274"/>
      <c r="AQ861" s="274"/>
      <c r="AR861" s="274"/>
      <c r="AS861" s="274"/>
      <c r="AT861" s="274"/>
      <c r="AU861" s="274"/>
      <c r="AV861" s="274"/>
      <c r="AW861" s="274"/>
    </row>
    <row r="862" ht="15.75" customHeight="1">
      <c r="A862" s="274"/>
      <c r="B862" s="274"/>
      <c r="C862" s="274"/>
      <c r="D862" s="274"/>
      <c r="E862" s="274"/>
      <c r="F862" s="274"/>
      <c r="G862" s="274"/>
      <c r="H862" s="274"/>
      <c r="I862" s="274"/>
      <c r="J862" s="274"/>
      <c r="K862" s="274"/>
      <c r="L862" s="274"/>
      <c r="M862" s="274"/>
      <c r="N862" s="274"/>
      <c r="O862" s="274"/>
      <c r="P862" s="274"/>
      <c r="Q862" s="274"/>
      <c r="R862" s="316"/>
      <c r="W862" s="274"/>
      <c r="X862" s="274"/>
      <c r="Y862" s="274"/>
      <c r="Z862" s="274"/>
      <c r="AA862" s="274"/>
      <c r="AB862" s="274"/>
      <c r="AC862" s="274"/>
      <c r="AD862" s="274"/>
      <c r="AE862" s="274"/>
      <c r="AF862" s="274"/>
      <c r="AG862" s="274"/>
      <c r="AH862" s="274"/>
      <c r="AI862" s="274"/>
      <c r="AJ862" s="274"/>
      <c r="AK862" s="274"/>
      <c r="AL862" s="274"/>
      <c r="AM862" s="274"/>
      <c r="AN862" s="274"/>
      <c r="AO862" s="274"/>
      <c r="AP862" s="274"/>
      <c r="AQ862" s="274"/>
      <c r="AR862" s="274"/>
      <c r="AS862" s="274"/>
      <c r="AT862" s="274"/>
      <c r="AU862" s="274"/>
      <c r="AV862" s="274"/>
      <c r="AW862" s="274"/>
    </row>
    <row r="863" ht="15.75" customHeight="1">
      <c r="A863" s="274"/>
      <c r="B863" s="274"/>
      <c r="C863" s="274"/>
      <c r="D863" s="274"/>
      <c r="E863" s="274"/>
      <c r="F863" s="274"/>
      <c r="G863" s="274"/>
      <c r="H863" s="274"/>
      <c r="I863" s="274"/>
      <c r="J863" s="274"/>
      <c r="K863" s="274"/>
      <c r="L863" s="274"/>
      <c r="M863" s="274"/>
      <c r="N863" s="274"/>
      <c r="O863" s="274"/>
      <c r="P863" s="274"/>
      <c r="Q863" s="274"/>
      <c r="R863" s="316"/>
      <c r="W863" s="274"/>
      <c r="X863" s="274"/>
      <c r="Y863" s="274"/>
      <c r="Z863" s="274"/>
      <c r="AA863" s="274"/>
      <c r="AB863" s="274"/>
      <c r="AC863" s="274"/>
      <c r="AD863" s="274"/>
      <c r="AE863" s="274"/>
      <c r="AF863" s="274"/>
      <c r="AG863" s="274"/>
      <c r="AH863" s="274"/>
      <c r="AI863" s="274"/>
      <c r="AJ863" s="274"/>
      <c r="AK863" s="274"/>
      <c r="AL863" s="274"/>
      <c r="AM863" s="274"/>
      <c r="AN863" s="274"/>
      <c r="AO863" s="274"/>
      <c r="AP863" s="274"/>
      <c r="AQ863" s="274"/>
      <c r="AR863" s="274"/>
      <c r="AS863" s="274"/>
      <c r="AT863" s="274"/>
      <c r="AU863" s="274"/>
      <c r="AV863" s="274"/>
      <c r="AW863" s="274"/>
    </row>
    <row r="864" ht="15.75" customHeight="1">
      <c r="A864" s="274"/>
      <c r="B864" s="274"/>
      <c r="C864" s="274"/>
      <c r="D864" s="274"/>
      <c r="E864" s="274"/>
      <c r="F864" s="274"/>
      <c r="G864" s="274"/>
      <c r="H864" s="274"/>
      <c r="I864" s="274"/>
      <c r="J864" s="274"/>
      <c r="K864" s="274"/>
      <c r="L864" s="274"/>
      <c r="M864" s="274"/>
      <c r="N864" s="274"/>
      <c r="O864" s="274"/>
      <c r="P864" s="274"/>
      <c r="Q864" s="274"/>
      <c r="R864" s="316"/>
      <c r="W864" s="274"/>
      <c r="X864" s="274"/>
      <c r="Y864" s="274"/>
      <c r="Z864" s="274"/>
      <c r="AA864" s="274"/>
      <c r="AB864" s="274"/>
      <c r="AC864" s="274"/>
      <c r="AD864" s="274"/>
      <c r="AE864" s="274"/>
      <c r="AF864" s="274"/>
      <c r="AG864" s="274"/>
      <c r="AH864" s="274"/>
      <c r="AI864" s="274"/>
      <c r="AJ864" s="274"/>
      <c r="AK864" s="274"/>
      <c r="AL864" s="274"/>
      <c r="AM864" s="274"/>
      <c r="AN864" s="274"/>
      <c r="AO864" s="274"/>
      <c r="AP864" s="274"/>
      <c r="AQ864" s="274"/>
      <c r="AR864" s="274"/>
      <c r="AS864" s="274"/>
      <c r="AT864" s="274"/>
      <c r="AU864" s="274"/>
      <c r="AV864" s="274"/>
      <c r="AW864" s="274"/>
    </row>
    <row r="865" ht="15.75" customHeight="1">
      <c r="A865" s="274"/>
      <c r="B865" s="274"/>
      <c r="C865" s="274"/>
      <c r="D865" s="274"/>
      <c r="E865" s="274"/>
      <c r="F865" s="274"/>
      <c r="G865" s="274"/>
      <c r="H865" s="274"/>
      <c r="I865" s="274"/>
      <c r="J865" s="274"/>
      <c r="K865" s="274"/>
      <c r="L865" s="274"/>
      <c r="M865" s="274"/>
      <c r="N865" s="274"/>
      <c r="O865" s="274"/>
      <c r="P865" s="274"/>
      <c r="Q865" s="274"/>
      <c r="R865" s="316"/>
      <c r="W865" s="274"/>
      <c r="X865" s="274"/>
      <c r="Y865" s="274"/>
      <c r="Z865" s="274"/>
      <c r="AA865" s="274"/>
      <c r="AB865" s="274"/>
      <c r="AC865" s="274"/>
      <c r="AD865" s="274"/>
      <c r="AE865" s="274"/>
      <c r="AF865" s="274"/>
      <c r="AG865" s="274"/>
      <c r="AH865" s="274"/>
      <c r="AI865" s="274"/>
      <c r="AJ865" s="274"/>
      <c r="AK865" s="274"/>
      <c r="AL865" s="274"/>
      <c r="AM865" s="274"/>
      <c r="AN865" s="274"/>
      <c r="AO865" s="274"/>
      <c r="AP865" s="274"/>
      <c r="AQ865" s="274"/>
      <c r="AR865" s="274"/>
      <c r="AS865" s="274"/>
      <c r="AT865" s="274"/>
      <c r="AU865" s="274"/>
      <c r="AV865" s="274"/>
      <c r="AW865" s="274"/>
    </row>
    <row r="866" ht="15.75" customHeight="1">
      <c r="A866" s="274"/>
      <c r="B866" s="274"/>
      <c r="C866" s="274"/>
      <c r="D866" s="274"/>
      <c r="E866" s="274"/>
      <c r="F866" s="274"/>
      <c r="G866" s="274"/>
      <c r="H866" s="274"/>
      <c r="I866" s="274"/>
      <c r="J866" s="274"/>
      <c r="K866" s="274"/>
      <c r="L866" s="274"/>
      <c r="M866" s="274"/>
      <c r="N866" s="274"/>
      <c r="O866" s="274"/>
      <c r="P866" s="274"/>
      <c r="Q866" s="274"/>
      <c r="R866" s="316"/>
      <c r="W866" s="274"/>
      <c r="X866" s="274"/>
      <c r="Y866" s="274"/>
      <c r="Z866" s="274"/>
      <c r="AA866" s="274"/>
      <c r="AB866" s="274"/>
      <c r="AC866" s="274"/>
      <c r="AD866" s="274"/>
      <c r="AE866" s="274"/>
      <c r="AF866" s="274"/>
      <c r="AG866" s="274"/>
      <c r="AH866" s="274"/>
      <c r="AI866" s="274"/>
      <c r="AJ866" s="274"/>
      <c r="AK866" s="274"/>
      <c r="AL866" s="274"/>
      <c r="AM866" s="274"/>
      <c r="AN866" s="274"/>
      <c r="AO866" s="274"/>
      <c r="AP866" s="274"/>
      <c r="AQ866" s="274"/>
      <c r="AR866" s="274"/>
      <c r="AS866" s="274"/>
      <c r="AT866" s="274"/>
      <c r="AU866" s="274"/>
      <c r="AV866" s="274"/>
      <c r="AW866" s="274"/>
    </row>
    <row r="867" ht="15.75" customHeight="1">
      <c r="A867" s="274"/>
      <c r="B867" s="274"/>
      <c r="C867" s="274"/>
      <c r="D867" s="274"/>
      <c r="E867" s="274"/>
      <c r="F867" s="274"/>
      <c r="G867" s="274"/>
      <c r="H867" s="274"/>
      <c r="I867" s="274"/>
      <c r="J867" s="274"/>
      <c r="K867" s="274"/>
      <c r="L867" s="274"/>
      <c r="M867" s="274"/>
      <c r="N867" s="274"/>
      <c r="O867" s="274"/>
      <c r="P867" s="274"/>
      <c r="Q867" s="274"/>
      <c r="R867" s="316"/>
      <c r="W867" s="274"/>
      <c r="X867" s="274"/>
      <c r="Y867" s="274"/>
      <c r="Z867" s="274"/>
      <c r="AA867" s="274"/>
      <c r="AB867" s="274"/>
      <c r="AC867" s="274"/>
      <c r="AD867" s="274"/>
      <c r="AE867" s="274"/>
      <c r="AF867" s="274"/>
      <c r="AG867" s="274"/>
      <c r="AH867" s="274"/>
      <c r="AI867" s="274"/>
      <c r="AJ867" s="274"/>
      <c r="AK867" s="274"/>
      <c r="AL867" s="274"/>
      <c r="AM867" s="274"/>
      <c r="AN867" s="274"/>
      <c r="AO867" s="274"/>
      <c r="AP867" s="274"/>
      <c r="AQ867" s="274"/>
      <c r="AR867" s="274"/>
      <c r="AS867" s="274"/>
      <c r="AT867" s="274"/>
      <c r="AU867" s="274"/>
      <c r="AV867" s="274"/>
      <c r="AW867" s="274"/>
    </row>
    <row r="868" ht="15.75" customHeight="1">
      <c r="A868" s="274"/>
      <c r="B868" s="274"/>
      <c r="C868" s="274"/>
      <c r="D868" s="274"/>
      <c r="E868" s="274"/>
      <c r="F868" s="274"/>
      <c r="G868" s="274"/>
      <c r="H868" s="274"/>
      <c r="I868" s="274"/>
      <c r="J868" s="274"/>
      <c r="K868" s="274"/>
      <c r="L868" s="274"/>
      <c r="M868" s="274"/>
      <c r="N868" s="274"/>
      <c r="O868" s="274"/>
      <c r="P868" s="274"/>
      <c r="Q868" s="274"/>
      <c r="R868" s="316"/>
      <c r="W868" s="274"/>
      <c r="X868" s="274"/>
      <c r="Y868" s="274"/>
      <c r="Z868" s="274"/>
      <c r="AA868" s="274"/>
      <c r="AB868" s="274"/>
      <c r="AC868" s="274"/>
      <c r="AD868" s="274"/>
      <c r="AE868" s="274"/>
      <c r="AF868" s="274"/>
      <c r="AG868" s="274"/>
      <c r="AH868" s="274"/>
      <c r="AI868" s="274"/>
      <c r="AJ868" s="274"/>
      <c r="AK868" s="274"/>
      <c r="AL868" s="274"/>
      <c r="AM868" s="274"/>
      <c r="AN868" s="274"/>
      <c r="AO868" s="274"/>
      <c r="AP868" s="274"/>
      <c r="AQ868" s="274"/>
      <c r="AR868" s="274"/>
      <c r="AS868" s="274"/>
      <c r="AT868" s="274"/>
      <c r="AU868" s="274"/>
      <c r="AV868" s="274"/>
      <c r="AW868" s="274"/>
    </row>
    <row r="869" ht="15.75" customHeight="1">
      <c r="A869" s="274"/>
      <c r="B869" s="274"/>
      <c r="C869" s="274"/>
      <c r="D869" s="274"/>
      <c r="E869" s="274"/>
      <c r="F869" s="274"/>
      <c r="G869" s="274"/>
      <c r="H869" s="274"/>
      <c r="I869" s="274"/>
      <c r="J869" s="274"/>
      <c r="K869" s="274"/>
      <c r="L869" s="274"/>
      <c r="M869" s="274"/>
      <c r="N869" s="274"/>
      <c r="O869" s="274"/>
      <c r="P869" s="274"/>
      <c r="Q869" s="274"/>
      <c r="R869" s="316"/>
      <c r="W869" s="274"/>
      <c r="X869" s="274"/>
      <c r="Y869" s="274"/>
      <c r="Z869" s="274"/>
      <c r="AA869" s="274"/>
      <c r="AB869" s="274"/>
      <c r="AC869" s="274"/>
      <c r="AD869" s="274"/>
      <c r="AE869" s="274"/>
      <c r="AF869" s="274"/>
      <c r="AG869" s="274"/>
      <c r="AH869" s="274"/>
      <c r="AI869" s="274"/>
      <c r="AJ869" s="274"/>
      <c r="AK869" s="274"/>
      <c r="AL869" s="274"/>
      <c r="AM869" s="274"/>
      <c r="AN869" s="274"/>
      <c r="AO869" s="274"/>
      <c r="AP869" s="274"/>
      <c r="AQ869" s="274"/>
      <c r="AR869" s="274"/>
      <c r="AS869" s="274"/>
      <c r="AT869" s="274"/>
      <c r="AU869" s="274"/>
      <c r="AV869" s="274"/>
      <c r="AW869" s="274"/>
    </row>
    <row r="870" ht="15.75" customHeight="1">
      <c r="A870" s="274"/>
      <c r="B870" s="274"/>
      <c r="C870" s="274"/>
      <c r="D870" s="274"/>
      <c r="E870" s="274"/>
      <c r="F870" s="274"/>
      <c r="G870" s="274"/>
      <c r="H870" s="274"/>
      <c r="I870" s="274"/>
      <c r="J870" s="274"/>
      <c r="K870" s="274"/>
      <c r="L870" s="274"/>
      <c r="M870" s="274"/>
      <c r="N870" s="274"/>
      <c r="O870" s="274"/>
      <c r="P870" s="274"/>
      <c r="Q870" s="274"/>
      <c r="R870" s="316"/>
      <c r="W870" s="274"/>
      <c r="X870" s="274"/>
      <c r="Y870" s="274"/>
      <c r="Z870" s="274"/>
      <c r="AA870" s="274"/>
      <c r="AB870" s="274"/>
      <c r="AC870" s="274"/>
      <c r="AD870" s="274"/>
      <c r="AE870" s="274"/>
      <c r="AF870" s="274"/>
      <c r="AG870" s="274"/>
      <c r="AH870" s="274"/>
      <c r="AI870" s="274"/>
      <c r="AJ870" s="274"/>
      <c r="AK870" s="274"/>
      <c r="AL870" s="274"/>
      <c r="AM870" s="274"/>
      <c r="AN870" s="274"/>
      <c r="AO870" s="274"/>
      <c r="AP870" s="274"/>
      <c r="AQ870" s="274"/>
      <c r="AR870" s="274"/>
      <c r="AS870" s="274"/>
      <c r="AT870" s="274"/>
      <c r="AU870" s="274"/>
      <c r="AV870" s="274"/>
      <c r="AW870" s="274"/>
    </row>
    <row r="871" ht="15.75" customHeight="1">
      <c r="A871" s="274"/>
      <c r="B871" s="274"/>
      <c r="C871" s="274"/>
      <c r="D871" s="274"/>
      <c r="E871" s="274"/>
      <c r="F871" s="274"/>
      <c r="G871" s="274"/>
      <c r="H871" s="274"/>
      <c r="I871" s="274"/>
      <c r="J871" s="274"/>
      <c r="K871" s="274"/>
      <c r="L871" s="274"/>
      <c r="M871" s="274"/>
      <c r="N871" s="274"/>
      <c r="O871" s="274"/>
      <c r="P871" s="274"/>
      <c r="Q871" s="274"/>
      <c r="R871" s="316"/>
      <c r="W871" s="274"/>
      <c r="X871" s="274"/>
      <c r="Y871" s="274"/>
      <c r="Z871" s="274"/>
      <c r="AA871" s="274"/>
      <c r="AB871" s="274"/>
      <c r="AC871" s="274"/>
      <c r="AD871" s="274"/>
      <c r="AE871" s="274"/>
      <c r="AF871" s="274"/>
      <c r="AG871" s="274"/>
      <c r="AH871" s="274"/>
      <c r="AI871" s="274"/>
      <c r="AJ871" s="274"/>
      <c r="AK871" s="274"/>
      <c r="AL871" s="274"/>
      <c r="AM871" s="274"/>
      <c r="AN871" s="274"/>
      <c r="AO871" s="274"/>
      <c r="AP871" s="274"/>
      <c r="AQ871" s="274"/>
      <c r="AR871" s="274"/>
      <c r="AS871" s="274"/>
      <c r="AT871" s="274"/>
      <c r="AU871" s="274"/>
      <c r="AV871" s="274"/>
      <c r="AW871" s="274"/>
    </row>
    <row r="872" ht="15.75" customHeight="1">
      <c r="A872" s="274"/>
      <c r="B872" s="274"/>
      <c r="C872" s="274"/>
      <c r="D872" s="274"/>
      <c r="E872" s="274"/>
      <c r="F872" s="274"/>
      <c r="G872" s="274"/>
      <c r="H872" s="274"/>
      <c r="I872" s="274"/>
      <c r="J872" s="274"/>
      <c r="K872" s="274"/>
      <c r="L872" s="274"/>
      <c r="M872" s="274"/>
      <c r="N872" s="274"/>
      <c r="O872" s="274"/>
      <c r="P872" s="274"/>
      <c r="Q872" s="274"/>
      <c r="R872" s="316"/>
      <c r="W872" s="274"/>
      <c r="X872" s="274"/>
      <c r="Y872" s="274"/>
      <c r="Z872" s="274"/>
      <c r="AA872" s="274"/>
      <c r="AB872" s="274"/>
      <c r="AC872" s="274"/>
      <c r="AD872" s="274"/>
      <c r="AE872" s="274"/>
      <c r="AF872" s="274"/>
      <c r="AG872" s="274"/>
      <c r="AH872" s="274"/>
      <c r="AI872" s="274"/>
      <c r="AJ872" s="274"/>
      <c r="AK872" s="274"/>
      <c r="AL872" s="274"/>
      <c r="AM872" s="274"/>
      <c r="AN872" s="274"/>
      <c r="AO872" s="274"/>
      <c r="AP872" s="274"/>
      <c r="AQ872" s="274"/>
      <c r="AR872" s="274"/>
      <c r="AS872" s="274"/>
      <c r="AT872" s="274"/>
      <c r="AU872" s="274"/>
      <c r="AV872" s="274"/>
      <c r="AW872" s="274"/>
    </row>
    <row r="873" ht="15.75" customHeight="1">
      <c r="A873" s="274"/>
      <c r="B873" s="274"/>
      <c r="C873" s="274"/>
      <c r="D873" s="274"/>
      <c r="E873" s="274"/>
      <c r="F873" s="274"/>
      <c r="G873" s="274"/>
      <c r="H873" s="274"/>
      <c r="I873" s="274"/>
      <c r="J873" s="274"/>
      <c r="K873" s="274"/>
      <c r="L873" s="274"/>
      <c r="M873" s="274"/>
      <c r="N873" s="274"/>
      <c r="O873" s="274"/>
      <c r="P873" s="274"/>
      <c r="Q873" s="274"/>
      <c r="R873" s="316"/>
      <c r="W873" s="274"/>
      <c r="X873" s="274"/>
      <c r="Y873" s="274"/>
      <c r="Z873" s="274"/>
      <c r="AA873" s="274"/>
      <c r="AB873" s="274"/>
      <c r="AC873" s="274"/>
      <c r="AD873" s="274"/>
      <c r="AE873" s="274"/>
      <c r="AF873" s="274"/>
      <c r="AG873" s="274"/>
      <c r="AH873" s="274"/>
      <c r="AI873" s="274"/>
      <c r="AJ873" s="274"/>
      <c r="AK873" s="274"/>
      <c r="AL873" s="274"/>
      <c r="AM873" s="274"/>
      <c r="AN873" s="274"/>
      <c r="AO873" s="274"/>
      <c r="AP873" s="274"/>
      <c r="AQ873" s="274"/>
      <c r="AR873" s="274"/>
      <c r="AS873" s="274"/>
      <c r="AT873" s="274"/>
      <c r="AU873" s="274"/>
      <c r="AV873" s="274"/>
      <c r="AW873" s="274"/>
    </row>
    <row r="874" ht="15.75" customHeight="1">
      <c r="A874" s="274"/>
      <c r="B874" s="274"/>
      <c r="C874" s="274"/>
      <c r="D874" s="274"/>
      <c r="E874" s="274"/>
      <c r="F874" s="274"/>
      <c r="G874" s="274"/>
      <c r="H874" s="274"/>
      <c r="I874" s="274"/>
      <c r="J874" s="274"/>
      <c r="K874" s="274"/>
      <c r="L874" s="274"/>
      <c r="M874" s="274"/>
      <c r="N874" s="274"/>
      <c r="O874" s="274"/>
      <c r="P874" s="274"/>
      <c r="Q874" s="274"/>
      <c r="R874" s="316"/>
      <c r="W874" s="274"/>
      <c r="X874" s="274"/>
      <c r="Y874" s="274"/>
      <c r="Z874" s="274"/>
      <c r="AA874" s="274"/>
      <c r="AB874" s="274"/>
      <c r="AC874" s="274"/>
      <c r="AD874" s="274"/>
      <c r="AE874" s="274"/>
      <c r="AF874" s="274"/>
      <c r="AG874" s="274"/>
      <c r="AH874" s="274"/>
      <c r="AI874" s="274"/>
      <c r="AJ874" s="274"/>
      <c r="AK874" s="274"/>
      <c r="AL874" s="274"/>
      <c r="AM874" s="274"/>
      <c r="AN874" s="274"/>
      <c r="AO874" s="274"/>
      <c r="AP874" s="274"/>
      <c r="AQ874" s="274"/>
      <c r="AR874" s="274"/>
      <c r="AS874" s="274"/>
      <c r="AT874" s="274"/>
      <c r="AU874" s="274"/>
      <c r="AV874" s="274"/>
      <c r="AW874" s="274"/>
    </row>
    <row r="875" ht="15.75" customHeight="1">
      <c r="A875" s="274"/>
      <c r="B875" s="274"/>
      <c r="C875" s="274"/>
      <c r="D875" s="274"/>
      <c r="E875" s="274"/>
      <c r="F875" s="274"/>
      <c r="G875" s="274"/>
      <c r="H875" s="274"/>
      <c r="I875" s="274"/>
      <c r="J875" s="274"/>
      <c r="K875" s="274"/>
      <c r="L875" s="274"/>
      <c r="M875" s="274"/>
      <c r="N875" s="274"/>
      <c r="O875" s="274"/>
      <c r="P875" s="274"/>
      <c r="Q875" s="274"/>
      <c r="R875" s="316"/>
      <c r="W875" s="274"/>
      <c r="X875" s="274"/>
      <c r="Y875" s="274"/>
      <c r="Z875" s="274"/>
      <c r="AA875" s="274"/>
      <c r="AB875" s="274"/>
      <c r="AC875" s="274"/>
      <c r="AD875" s="274"/>
      <c r="AE875" s="274"/>
      <c r="AF875" s="274"/>
      <c r="AG875" s="274"/>
      <c r="AH875" s="274"/>
      <c r="AI875" s="274"/>
      <c r="AJ875" s="274"/>
      <c r="AK875" s="274"/>
      <c r="AL875" s="274"/>
      <c r="AM875" s="274"/>
      <c r="AN875" s="274"/>
      <c r="AO875" s="274"/>
      <c r="AP875" s="274"/>
      <c r="AQ875" s="274"/>
      <c r="AR875" s="274"/>
      <c r="AS875" s="274"/>
      <c r="AT875" s="274"/>
      <c r="AU875" s="274"/>
      <c r="AV875" s="274"/>
      <c r="AW875" s="274"/>
    </row>
    <row r="876" ht="15.75" customHeight="1">
      <c r="A876" s="274"/>
      <c r="B876" s="274"/>
      <c r="C876" s="274"/>
      <c r="D876" s="274"/>
      <c r="E876" s="274"/>
      <c r="F876" s="274"/>
      <c r="G876" s="274"/>
      <c r="H876" s="274"/>
      <c r="I876" s="274"/>
      <c r="J876" s="274"/>
      <c r="K876" s="274"/>
      <c r="L876" s="274"/>
      <c r="M876" s="274"/>
      <c r="N876" s="274"/>
      <c r="O876" s="274"/>
      <c r="P876" s="274"/>
      <c r="Q876" s="274"/>
      <c r="R876" s="316"/>
      <c r="W876" s="274"/>
      <c r="X876" s="274"/>
      <c r="Y876" s="274"/>
      <c r="Z876" s="274"/>
      <c r="AA876" s="274"/>
      <c r="AB876" s="274"/>
      <c r="AC876" s="274"/>
      <c r="AD876" s="274"/>
      <c r="AE876" s="274"/>
      <c r="AF876" s="274"/>
      <c r="AG876" s="274"/>
      <c r="AH876" s="274"/>
      <c r="AI876" s="274"/>
      <c r="AJ876" s="274"/>
      <c r="AK876" s="274"/>
      <c r="AL876" s="274"/>
      <c r="AM876" s="274"/>
      <c r="AN876" s="274"/>
      <c r="AO876" s="274"/>
      <c r="AP876" s="274"/>
      <c r="AQ876" s="274"/>
      <c r="AR876" s="274"/>
      <c r="AS876" s="274"/>
      <c r="AT876" s="274"/>
      <c r="AU876" s="274"/>
      <c r="AV876" s="274"/>
      <c r="AW876" s="274"/>
    </row>
    <row r="877" ht="15.75" customHeight="1">
      <c r="A877" s="274"/>
      <c r="B877" s="274"/>
      <c r="C877" s="274"/>
      <c r="D877" s="274"/>
      <c r="E877" s="274"/>
      <c r="F877" s="274"/>
      <c r="G877" s="274"/>
      <c r="H877" s="274"/>
      <c r="I877" s="274"/>
      <c r="J877" s="274"/>
      <c r="K877" s="274"/>
      <c r="L877" s="274"/>
      <c r="M877" s="274"/>
      <c r="N877" s="274"/>
      <c r="O877" s="274"/>
      <c r="P877" s="274"/>
      <c r="Q877" s="274"/>
      <c r="R877" s="316"/>
      <c r="W877" s="274"/>
      <c r="X877" s="274"/>
      <c r="Y877" s="274"/>
      <c r="Z877" s="274"/>
      <c r="AA877" s="274"/>
      <c r="AB877" s="274"/>
      <c r="AC877" s="274"/>
      <c r="AD877" s="274"/>
      <c r="AE877" s="274"/>
      <c r="AF877" s="274"/>
      <c r="AG877" s="274"/>
      <c r="AH877" s="274"/>
      <c r="AI877" s="274"/>
      <c r="AJ877" s="274"/>
      <c r="AK877" s="274"/>
      <c r="AL877" s="274"/>
      <c r="AM877" s="274"/>
      <c r="AN877" s="274"/>
      <c r="AO877" s="274"/>
      <c r="AP877" s="274"/>
      <c r="AQ877" s="274"/>
      <c r="AR877" s="274"/>
      <c r="AS877" s="274"/>
      <c r="AT877" s="274"/>
      <c r="AU877" s="274"/>
      <c r="AV877" s="274"/>
      <c r="AW877" s="274"/>
    </row>
    <row r="878" ht="15.75" customHeight="1">
      <c r="A878" s="274"/>
      <c r="B878" s="274"/>
      <c r="C878" s="274"/>
      <c r="D878" s="274"/>
      <c r="E878" s="274"/>
      <c r="F878" s="274"/>
      <c r="G878" s="274"/>
      <c r="H878" s="274"/>
      <c r="I878" s="274"/>
      <c r="J878" s="274"/>
      <c r="K878" s="274"/>
      <c r="L878" s="274"/>
      <c r="M878" s="274"/>
      <c r="N878" s="274"/>
      <c r="O878" s="274"/>
      <c r="P878" s="274"/>
      <c r="Q878" s="274"/>
      <c r="R878" s="316"/>
      <c r="W878" s="274"/>
      <c r="X878" s="274"/>
      <c r="Y878" s="274"/>
      <c r="Z878" s="274"/>
      <c r="AA878" s="274"/>
      <c r="AB878" s="274"/>
      <c r="AC878" s="274"/>
      <c r="AD878" s="274"/>
      <c r="AE878" s="274"/>
      <c r="AF878" s="274"/>
      <c r="AG878" s="274"/>
      <c r="AH878" s="274"/>
      <c r="AI878" s="274"/>
      <c r="AJ878" s="274"/>
      <c r="AK878" s="274"/>
      <c r="AL878" s="274"/>
      <c r="AM878" s="274"/>
      <c r="AN878" s="274"/>
      <c r="AO878" s="274"/>
      <c r="AP878" s="274"/>
      <c r="AQ878" s="274"/>
      <c r="AR878" s="274"/>
      <c r="AS878" s="274"/>
      <c r="AT878" s="274"/>
      <c r="AU878" s="274"/>
      <c r="AV878" s="274"/>
      <c r="AW878" s="274"/>
    </row>
    <row r="879" ht="15.75" customHeight="1">
      <c r="A879" s="274"/>
      <c r="B879" s="274"/>
      <c r="C879" s="274"/>
      <c r="D879" s="274"/>
      <c r="E879" s="274"/>
      <c r="F879" s="274"/>
      <c r="G879" s="274"/>
      <c r="H879" s="274"/>
      <c r="I879" s="274"/>
      <c r="J879" s="274"/>
      <c r="K879" s="274"/>
      <c r="L879" s="274"/>
      <c r="M879" s="274"/>
      <c r="N879" s="274"/>
      <c r="O879" s="274"/>
      <c r="P879" s="274"/>
      <c r="Q879" s="274"/>
      <c r="R879" s="316"/>
      <c r="W879" s="274"/>
      <c r="X879" s="274"/>
      <c r="Y879" s="274"/>
      <c r="Z879" s="274"/>
      <c r="AA879" s="274"/>
      <c r="AB879" s="274"/>
      <c r="AC879" s="274"/>
      <c r="AD879" s="274"/>
      <c r="AE879" s="274"/>
      <c r="AF879" s="274"/>
      <c r="AG879" s="274"/>
      <c r="AH879" s="274"/>
      <c r="AI879" s="274"/>
      <c r="AJ879" s="274"/>
      <c r="AK879" s="274"/>
      <c r="AL879" s="274"/>
      <c r="AM879" s="274"/>
      <c r="AN879" s="274"/>
      <c r="AO879" s="274"/>
      <c r="AP879" s="274"/>
      <c r="AQ879" s="274"/>
      <c r="AR879" s="274"/>
      <c r="AS879" s="274"/>
      <c r="AT879" s="274"/>
      <c r="AU879" s="274"/>
      <c r="AV879" s="274"/>
      <c r="AW879" s="274"/>
    </row>
    <row r="880" ht="15.75" customHeight="1">
      <c r="A880" s="274"/>
      <c r="B880" s="274"/>
      <c r="C880" s="274"/>
      <c r="D880" s="274"/>
      <c r="E880" s="274"/>
      <c r="F880" s="274"/>
      <c r="G880" s="274"/>
      <c r="H880" s="274"/>
      <c r="I880" s="274"/>
      <c r="J880" s="274"/>
      <c r="K880" s="274"/>
      <c r="L880" s="274"/>
      <c r="M880" s="274"/>
      <c r="N880" s="274"/>
      <c r="O880" s="274"/>
      <c r="P880" s="274"/>
      <c r="Q880" s="274"/>
      <c r="R880" s="316"/>
      <c r="W880" s="274"/>
      <c r="X880" s="274"/>
      <c r="Y880" s="274"/>
      <c r="Z880" s="274"/>
      <c r="AA880" s="274"/>
      <c r="AB880" s="274"/>
      <c r="AC880" s="274"/>
      <c r="AD880" s="274"/>
      <c r="AE880" s="274"/>
      <c r="AF880" s="274"/>
      <c r="AG880" s="274"/>
      <c r="AH880" s="274"/>
      <c r="AI880" s="274"/>
      <c r="AJ880" s="274"/>
      <c r="AK880" s="274"/>
      <c r="AL880" s="274"/>
      <c r="AM880" s="274"/>
      <c r="AN880" s="274"/>
      <c r="AO880" s="274"/>
      <c r="AP880" s="274"/>
      <c r="AQ880" s="274"/>
      <c r="AR880" s="274"/>
      <c r="AS880" s="274"/>
      <c r="AT880" s="274"/>
      <c r="AU880" s="274"/>
      <c r="AV880" s="274"/>
      <c r="AW880" s="274"/>
    </row>
    <row r="881" ht="15.75" customHeight="1">
      <c r="A881" s="274"/>
      <c r="B881" s="274"/>
      <c r="C881" s="274"/>
      <c r="D881" s="274"/>
      <c r="E881" s="274"/>
      <c r="F881" s="274"/>
      <c r="G881" s="274"/>
      <c r="H881" s="274"/>
      <c r="I881" s="274"/>
      <c r="J881" s="274"/>
      <c r="K881" s="274"/>
      <c r="L881" s="274"/>
      <c r="M881" s="274"/>
      <c r="N881" s="274"/>
      <c r="O881" s="274"/>
      <c r="P881" s="274"/>
      <c r="Q881" s="274"/>
      <c r="R881" s="316"/>
      <c r="W881" s="274"/>
      <c r="X881" s="274"/>
      <c r="Y881" s="274"/>
      <c r="Z881" s="274"/>
      <c r="AA881" s="274"/>
      <c r="AB881" s="274"/>
      <c r="AC881" s="274"/>
      <c r="AD881" s="274"/>
      <c r="AE881" s="274"/>
      <c r="AF881" s="274"/>
      <c r="AG881" s="274"/>
      <c r="AH881" s="274"/>
      <c r="AI881" s="274"/>
      <c r="AJ881" s="274"/>
      <c r="AK881" s="274"/>
      <c r="AL881" s="274"/>
      <c r="AM881" s="274"/>
      <c r="AN881" s="274"/>
      <c r="AO881" s="274"/>
      <c r="AP881" s="274"/>
      <c r="AQ881" s="274"/>
      <c r="AR881" s="274"/>
      <c r="AS881" s="274"/>
      <c r="AT881" s="274"/>
      <c r="AU881" s="274"/>
      <c r="AV881" s="274"/>
      <c r="AW881" s="274"/>
    </row>
    <row r="882" ht="15.75" customHeight="1">
      <c r="A882" s="274"/>
      <c r="B882" s="274"/>
      <c r="C882" s="274"/>
      <c r="D882" s="274"/>
      <c r="E882" s="274"/>
      <c r="F882" s="274"/>
      <c r="G882" s="274"/>
      <c r="H882" s="274"/>
      <c r="I882" s="274"/>
      <c r="J882" s="274"/>
      <c r="K882" s="274"/>
      <c r="L882" s="274"/>
      <c r="M882" s="274"/>
      <c r="N882" s="274"/>
      <c r="O882" s="274"/>
      <c r="P882" s="274"/>
      <c r="Q882" s="274"/>
      <c r="R882" s="316"/>
      <c r="W882" s="274"/>
      <c r="X882" s="274"/>
      <c r="Y882" s="274"/>
      <c r="Z882" s="274"/>
      <c r="AA882" s="274"/>
      <c r="AB882" s="274"/>
      <c r="AC882" s="274"/>
      <c r="AD882" s="274"/>
      <c r="AE882" s="274"/>
      <c r="AF882" s="274"/>
      <c r="AG882" s="274"/>
      <c r="AH882" s="274"/>
      <c r="AI882" s="274"/>
      <c r="AJ882" s="274"/>
      <c r="AK882" s="274"/>
      <c r="AL882" s="274"/>
      <c r="AM882" s="274"/>
      <c r="AN882" s="274"/>
      <c r="AO882" s="274"/>
      <c r="AP882" s="274"/>
      <c r="AQ882" s="274"/>
      <c r="AR882" s="274"/>
      <c r="AS882" s="274"/>
      <c r="AT882" s="274"/>
      <c r="AU882" s="274"/>
      <c r="AV882" s="274"/>
      <c r="AW882" s="274"/>
    </row>
    <row r="883" ht="15.75" customHeight="1">
      <c r="A883" s="274"/>
      <c r="B883" s="274"/>
      <c r="C883" s="274"/>
      <c r="D883" s="274"/>
      <c r="E883" s="274"/>
      <c r="F883" s="274"/>
      <c r="G883" s="274"/>
      <c r="H883" s="274"/>
      <c r="I883" s="274"/>
      <c r="J883" s="274"/>
      <c r="K883" s="274"/>
      <c r="L883" s="274"/>
      <c r="M883" s="274"/>
      <c r="N883" s="274"/>
      <c r="O883" s="274"/>
      <c r="P883" s="274"/>
      <c r="Q883" s="274"/>
      <c r="R883" s="316"/>
      <c r="W883" s="274"/>
      <c r="X883" s="274"/>
      <c r="Y883" s="274"/>
      <c r="Z883" s="274"/>
      <c r="AA883" s="274"/>
      <c r="AB883" s="274"/>
      <c r="AC883" s="274"/>
      <c r="AD883" s="274"/>
      <c r="AE883" s="274"/>
      <c r="AF883" s="274"/>
      <c r="AG883" s="274"/>
      <c r="AH883" s="274"/>
      <c r="AI883" s="274"/>
      <c r="AJ883" s="274"/>
      <c r="AK883" s="274"/>
      <c r="AL883" s="274"/>
      <c r="AM883" s="274"/>
      <c r="AN883" s="274"/>
      <c r="AO883" s="274"/>
      <c r="AP883" s="274"/>
      <c r="AQ883" s="274"/>
      <c r="AR883" s="274"/>
      <c r="AS883" s="274"/>
      <c r="AT883" s="274"/>
      <c r="AU883" s="274"/>
      <c r="AV883" s="274"/>
      <c r="AW883" s="274"/>
    </row>
    <row r="884" ht="15.75" customHeight="1">
      <c r="A884" s="274"/>
      <c r="B884" s="274"/>
      <c r="C884" s="274"/>
      <c r="D884" s="274"/>
      <c r="E884" s="274"/>
      <c r="F884" s="274"/>
      <c r="G884" s="274"/>
      <c r="H884" s="274"/>
      <c r="I884" s="274"/>
      <c r="J884" s="274"/>
      <c r="K884" s="274"/>
      <c r="L884" s="274"/>
      <c r="M884" s="274"/>
      <c r="N884" s="274"/>
      <c r="O884" s="274"/>
      <c r="P884" s="274"/>
      <c r="Q884" s="274"/>
      <c r="R884" s="316"/>
      <c r="W884" s="274"/>
      <c r="X884" s="274"/>
      <c r="Y884" s="274"/>
      <c r="Z884" s="274"/>
      <c r="AA884" s="274"/>
      <c r="AB884" s="274"/>
      <c r="AC884" s="274"/>
      <c r="AD884" s="274"/>
      <c r="AE884" s="274"/>
      <c r="AF884" s="274"/>
      <c r="AG884" s="274"/>
      <c r="AH884" s="274"/>
      <c r="AI884" s="274"/>
      <c r="AJ884" s="274"/>
      <c r="AK884" s="274"/>
      <c r="AL884" s="274"/>
      <c r="AM884" s="274"/>
      <c r="AN884" s="274"/>
      <c r="AO884" s="274"/>
      <c r="AP884" s="274"/>
      <c r="AQ884" s="274"/>
      <c r="AR884" s="274"/>
      <c r="AS884" s="274"/>
      <c r="AT884" s="274"/>
      <c r="AU884" s="274"/>
      <c r="AV884" s="274"/>
      <c r="AW884" s="274"/>
    </row>
    <row r="885" ht="15.75" customHeight="1">
      <c r="A885" s="274"/>
      <c r="B885" s="274"/>
      <c r="C885" s="274"/>
      <c r="D885" s="274"/>
      <c r="E885" s="274"/>
      <c r="F885" s="274"/>
      <c r="G885" s="274"/>
      <c r="H885" s="274"/>
      <c r="I885" s="274"/>
      <c r="J885" s="274"/>
      <c r="K885" s="274"/>
      <c r="L885" s="274"/>
      <c r="M885" s="274"/>
      <c r="N885" s="274"/>
      <c r="O885" s="274"/>
      <c r="P885" s="274"/>
      <c r="Q885" s="274"/>
      <c r="R885" s="316"/>
      <c r="W885" s="274"/>
      <c r="X885" s="274"/>
      <c r="Y885" s="274"/>
      <c r="Z885" s="274"/>
      <c r="AA885" s="274"/>
      <c r="AB885" s="274"/>
      <c r="AC885" s="274"/>
      <c r="AD885" s="274"/>
      <c r="AE885" s="274"/>
      <c r="AF885" s="274"/>
      <c r="AG885" s="274"/>
      <c r="AH885" s="274"/>
      <c r="AI885" s="274"/>
      <c r="AJ885" s="274"/>
      <c r="AK885" s="274"/>
      <c r="AL885" s="274"/>
      <c r="AM885" s="274"/>
      <c r="AN885" s="274"/>
      <c r="AO885" s="274"/>
      <c r="AP885" s="274"/>
      <c r="AQ885" s="274"/>
      <c r="AR885" s="274"/>
      <c r="AS885" s="274"/>
      <c r="AT885" s="274"/>
      <c r="AU885" s="274"/>
      <c r="AV885" s="274"/>
      <c r="AW885" s="274"/>
    </row>
    <row r="886" ht="15.75" customHeight="1">
      <c r="A886" s="274"/>
      <c r="B886" s="274"/>
      <c r="C886" s="274"/>
      <c r="D886" s="274"/>
      <c r="E886" s="274"/>
      <c r="F886" s="274"/>
      <c r="G886" s="274"/>
      <c r="H886" s="274"/>
      <c r="I886" s="274"/>
      <c r="J886" s="274"/>
      <c r="K886" s="274"/>
      <c r="L886" s="274"/>
      <c r="M886" s="274"/>
      <c r="N886" s="274"/>
      <c r="O886" s="274"/>
      <c r="P886" s="274"/>
      <c r="Q886" s="274"/>
      <c r="R886" s="316"/>
      <c r="W886" s="274"/>
      <c r="X886" s="274"/>
      <c r="Y886" s="274"/>
      <c r="Z886" s="274"/>
      <c r="AA886" s="274"/>
      <c r="AB886" s="274"/>
      <c r="AC886" s="274"/>
      <c r="AD886" s="274"/>
      <c r="AE886" s="274"/>
      <c r="AF886" s="274"/>
      <c r="AG886" s="274"/>
      <c r="AH886" s="274"/>
      <c r="AI886" s="274"/>
      <c r="AJ886" s="274"/>
      <c r="AK886" s="274"/>
      <c r="AL886" s="274"/>
      <c r="AM886" s="274"/>
      <c r="AN886" s="274"/>
      <c r="AO886" s="274"/>
      <c r="AP886" s="274"/>
      <c r="AQ886" s="274"/>
      <c r="AR886" s="274"/>
      <c r="AS886" s="274"/>
      <c r="AT886" s="274"/>
      <c r="AU886" s="274"/>
      <c r="AV886" s="274"/>
      <c r="AW886" s="274"/>
    </row>
    <row r="887" ht="15.75" customHeight="1">
      <c r="A887" s="274"/>
      <c r="B887" s="274"/>
      <c r="C887" s="274"/>
      <c r="D887" s="274"/>
      <c r="E887" s="274"/>
      <c r="F887" s="274"/>
      <c r="G887" s="274"/>
      <c r="H887" s="274"/>
      <c r="I887" s="274"/>
      <c r="J887" s="274"/>
      <c r="K887" s="274"/>
      <c r="L887" s="274"/>
      <c r="M887" s="274"/>
      <c r="N887" s="274"/>
      <c r="O887" s="274"/>
      <c r="P887" s="274"/>
      <c r="Q887" s="274"/>
      <c r="R887" s="316"/>
      <c r="W887" s="274"/>
      <c r="X887" s="274"/>
      <c r="Y887" s="274"/>
      <c r="Z887" s="274"/>
      <c r="AA887" s="274"/>
      <c r="AB887" s="274"/>
      <c r="AC887" s="274"/>
      <c r="AD887" s="274"/>
      <c r="AE887" s="274"/>
      <c r="AF887" s="274"/>
      <c r="AG887" s="274"/>
      <c r="AH887" s="274"/>
      <c r="AI887" s="274"/>
      <c r="AJ887" s="274"/>
      <c r="AK887" s="274"/>
      <c r="AL887" s="274"/>
      <c r="AM887" s="274"/>
      <c r="AN887" s="274"/>
      <c r="AO887" s="274"/>
      <c r="AP887" s="274"/>
      <c r="AQ887" s="274"/>
      <c r="AR887" s="274"/>
      <c r="AS887" s="274"/>
      <c r="AT887" s="274"/>
      <c r="AU887" s="274"/>
      <c r="AV887" s="274"/>
      <c r="AW887" s="274"/>
    </row>
    <row r="888" ht="15.75" customHeight="1">
      <c r="A888" s="274"/>
      <c r="B888" s="274"/>
      <c r="C888" s="274"/>
      <c r="D888" s="274"/>
      <c r="E888" s="274"/>
      <c r="F888" s="274"/>
      <c r="G888" s="274"/>
      <c r="H888" s="274"/>
      <c r="I888" s="274"/>
      <c r="J888" s="274"/>
      <c r="K888" s="274"/>
      <c r="L888" s="274"/>
      <c r="M888" s="274"/>
      <c r="N888" s="274"/>
      <c r="O888" s="274"/>
      <c r="P888" s="274"/>
      <c r="Q888" s="274"/>
      <c r="R888" s="316"/>
      <c r="W888" s="274"/>
      <c r="X888" s="274"/>
      <c r="Y888" s="274"/>
      <c r="Z888" s="274"/>
      <c r="AA888" s="274"/>
      <c r="AB888" s="274"/>
      <c r="AC888" s="274"/>
      <c r="AD888" s="274"/>
      <c r="AE888" s="274"/>
      <c r="AF888" s="274"/>
      <c r="AG888" s="274"/>
      <c r="AH888" s="274"/>
      <c r="AI888" s="274"/>
      <c r="AJ888" s="274"/>
      <c r="AK888" s="274"/>
      <c r="AL888" s="274"/>
      <c r="AM888" s="274"/>
      <c r="AN888" s="274"/>
      <c r="AO888" s="274"/>
      <c r="AP888" s="274"/>
      <c r="AQ888" s="274"/>
      <c r="AR888" s="274"/>
      <c r="AS888" s="274"/>
      <c r="AT888" s="274"/>
      <c r="AU888" s="274"/>
      <c r="AV888" s="274"/>
      <c r="AW888" s="274"/>
    </row>
    <row r="889" ht="15.75" customHeight="1">
      <c r="A889" s="274"/>
      <c r="B889" s="274"/>
      <c r="C889" s="274"/>
      <c r="D889" s="274"/>
      <c r="E889" s="274"/>
      <c r="F889" s="274"/>
      <c r="G889" s="274"/>
      <c r="H889" s="274"/>
      <c r="I889" s="274"/>
      <c r="J889" s="274"/>
      <c r="K889" s="274"/>
      <c r="L889" s="274"/>
      <c r="M889" s="274"/>
      <c r="N889" s="274"/>
      <c r="O889" s="274"/>
      <c r="P889" s="274"/>
      <c r="Q889" s="274"/>
      <c r="R889" s="316"/>
      <c r="W889" s="274"/>
      <c r="X889" s="274"/>
      <c r="Y889" s="274"/>
      <c r="Z889" s="274"/>
      <c r="AA889" s="274"/>
      <c r="AB889" s="274"/>
      <c r="AC889" s="274"/>
      <c r="AD889" s="274"/>
      <c r="AE889" s="274"/>
      <c r="AF889" s="274"/>
      <c r="AG889" s="274"/>
      <c r="AH889" s="274"/>
      <c r="AI889" s="274"/>
      <c r="AJ889" s="274"/>
      <c r="AK889" s="274"/>
      <c r="AL889" s="274"/>
      <c r="AM889" s="274"/>
      <c r="AN889" s="274"/>
      <c r="AO889" s="274"/>
      <c r="AP889" s="274"/>
      <c r="AQ889" s="274"/>
      <c r="AR889" s="274"/>
      <c r="AS889" s="274"/>
      <c r="AT889" s="274"/>
      <c r="AU889" s="274"/>
      <c r="AV889" s="274"/>
      <c r="AW889" s="274"/>
    </row>
    <row r="890" ht="15.75" customHeight="1">
      <c r="A890" s="274"/>
      <c r="B890" s="274"/>
      <c r="C890" s="274"/>
      <c r="D890" s="274"/>
      <c r="E890" s="274"/>
      <c r="F890" s="274"/>
      <c r="G890" s="274"/>
      <c r="H890" s="274"/>
      <c r="I890" s="274"/>
      <c r="J890" s="274"/>
      <c r="K890" s="274"/>
      <c r="L890" s="274"/>
      <c r="M890" s="274"/>
      <c r="N890" s="274"/>
      <c r="O890" s="274"/>
      <c r="P890" s="274"/>
      <c r="Q890" s="274"/>
      <c r="R890" s="316"/>
      <c r="W890" s="274"/>
      <c r="X890" s="274"/>
      <c r="Y890" s="274"/>
      <c r="Z890" s="274"/>
      <c r="AA890" s="274"/>
      <c r="AB890" s="274"/>
      <c r="AC890" s="274"/>
      <c r="AD890" s="274"/>
      <c r="AE890" s="274"/>
      <c r="AF890" s="274"/>
      <c r="AG890" s="274"/>
      <c r="AH890" s="274"/>
      <c r="AI890" s="274"/>
      <c r="AJ890" s="274"/>
      <c r="AK890" s="274"/>
      <c r="AL890" s="274"/>
      <c r="AM890" s="274"/>
      <c r="AN890" s="274"/>
      <c r="AO890" s="274"/>
      <c r="AP890" s="274"/>
      <c r="AQ890" s="274"/>
      <c r="AR890" s="274"/>
      <c r="AS890" s="274"/>
      <c r="AT890" s="274"/>
      <c r="AU890" s="274"/>
      <c r="AV890" s="274"/>
      <c r="AW890" s="274"/>
    </row>
    <row r="891" ht="15.75" customHeight="1">
      <c r="A891" s="274"/>
      <c r="B891" s="274"/>
      <c r="C891" s="274"/>
      <c r="D891" s="274"/>
      <c r="E891" s="274"/>
      <c r="F891" s="274"/>
      <c r="G891" s="274"/>
      <c r="H891" s="274"/>
      <c r="I891" s="274"/>
      <c r="J891" s="274"/>
      <c r="K891" s="274"/>
      <c r="L891" s="274"/>
      <c r="M891" s="274"/>
      <c r="N891" s="274"/>
      <c r="O891" s="274"/>
      <c r="P891" s="274"/>
      <c r="Q891" s="274"/>
      <c r="R891" s="316"/>
      <c r="W891" s="274"/>
      <c r="X891" s="274"/>
      <c r="Y891" s="274"/>
      <c r="Z891" s="274"/>
      <c r="AA891" s="274"/>
      <c r="AB891" s="274"/>
      <c r="AC891" s="274"/>
      <c r="AD891" s="274"/>
      <c r="AE891" s="274"/>
      <c r="AF891" s="274"/>
      <c r="AG891" s="274"/>
      <c r="AH891" s="274"/>
      <c r="AI891" s="274"/>
      <c r="AJ891" s="274"/>
      <c r="AK891" s="274"/>
      <c r="AL891" s="274"/>
      <c r="AM891" s="274"/>
      <c r="AN891" s="274"/>
      <c r="AO891" s="274"/>
      <c r="AP891" s="274"/>
      <c r="AQ891" s="274"/>
      <c r="AR891" s="274"/>
      <c r="AS891" s="274"/>
      <c r="AT891" s="274"/>
      <c r="AU891" s="274"/>
      <c r="AV891" s="274"/>
      <c r="AW891" s="274"/>
    </row>
    <row r="892" ht="15.75" customHeight="1">
      <c r="A892" s="274"/>
      <c r="B892" s="274"/>
      <c r="C892" s="274"/>
      <c r="D892" s="274"/>
      <c r="E892" s="274"/>
      <c r="F892" s="274"/>
      <c r="G892" s="274"/>
      <c r="H892" s="274"/>
      <c r="I892" s="274"/>
      <c r="J892" s="274"/>
      <c r="K892" s="274"/>
      <c r="L892" s="274"/>
      <c r="M892" s="274"/>
      <c r="N892" s="274"/>
      <c r="O892" s="274"/>
      <c r="P892" s="274"/>
      <c r="Q892" s="274"/>
      <c r="R892" s="316"/>
      <c r="W892" s="274"/>
      <c r="X892" s="274"/>
      <c r="Y892" s="274"/>
      <c r="Z892" s="274"/>
      <c r="AA892" s="274"/>
      <c r="AB892" s="274"/>
      <c r="AC892" s="274"/>
      <c r="AD892" s="274"/>
      <c r="AE892" s="274"/>
      <c r="AF892" s="274"/>
      <c r="AG892" s="274"/>
      <c r="AH892" s="274"/>
      <c r="AI892" s="274"/>
      <c r="AJ892" s="274"/>
      <c r="AK892" s="274"/>
      <c r="AL892" s="274"/>
      <c r="AM892" s="274"/>
      <c r="AN892" s="274"/>
      <c r="AO892" s="274"/>
      <c r="AP892" s="274"/>
      <c r="AQ892" s="274"/>
      <c r="AR892" s="274"/>
      <c r="AS892" s="274"/>
      <c r="AT892" s="274"/>
      <c r="AU892" s="274"/>
      <c r="AV892" s="274"/>
      <c r="AW892" s="274"/>
    </row>
    <row r="893" ht="15.75" customHeight="1">
      <c r="A893" s="274"/>
      <c r="B893" s="274"/>
      <c r="C893" s="274"/>
      <c r="D893" s="274"/>
      <c r="E893" s="274"/>
      <c r="F893" s="274"/>
      <c r="G893" s="274"/>
      <c r="H893" s="274"/>
      <c r="I893" s="274"/>
      <c r="J893" s="274"/>
      <c r="K893" s="274"/>
      <c r="L893" s="274"/>
      <c r="M893" s="274"/>
      <c r="N893" s="274"/>
      <c r="O893" s="274"/>
      <c r="P893" s="274"/>
      <c r="Q893" s="274"/>
      <c r="R893" s="316"/>
      <c r="W893" s="274"/>
      <c r="X893" s="274"/>
      <c r="Y893" s="274"/>
      <c r="Z893" s="274"/>
      <c r="AA893" s="274"/>
      <c r="AB893" s="274"/>
      <c r="AC893" s="274"/>
      <c r="AD893" s="274"/>
      <c r="AE893" s="274"/>
      <c r="AF893" s="274"/>
      <c r="AG893" s="274"/>
      <c r="AH893" s="274"/>
      <c r="AI893" s="274"/>
      <c r="AJ893" s="274"/>
      <c r="AK893" s="274"/>
      <c r="AL893" s="274"/>
      <c r="AM893" s="274"/>
      <c r="AN893" s="274"/>
      <c r="AO893" s="274"/>
      <c r="AP893" s="274"/>
      <c r="AQ893" s="274"/>
      <c r="AR893" s="274"/>
      <c r="AS893" s="274"/>
      <c r="AT893" s="274"/>
      <c r="AU893" s="274"/>
      <c r="AV893" s="274"/>
      <c r="AW893" s="274"/>
    </row>
    <row r="894" ht="15.75" customHeight="1">
      <c r="A894" s="274"/>
      <c r="B894" s="274"/>
      <c r="C894" s="274"/>
      <c r="D894" s="274"/>
      <c r="E894" s="274"/>
      <c r="F894" s="274"/>
      <c r="G894" s="274"/>
      <c r="H894" s="274"/>
      <c r="I894" s="274"/>
      <c r="J894" s="274"/>
      <c r="K894" s="274"/>
      <c r="L894" s="274"/>
      <c r="M894" s="274"/>
      <c r="N894" s="274"/>
      <c r="O894" s="274"/>
      <c r="P894" s="274"/>
      <c r="Q894" s="274"/>
      <c r="R894" s="316"/>
      <c r="W894" s="274"/>
      <c r="X894" s="274"/>
      <c r="Y894" s="274"/>
      <c r="Z894" s="274"/>
      <c r="AA894" s="274"/>
      <c r="AB894" s="274"/>
      <c r="AC894" s="274"/>
      <c r="AD894" s="274"/>
      <c r="AE894" s="274"/>
      <c r="AF894" s="274"/>
      <c r="AG894" s="274"/>
      <c r="AH894" s="274"/>
      <c r="AI894" s="274"/>
      <c r="AJ894" s="274"/>
      <c r="AK894" s="274"/>
      <c r="AL894" s="274"/>
      <c r="AM894" s="274"/>
      <c r="AN894" s="274"/>
      <c r="AO894" s="274"/>
      <c r="AP894" s="274"/>
      <c r="AQ894" s="274"/>
      <c r="AR894" s="274"/>
      <c r="AS894" s="274"/>
      <c r="AT894" s="274"/>
      <c r="AU894" s="274"/>
      <c r="AV894" s="274"/>
      <c r="AW894" s="274"/>
    </row>
    <row r="895" ht="15.75" customHeight="1">
      <c r="A895" s="274"/>
      <c r="B895" s="274"/>
      <c r="C895" s="274"/>
      <c r="D895" s="274"/>
      <c r="E895" s="274"/>
      <c r="F895" s="274"/>
      <c r="G895" s="274"/>
      <c r="H895" s="274"/>
      <c r="I895" s="274"/>
      <c r="J895" s="274"/>
      <c r="K895" s="274"/>
      <c r="L895" s="274"/>
      <c r="M895" s="274"/>
      <c r="N895" s="274"/>
      <c r="O895" s="274"/>
      <c r="P895" s="274"/>
      <c r="Q895" s="274"/>
      <c r="R895" s="316"/>
      <c r="W895" s="274"/>
      <c r="X895" s="274"/>
      <c r="Y895" s="274"/>
      <c r="Z895" s="274"/>
      <c r="AA895" s="274"/>
      <c r="AB895" s="274"/>
      <c r="AC895" s="274"/>
      <c r="AD895" s="274"/>
      <c r="AE895" s="274"/>
      <c r="AF895" s="274"/>
      <c r="AG895" s="274"/>
      <c r="AH895" s="274"/>
      <c r="AI895" s="274"/>
      <c r="AJ895" s="274"/>
      <c r="AK895" s="274"/>
      <c r="AL895" s="274"/>
      <c r="AM895" s="274"/>
      <c r="AN895" s="274"/>
      <c r="AO895" s="274"/>
      <c r="AP895" s="274"/>
      <c r="AQ895" s="274"/>
      <c r="AR895" s="274"/>
      <c r="AS895" s="274"/>
      <c r="AT895" s="274"/>
      <c r="AU895" s="274"/>
      <c r="AV895" s="274"/>
      <c r="AW895" s="274"/>
    </row>
    <row r="896" ht="15.75" customHeight="1">
      <c r="A896" s="274"/>
      <c r="B896" s="274"/>
      <c r="C896" s="274"/>
      <c r="D896" s="274"/>
      <c r="E896" s="274"/>
      <c r="F896" s="274"/>
      <c r="G896" s="274"/>
      <c r="H896" s="274"/>
      <c r="I896" s="274"/>
      <c r="J896" s="274"/>
      <c r="K896" s="274"/>
      <c r="L896" s="274"/>
      <c r="M896" s="274"/>
      <c r="N896" s="274"/>
      <c r="O896" s="274"/>
      <c r="P896" s="274"/>
      <c r="Q896" s="274"/>
      <c r="R896" s="316"/>
      <c r="W896" s="274"/>
      <c r="X896" s="274"/>
      <c r="Y896" s="274"/>
      <c r="Z896" s="274"/>
      <c r="AA896" s="274"/>
      <c r="AB896" s="274"/>
      <c r="AC896" s="274"/>
      <c r="AD896" s="274"/>
      <c r="AE896" s="274"/>
      <c r="AF896" s="274"/>
      <c r="AG896" s="274"/>
      <c r="AH896" s="274"/>
      <c r="AI896" s="274"/>
      <c r="AJ896" s="274"/>
      <c r="AK896" s="274"/>
      <c r="AL896" s="274"/>
      <c r="AM896" s="274"/>
      <c r="AN896" s="274"/>
      <c r="AO896" s="274"/>
      <c r="AP896" s="274"/>
      <c r="AQ896" s="274"/>
      <c r="AR896" s="274"/>
      <c r="AS896" s="274"/>
      <c r="AT896" s="274"/>
      <c r="AU896" s="274"/>
      <c r="AV896" s="274"/>
      <c r="AW896" s="274"/>
    </row>
    <row r="897" ht="15.75" customHeight="1">
      <c r="A897" s="274"/>
      <c r="B897" s="274"/>
      <c r="C897" s="274"/>
      <c r="D897" s="274"/>
      <c r="E897" s="274"/>
      <c r="F897" s="274"/>
      <c r="G897" s="274"/>
      <c r="H897" s="274"/>
      <c r="I897" s="274"/>
      <c r="J897" s="274"/>
      <c r="K897" s="274"/>
      <c r="L897" s="274"/>
      <c r="M897" s="274"/>
      <c r="N897" s="274"/>
      <c r="O897" s="274"/>
      <c r="P897" s="274"/>
      <c r="Q897" s="274"/>
      <c r="R897" s="316"/>
      <c r="W897" s="274"/>
      <c r="X897" s="274"/>
      <c r="Y897" s="274"/>
      <c r="Z897" s="274"/>
      <c r="AA897" s="274"/>
      <c r="AB897" s="274"/>
      <c r="AC897" s="274"/>
      <c r="AD897" s="274"/>
      <c r="AE897" s="274"/>
      <c r="AF897" s="274"/>
      <c r="AG897" s="274"/>
      <c r="AH897" s="274"/>
      <c r="AI897" s="274"/>
      <c r="AJ897" s="274"/>
      <c r="AK897" s="274"/>
      <c r="AL897" s="274"/>
      <c r="AM897" s="274"/>
      <c r="AN897" s="274"/>
      <c r="AO897" s="274"/>
      <c r="AP897" s="274"/>
      <c r="AQ897" s="274"/>
      <c r="AR897" s="274"/>
      <c r="AS897" s="274"/>
      <c r="AT897" s="274"/>
      <c r="AU897" s="274"/>
      <c r="AV897" s="274"/>
      <c r="AW897" s="274"/>
    </row>
    <row r="898" ht="15.75" customHeight="1">
      <c r="A898" s="274"/>
      <c r="B898" s="274"/>
      <c r="C898" s="274"/>
      <c r="D898" s="274"/>
      <c r="E898" s="274"/>
      <c r="F898" s="274"/>
      <c r="G898" s="274"/>
      <c r="H898" s="274"/>
      <c r="I898" s="274"/>
      <c r="J898" s="274"/>
      <c r="K898" s="274"/>
      <c r="L898" s="274"/>
      <c r="M898" s="274"/>
      <c r="N898" s="274"/>
      <c r="O898" s="274"/>
      <c r="P898" s="274"/>
      <c r="Q898" s="274"/>
      <c r="R898" s="316"/>
      <c r="W898" s="274"/>
      <c r="X898" s="274"/>
      <c r="Y898" s="274"/>
      <c r="Z898" s="274"/>
      <c r="AA898" s="274"/>
      <c r="AB898" s="274"/>
      <c r="AC898" s="274"/>
      <c r="AD898" s="274"/>
      <c r="AE898" s="274"/>
      <c r="AF898" s="274"/>
      <c r="AG898" s="274"/>
      <c r="AH898" s="274"/>
      <c r="AI898" s="274"/>
      <c r="AJ898" s="274"/>
      <c r="AK898" s="274"/>
      <c r="AL898" s="274"/>
      <c r="AM898" s="274"/>
      <c r="AN898" s="274"/>
      <c r="AO898" s="274"/>
      <c r="AP898" s="274"/>
      <c r="AQ898" s="274"/>
      <c r="AR898" s="274"/>
      <c r="AS898" s="274"/>
      <c r="AT898" s="274"/>
      <c r="AU898" s="274"/>
      <c r="AV898" s="274"/>
      <c r="AW898" s="274"/>
    </row>
    <row r="899" ht="15.75" customHeight="1">
      <c r="A899" s="274"/>
      <c r="B899" s="274"/>
      <c r="C899" s="274"/>
      <c r="D899" s="274"/>
      <c r="E899" s="274"/>
      <c r="F899" s="274"/>
      <c r="G899" s="274"/>
      <c r="H899" s="274"/>
      <c r="I899" s="274"/>
      <c r="J899" s="274"/>
      <c r="K899" s="274"/>
      <c r="L899" s="274"/>
      <c r="M899" s="274"/>
      <c r="N899" s="274"/>
      <c r="O899" s="274"/>
      <c r="P899" s="274"/>
      <c r="Q899" s="274"/>
      <c r="R899" s="316"/>
      <c r="W899" s="274"/>
      <c r="X899" s="274"/>
      <c r="Y899" s="274"/>
      <c r="Z899" s="274"/>
      <c r="AA899" s="274"/>
      <c r="AB899" s="274"/>
      <c r="AC899" s="274"/>
      <c r="AD899" s="274"/>
      <c r="AE899" s="274"/>
      <c r="AF899" s="274"/>
      <c r="AG899" s="274"/>
      <c r="AH899" s="274"/>
      <c r="AI899" s="274"/>
      <c r="AJ899" s="274"/>
      <c r="AK899" s="274"/>
      <c r="AL899" s="274"/>
      <c r="AM899" s="274"/>
      <c r="AN899" s="274"/>
      <c r="AO899" s="274"/>
      <c r="AP899" s="274"/>
      <c r="AQ899" s="274"/>
      <c r="AR899" s="274"/>
      <c r="AS899" s="274"/>
      <c r="AT899" s="274"/>
      <c r="AU899" s="274"/>
      <c r="AV899" s="274"/>
      <c r="AW899" s="274"/>
    </row>
    <row r="900" ht="15.75" customHeight="1">
      <c r="A900" s="274"/>
      <c r="B900" s="274"/>
      <c r="C900" s="274"/>
      <c r="D900" s="274"/>
      <c r="E900" s="274"/>
      <c r="F900" s="274"/>
      <c r="G900" s="274"/>
      <c r="H900" s="274"/>
      <c r="I900" s="274"/>
      <c r="J900" s="274"/>
      <c r="K900" s="274"/>
      <c r="L900" s="274"/>
      <c r="M900" s="274"/>
      <c r="N900" s="274"/>
      <c r="O900" s="274"/>
      <c r="P900" s="274"/>
      <c r="Q900" s="274"/>
      <c r="R900" s="316"/>
      <c r="W900" s="274"/>
      <c r="X900" s="274"/>
      <c r="Y900" s="274"/>
      <c r="Z900" s="274"/>
      <c r="AA900" s="274"/>
      <c r="AB900" s="274"/>
      <c r="AC900" s="274"/>
      <c r="AD900" s="274"/>
      <c r="AE900" s="274"/>
      <c r="AF900" s="274"/>
      <c r="AG900" s="274"/>
      <c r="AH900" s="274"/>
      <c r="AI900" s="274"/>
      <c r="AJ900" s="274"/>
      <c r="AK900" s="274"/>
      <c r="AL900" s="274"/>
      <c r="AM900" s="274"/>
      <c r="AN900" s="274"/>
      <c r="AO900" s="274"/>
      <c r="AP900" s="274"/>
      <c r="AQ900" s="274"/>
      <c r="AR900" s="274"/>
      <c r="AS900" s="274"/>
      <c r="AT900" s="274"/>
      <c r="AU900" s="274"/>
      <c r="AV900" s="274"/>
      <c r="AW900" s="274"/>
    </row>
    <row r="901" ht="15.75" customHeight="1">
      <c r="A901" s="274"/>
      <c r="B901" s="274"/>
      <c r="C901" s="274"/>
      <c r="D901" s="274"/>
      <c r="E901" s="274"/>
      <c r="F901" s="274"/>
      <c r="G901" s="274"/>
      <c r="H901" s="274"/>
      <c r="I901" s="274"/>
      <c r="J901" s="274"/>
      <c r="K901" s="274"/>
      <c r="L901" s="274"/>
      <c r="M901" s="274"/>
      <c r="N901" s="274"/>
      <c r="O901" s="274"/>
      <c r="P901" s="274"/>
      <c r="Q901" s="274"/>
      <c r="R901" s="316"/>
      <c r="W901" s="274"/>
      <c r="X901" s="274"/>
      <c r="Y901" s="274"/>
      <c r="Z901" s="274"/>
      <c r="AA901" s="274"/>
      <c r="AB901" s="274"/>
      <c r="AC901" s="274"/>
      <c r="AD901" s="274"/>
      <c r="AE901" s="274"/>
      <c r="AF901" s="274"/>
      <c r="AG901" s="274"/>
      <c r="AH901" s="274"/>
      <c r="AI901" s="274"/>
      <c r="AJ901" s="274"/>
      <c r="AK901" s="274"/>
      <c r="AL901" s="274"/>
      <c r="AM901" s="274"/>
      <c r="AN901" s="274"/>
      <c r="AO901" s="274"/>
      <c r="AP901" s="274"/>
      <c r="AQ901" s="274"/>
      <c r="AR901" s="274"/>
      <c r="AS901" s="274"/>
      <c r="AT901" s="274"/>
      <c r="AU901" s="274"/>
      <c r="AV901" s="274"/>
      <c r="AW901" s="274"/>
    </row>
    <row r="902" ht="15.75" customHeight="1">
      <c r="A902" s="274"/>
      <c r="B902" s="274"/>
      <c r="C902" s="274"/>
      <c r="D902" s="274"/>
      <c r="E902" s="274"/>
      <c r="F902" s="274"/>
      <c r="G902" s="274"/>
      <c r="H902" s="274"/>
      <c r="I902" s="274"/>
      <c r="J902" s="274"/>
      <c r="K902" s="274"/>
      <c r="L902" s="274"/>
      <c r="M902" s="274"/>
      <c r="N902" s="274"/>
      <c r="O902" s="274"/>
      <c r="P902" s="274"/>
      <c r="Q902" s="274"/>
      <c r="R902" s="316"/>
      <c r="W902" s="274"/>
      <c r="X902" s="274"/>
      <c r="Y902" s="274"/>
      <c r="Z902" s="274"/>
      <c r="AA902" s="274"/>
      <c r="AB902" s="274"/>
      <c r="AC902" s="274"/>
      <c r="AD902" s="274"/>
      <c r="AE902" s="274"/>
      <c r="AF902" s="274"/>
      <c r="AG902" s="274"/>
      <c r="AH902" s="274"/>
      <c r="AI902" s="274"/>
      <c r="AJ902" s="274"/>
      <c r="AK902" s="274"/>
      <c r="AL902" s="274"/>
      <c r="AM902" s="274"/>
      <c r="AN902" s="274"/>
      <c r="AO902" s="274"/>
      <c r="AP902" s="274"/>
      <c r="AQ902" s="274"/>
      <c r="AR902" s="274"/>
      <c r="AS902" s="274"/>
      <c r="AT902" s="274"/>
      <c r="AU902" s="274"/>
      <c r="AV902" s="274"/>
      <c r="AW902" s="274"/>
    </row>
    <row r="903" ht="15.75" customHeight="1">
      <c r="A903" s="274"/>
      <c r="B903" s="274"/>
      <c r="C903" s="274"/>
      <c r="D903" s="274"/>
      <c r="E903" s="274"/>
      <c r="F903" s="274"/>
      <c r="G903" s="274"/>
      <c r="H903" s="274"/>
      <c r="I903" s="274"/>
      <c r="J903" s="274"/>
      <c r="K903" s="274"/>
      <c r="L903" s="274"/>
      <c r="M903" s="274"/>
      <c r="N903" s="274"/>
      <c r="O903" s="274"/>
      <c r="P903" s="274"/>
      <c r="Q903" s="274"/>
      <c r="R903" s="316"/>
      <c r="W903" s="274"/>
      <c r="X903" s="274"/>
      <c r="Y903" s="274"/>
      <c r="Z903" s="274"/>
      <c r="AA903" s="274"/>
      <c r="AB903" s="274"/>
      <c r="AC903" s="274"/>
      <c r="AD903" s="274"/>
      <c r="AE903" s="274"/>
      <c r="AF903" s="274"/>
      <c r="AG903" s="274"/>
      <c r="AH903" s="274"/>
      <c r="AI903" s="274"/>
      <c r="AJ903" s="274"/>
      <c r="AK903" s="274"/>
      <c r="AL903" s="274"/>
      <c r="AM903" s="274"/>
      <c r="AN903" s="274"/>
      <c r="AO903" s="274"/>
      <c r="AP903" s="274"/>
      <c r="AQ903" s="274"/>
      <c r="AR903" s="274"/>
      <c r="AS903" s="274"/>
      <c r="AT903" s="274"/>
      <c r="AU903" s="274"/>
      <c r="AV903" s="274"/>
      <c r="AW903" s="274"/>
    </row>
    <row r="904" ht="15.75" customHeight="1">
      <c r="A904" s="274"/>
      <c r="B904" s="274"/>
      <c r="C904" s="274"/>
      <c r="D904" s="274"/>
      <c r="E904" s="274"/>
      <c r="F904" s="274"/>
      <c r="G904" s="274"/>
      <c r="H904" s="274"/>
      <c r="I904" s="274"/>
      <c r="J904" s="274"/>
      <c r="K904" s="274"/>
      <c r="L904" s="274"/>
      <c r="M904" s="274"/>
      <c r="N904" s="274"/>
      <c r="O904" s="274"/>
      <c r="P904" s="274"/>
      <c r="Q904" s="274"/>
      <c r="R904" s="316"/>
      <c r="W904" s="274"/>
      <c r="X904" s="274"/>
      <c r="Y904" s="274"/>
      <c r="Z904" s="274"/>
      <c r="AA904" s="274"/>
      <c r="AB904" s="274"/>
      <c r="AC904" s="274"/>
      <c r="AD904" s="274"/>
      <c r="AE904" s="274"/>
      <c r="AF904" s="274"/>
      <c r="AG904" s="274"/>
      <c r="AH904" s="274"/>
      <c r="AI904" s="274"/>
      <c r="AJ904" s="274"/>
      <c r="AK904" s="274"/>
      <c r="AL904" s="274"/>
      <c r="AM904" s="274"/>
      <c r="AN904" s="274"/>
      <c r="AO904" s="274"/>
      <c r="AP904" s="274"/>
      <c r="AQ904" s="274"/>
      <c r="AR904" s="274"/>
      <c r="AS904" s="274"/>
      <c r="AT904" s="274"/>
      <c r="AU904" s="274"/>
      <c r="AV904" s="274"/>
      <c r="AW904" s="274"/>
    </row>
    <row r="905" ht="15.75" customHeight="1">
      <c r="A905" s="274"/>
      <c r="B905" s="274"/>
      <c r="C905" s="274"/>
      <c r="D905" s="274"/>
      <c r="E905" s="274"/>
      <c r="F905" s="274"/>
      <c r="G905" s="274"/>
      <c r="H905" s="274"/>
      <c r="I905" s="274"/>
      <c r="J905" s="274"/>
      <c r="K905" s="274"/>
      <c r="L905" s="274"/>
      <c r="M905" s="274"/>
      <c r="N905" s="274"/>
      <c r="O905" s="274"/>
      <c r="P905" s="274"/>
      <c r="Q905" s="274"/>
      <c r="R905" s="316"/>
      <c r="W905" s="274"/>
      <c r="X905" s="274"/>
      <c r="Y905" s="274"/>
      <c r="Z905" s="274"/>
      <c r="AA905" s="274"/>
      <c r="AB905" s="274"/>
      <c r="AC905" s="274"/>
      <c r="AD905" s="274"/>
      <c r="AE905" s="274"/>
      <c r="AF905" s="274"/>
      <c r="AG905" s="274"/>
      <c r="AH905" s="274"/>
      <c r="AI905" s="274"/>
      <c r="AJ905" s="274"/>
      <c r="AK905" s="274"/>
      <c r="AL905" s="274"/>
      <c r="AM905" s="274"/>
      <c r="AN905" s="274"/>
      <c r="AO905" s="274"/>
      <c r="AP905" s="274"/>
      <c r="AQ905" s="274"/>
      <c r="AR905" s="274"/>
      <c r="AS905" s="274"/>
      <c r="AT905" s="274"/>
      <c r="AU905" s="274"/>
      <c r="AV905" s="274"/>
      <c r="AW905" s="274"/>
    </row>
    <row r="906" ht="15.75" customHeight="1">
      <c r="A906" s="274"/>
      <c r="B906" s="274"/>
      <c r="C906" s="274"/>
      <c r="D906" s="274"/>
      <c r="E906" s="274"/>
      <c r="F906" s="274"/>
      <c r="G906" s="274"/>
      <c r="H906" s="274"/>
      <c r="I906" s="274"/>
      <c r="J906" s="274"/>
      <c r="K906" s="274"/>
      <c r="L906" s="274"/>
      <c r="M906" s="274"/>
      <c r="N906" s="274"/>
      <c r="O906" s="274"/>
      <c r="P906" s="274"/>
      <c r="Q906" s="274"/>
      <c r="R906" s="316"/>
      <c r="W906" s="274"/>
      <c r="X906" s="274"/>
      <c r="Y906" s="274"/>
      <c r="Z906" s="274"/>
      <c r="AA906" s="274"/>
      <c r="AB906" s="274"/>
      <c r="AC906" s="274"/>
      <c r="AD906" s="274"/>
      <c r="AE906" s="274"/>
      <c r="AF906" s="274"/>
      <c r="AG906" s="274"/>
      <c r="AH906" s="274"/>
      <c r="AI906" s="274"/>
      <c r="AJ906" s="274"/>
      <c r="AK906" s="274"/>
      <c r="AL906" s="274"/>
      <c r="AM906" s="274"/>
      <c r="AN906" s="274"/>
      <c r="AO906" s="274"/>
      <c r="AP906" s="274"/>
      <c r="AQ906" s="274"/>
      <c r="AR906" s="274"/>
      <c r="AS906" s="274"/>
      <c r="AT906" s="274"/>
      <c r="AU906" s="274"/>
      <c r="AV906" s="274"/>
      <c r="AW906" s="274"/>
    </row>
    <row r="907" ht="15.75" customHeight="1">
      <c r="A907" s="274"/>
      <c r="B907" s="274"/>
      <c r="C907" s="274"/>
      <c r="D907" s="274"/>
      <c r="E907" s="274"/>
      <c r="F907" s="274"/>
      <c r="G907" s="274"/>
      <c r="H907" s="274"/>
      <c r="I907" s="274"/>
      <c r="J907" s="274"/>
      <c r="K907" s="274"/>
      <c r="L907" s="274"/>
      <c r="M907" s="274"/>
      <c r="N907" s="274"/>
      <c r="O907" s="274"/>
      <c r="P907" s="274"/>
      <c r="Q907" s="274"/>
      <c r="R907" s="316"/>
      <c r="W907" s="274"/>
      <c r="X907" s="274"/>
      <c r="Y907" s="274"/>
      <c r="Z907" s="274"/>
      <c r="AA907" s="274"/>
      <c r="AB907" s="274"/>
      <c r="AC907" s="274"/>
      <c r="AD907" s="274"/>
      <c r="AE907" s="274"/>
      <c r="AF907" s="274"/>
      <c r="AG907" s="274"/>
      <c r="AH907" s="274"/>
      <c r="AI907" s="274"/>
      <c r="AJ907" s="274"/>
      <c r="AK907" s="274"/>
      <c r="AL907" s="274"/>
      <c r="AM907" s="274"/>
      <c r="AN907" s="274"/>
      <c r="AO907" s="274"/>
      <c r="AP907" s="274"/>
      <c r="AQ907" s="274"/>
      <c r="AR907" s="274"/>
      <c r="AS907" s="274"/>
      <c r="AT907" s="274"/>
      <c r="AU907" s="274"/>
      <c r="AV907" s="274"/>
      <c r="AW907" s="274"/>
    </row>
    <row r="908" ht="15.75" customHeight="1">
      <c r="A908" s="274"/>
      <c r="B908" s="274"/>
      <c r="C908" s="274"/>
      <c r="D908" s="274"/>
      <c r="E908" s="274"/>
      <c r="F908" s="274"/>
      <c r="G908" s="274"/>
      <c r="H908" s="274"/>
      <c r="I908" s="274"/>
      <c r="J908" s="274"/>
      <c r="K908" s="274"/>
      <c r="L908" s="274"/>
      <c r="M908" s="274"/>
      <c r="N908" s="274"/>
      <c r="O908" s="274"/>
      <c r="P908" s="274"/>
      <c r="Q908" s="274"/>
      <c r="R908" s="316"/>
      <c r="W908" s="274"/>
      <c r="X908" s="274"/>
      <c r="Y908" s="274"/>
      <c r="Z908" s="274"/>
      <c r="AA908" s="274"/>
      <c r="AB908" s="274"/>
      <c r="AC908" s="274"/>
      <c r="AD908" s="274"/>
      <c r="AE908" s="274"/>
      <c r="AF908" s="274"/>
      <c r="AG908" s="274"/>
      <c r="AH908" s="274"/>
      <c r="AI908" s="274"/>
      <c r="AJ908" s="274"/>
      <c r="AK908" s="274"/>
      <c r="AL908" s="274"/>
      <c r="AM908" s="274"/>
      <c r="AN908" s="274"/>
      <c r="AO908" s="274"/>
      <c r="AP908" s="274"/>
      <c r="AQ908" s="274"/>
      <c r="AR908" s="274"/>
      <c r="AS908" s="274"/>
      <c r="AT908" s="274"/>
      <c r="AU908" s="274"/>
      <c r="AV908" s="274"/>
      <c r="AW908" s="274"/>
    </row>
    <row r="909" ht="15.75" customHeight="1">
      <c r="A909" s="274"/>
      <c r="B909" s="274"/>
      <c r="C909" s="274"/>
      <c r="D909" s="274"/>
      <c r="E909" s="274"/>
      <c r="F909" s="274"/>
      <c r="G909" s="274"/>
      <c r="H909" s="274"/>
      <c r="I909" s="274"/>
      <c r="J909" s="274"/>
      <c r="K909" s="274"/>
      <c r="L909" s="274"/>
      <c r="M909" s="274"/>
      <c r="N909" s="274"/>
      <c r="O909" s="274"/>
      <c r="P909" s="274"/>
      <c r="Q909" s="274"/>
      <c r="R909" s="316"/>
      <c r="W909" s="274"/>
      <c r="X909" s="274"/>
      <c r="Y909" s="274"/>
      <c r="Z909" s="274"/>
      <c r="AA909" s="274"/>
      <c r="AB909" s="274"/>
      <c r="AC909" s="274"/>
      <c r="AD909" s="274"/>
      <c r="AE909" s="274"/>
      <c r="AF909" s="274"/>
      <c r="AG909" s="274"/>
      <c r="AH909" s="274"/>
      <c r="AI909" s="274"/>
      <c r="AJ909" s="274"/>
      <c r="AK909" s="274"/>
      <c r="AL909" s="274"/>
      <c r="AM909" s="274"/>
      <c r="AN909" s="274"/>
      <c r="AO909" s="274"/>
      <c r="AP909" s="274"/>
      <c r="AQ909" s="274"/>
      <c r="AR909" s="274"/>
      <c r="AS909" s="274"/>
      <c r="AT909" s="274"/>
      <c r="AU909" s="274"/>
      <c r="AV909" s="274"/>
      <c r="AW909" s="274"/>
    </row>
    <row r="910" ht="15.75" customHeight="1">
      <c r="A910" s="274"/>
      <c r="B910" s="274"/>
      <c r="C910" s="274"/>
      <c r="D910" s="274"/>
      <c r="E910" s="274"/>
      <c r="F910" s="274"/>
      <c r="G910" s="274"/>
      <c r="H910" s="274"/>
      <c r="I910" s="274"/>
      <c r="J910" s="274"/>
      <c r="K910" s="274"/>
      <c r="L910" s="274"/>
      <c r="M910" s="274"/>
      <c r="N910" s="274"/>
      <c r="O910" s="274"/>
      <c r="P910" s="274"/>
      <c r="Q910" s="274"/>
      <c r="R910" s="316"/>
      <c r="W910" s="274"/>
      <c r="X910" s="274"/>
      <c r="Y910" s="274"/>
      <c r="Z910" s="274"/>
      <c r="AA910" s="274"/>
      <c r="AB910" s="274"/>
      <c r="AC910" s="274"/>
      <c r="AD910" s="274"/>
      <c r="AE910" s="274"/>
      <c r="AF910" s="274"/>
      <c r="AG910" s="274"/>
      <c r="AH910" s="274"/>
      <c r="AI910" s="274"/>
      <c r="AJ910" s="274"/>
      <c r="AK910" s="274"/>
      <c r="AL910" s="274"/>
      <c r="AM910" s="274"/>
      <c r="AN910" s="274"/>
      <c r="AO910" s="274"/>
      <c r="AP910" s="274"/>
      <c r="AQ910" s="274"/>
      <c r="AR910" s="274"/>
      <c r="AS910" s="274"/>
      <c r="AT910" s="274"/>
      <c r="AU910" s="274"/>
      <c r="AV910" s="274"/>
      <c r="AW910" s="274"/>
    </row>
    <row r="911" ht="15.75" customHeight="1">
      <c r="A911" s="274"/>
      <c r="B911" s="274"/>
      <c r="C911" s="274"/>
      <c r="D911" s="274"/>
      <c r="E911" s="274"/>
      <c r="F911" s="274"/>
      <c r="G911" s="274"/>
      <c r="H911" s="274"/>
      <c r="I911" s="274"/>
      <c r="J911" s="274"/>
      <c r="K911" s="274"/>
      <c r="L911" s="274"/>
      <c r="M911" s="274"/>
      <c r="N911" s="274"/>
      <c r="O911" s="274"/>
      <c r="P911" s="274"/>
      <c r="Q911" s="274"/>
      <c r="R911" s="316"/>
      <c r="W911" s="274"/>
      <c r="X911" s="274"/>
      <c r="Y911" s="274"/>
      <c r="Z911" s="274"/>
      <c r="AA911" s="274"/>
      <c r="AB911" s="274"/>
      <c r="AC911" s="274"/>
      <c r="AD911" s="274"/>
      <c r="AE911" s="274"/>
      <c r="AF911" s="274"/>
      <c r="AG911" s="274"/>
      <c r="AH911" s="274"/>
      <c r="AI911" s="274"/>
      <c r="AJ911" s="274"/>
      <c r="AK911" s="274"/>
      <c r="AL911" s="274"/>
      <c r="AM911" s="274"/>
      <c r="AN911" s="274"/>
      <c r="AO911" s="274"/>
      <c r="AP911" s="274"/>
      <c r="AQ911" s="274"/>
      <c r="AR911" s="274"/>
      <c r="AS911" s="274"/>
      <c r="AT911" s="274"/>
      <c r="AU911" s="274"/>
      <c r="AV911" s="274"/>
      <c r="AW911" s="274"/>
    </row>
    <row r="912" ht="15.75" customHeight="1">
      <c r="A912" s="274"/>
      <c r="B912" s="274"/>
      <c r="C912" s="274"/>
      <c r="D912" s="274"/>
      <c r="E912" s="274"/>
      <c r="F912" s="274"/>
      <c r="G912" s="274"/>
      <c r="H912" s="274"/>
      <c r="I912" s="274"/>
      <c r="J912" s="274"/>
      <c r="K912" s="274"/>
      <c r="L912" s="274"/>
      <c r="M912" s="274"/>
      <c r="N912" s="274"/>
      <c r="O912" s="274"/>
      <c r="P912" s="274"/>
      <c r="Q912" s="274"/>
      <c r="R912" s="316"/>
      <c r="W912" s="274"/>
      <c r="X912" s="274"/>
      <c r="Y912" s="274"/>
      <c r="Z912" s="274"/>
      <c r="AA912" s="274"/>
      <c r="AB912" s="274"/>
      <c r="AC912" s="274"/>
      <c r="AD912" s="274"/>
      <c r="AE912" s="274"/>
      <c r="AF912" s="274"/>
      <c r="AG912" s="274"/>
      <c r="AH912" s="274"/>
      <c r="AI912" s="274"/>
      <c r="AJ912" s="274"/>
      <c r="AK912" s="274"/>
      <c r="AL912" s="274"/>
      <c r="AM912" s="274"/>
      <c r="AN912" s="274"/>
      <c r="AO912" s="274"/>
      <c r="AP912" s="274"/>
      <c r="AQ912" s="274"/>
      <c r="AR912" s="274"/>
      <c r="AS912" s="274"/>
      <c r="AT912" s="274"/>
      <c r="AU912" s="274"/>
      <c r="AV912" s="274"/>
      <c r="AW912" s="274"/>
    </row>
    <row r="913" ht="15.75" customHeight="1">
      <c r="A913" s="274"/>
      <c r="B913" s="274"/>
      <c r="C913" s="274"/>
      <c r="D913" s="274"/>
      <c r="E913" s="274"/>
      <c r="F913" s="274"/>
      <c r="G913" s="274"/>
      <c r="H913" s="274"/>
      <c r="I913" s="274"/>
      <c r="J913" s="274"/>
      <c r="K913" s="274"/>
      <c r="L913" s="274"/>
      <c r="M913" s="274"/>
      <c r="N913" s="274"/>
      <c r="O913" s="274"/>
      <c r="P913" s="274"/>
      <c r="Q913" s="274"/>
      <c r="R913" s="316"/>
      <c r="W913" s="274"/>
      <c r="X913" s="274"/>
      <c r="Y913" s="274"/>
      <c r="Z913" s="274"/>
      <c r="AA913" s="274"/>
      <c r="AB913" s="274"/>
      <c r="AC913" s="274"/>
      <c r="AD913" s="274"/>
      <c r="AE913" s="274"/>
      <c r="AF913" s="274"/>
      <c r="AG913" s="274"/>
      <c r="AH913" s="274"/>
      <c r="AI913" s="274"/>
      <c r="AJ913" s="274"/>
      <c r="AK913" s="274"/>
      <c r="AL913" s="274"/>
      <c r="AM913" s="274"/>
      <c r="AN913" s="274"/>
      <c r="AO913" s="274"/>
      <c r="AP913" s="274"/>
      <c r="AQ913" s="274"/>
      <c r="AR913" s="274"/>
      <c r="AS913" s="274"/>
      <c r="AT913" s="274"/>
      <c r="AU913" s="274"/>
      <c r="AV913" s="274"/>
      <c r="AW913" s="274"/>
    </row>
    <row r="914" ht="15.75" customHeight="1">
      <c r="A914" s="274"/>
      <c r="B914" s="274"/>
      <c r="C914" s="274"/>
      <c r="D914" s="274"/>
      <c r="E914" s="274"/>
      <c r="F914" s="274"/>
      <c r="G914" s="274"/>
      <c r="H914" s="274"/>
      <c r="I914" s="274"/>
      <c r="J914" s="274"/>
      <c r="K914" s="274"/>
      <c r="L914" s="274"/>
      <c r="M914" s="274"/>
      <c r="N914" s="274"/>
      <c r="O914" s="274"/>
      <c r="P914" s="274"/>
      <c r="Q914" s="274"/>
      <c r="R914" s="316"/>
      <c r="W914" s="274"/>
      <c r="X914" s="274"/>
      <c r="Y914" s="274"/>
      <c r="Z914" s="274"/>
      <c r="AA914" s="274"/>
      <c r="AB914" s="274"/>
      <c r="AC914" s="274"/>
      <c r="AD914" s="274"/>
      <c r="AE914" s="274"/>
      <c r="AF914" s="274"/>
      <c r="AG914" s="274"/>
      <c r="AH914" s="274"/>
      <c r="AI914" s="274"/>
      <c r="AJ914" s="274"/>
      <c r="AK914" s="274"/>
      <c r="AL914" s="274"/>
      <c r="AM914" s="274"/>
      <c r="AN914" s="274"/>
      <c r="AO914" s="274"/>
      <c r="AP914" s="274"/>
      <c r="AQ914" s="274"/>
      <c r="AR914" s="274"/>
      <c r="AS914" s="274"/>
      <c r="AT914" s="274"/>
      <c r="AU914" s="274"/>
      <c r="AV914" s="274"/>
      <c r="AW914" s="274"/>
    </row>
    <row r="915" ht="15.75" customHeight="1">
      <c r="A915" s="274"/>
      <c r="B915" s="274"/>
      <c r="C915" s="274"/>
      <c r="D915" s="274"/>
      <c r="E915" s="274"/>
      <c r="F915" s="274"/>
      <c r="G915" s="274"/>
      <c r="H915" s="274"/>
      <c r="I915" s="274"/>
      <c r="J915" s="274"/>
      <c r="K915" s="274"/>
      <c r="L915" s="274"/>
      <c r="M915" s="274"/>
      <c r="N915" s="274"/>
      <c r="O915" s="274"/>
      <c r="P915" s="274"/>
      <c r="Q915" s="274"/>
      <c r="R915" s="316"/>
      <c r="W915" s="274"/>
      <c r="X915" s="274"/>
      <c r="Y915" s="274"/>
      <c r="Z915" s="274"/>
      <c r="AA915" s="274"/>
      <c r="AB915" s="274"/>
      <c r="AC915" s="274"/>
      <c r="AD915" s="274"/>
      <c r="AE915" s="274"/>
      <c r="AF915" s="274"/>
      <c r="AG915" s="274"/>
      <c r="AH915" s="274"/>
      <c r="AI915" s="274"/>
      <c r="AJ915" s="274"/>
      <c r="AK915" s="274"/>
      <c r="AL915" s="274"/>
      <c r="AM915" s="274"/>
      <c r="AN915" s="274"/>
      <c r="AO915" s="274"/>
      <c r="AP915" s="274"/>
      <c r="AQ915" s="274"/>
      <c r="AR915" s="274"/>
      <c r="AS915" s="274"/>
      <c r="AT915" s="274"/>
      <c r="AU915" s="274"/>
      <c r="AV915" s="274"/>
      <c r="AW915" s="274"/>
    </row>
    <row r="916" ht="15.75" customHeight="1">
      <c r="A916" s="274"/>
      <c r="B916" s="274"/>
      <c r="C916" s="274"/>
      <c r="D916" s="274"/>
      <c r="E916" s="274"/>
      <c r="F916" s="274"/>
      <c r="G916" s="274"/>
      <c r="H916" s="274"/>
      <c r="I916" s="274"/>
      <c r="J916" s="274"/>
      <c r="K916" s="274"/>
      <c r="L916" s="274"/>
      <c r="M916" s="274"/>
      <c r="N916" s="274"/>
      <c r="O916" s="274"/>
      <c r="P916" s="274"/>
      <c r="Q916" s="274"/>
      <c r="R916" s="316"/>
      <c r="W916" s="274"/>
      <c r="X916" s="274"/>
      <c r="Y916" s="274"/>
      <c r="Z916" s="274"/>
      <c r="AA916" s="274"/>
      <c r="AB916" s="274"/>
      <c r="AC916" s="274"/>
      <c r="AD916" s="274"/>
      <c r="AE916" s="274"/>
      <c r="AF916" s="274"/>
      <c r="AG916" s="274"/>
      <c r="AH916" s="274"/>
      <c r="AI916" s="274"/>
      <c r="AJ916" s="274"/>
      <c r="AK916" s="274"/>
      <c r="AL916" s="274"/>
      <c r="AM916" s="274"/>
      <c r="AN916" s="274"/>
      <c r="AO916" s="274"/>
      <c r="AP916" s="274"/>
      <c r="AQ916" s="274"/>
      <c r="AR916" s="274"/>
      <c r="AS916" s="274"/>
      <c r="AT916" s="274"/>
      <c r="AU916" s="274"/>
      <c r="AV916" s="274"/>
      <c r="AW916" s="274"/>
    </row>
    <row r="917" ht="15.75" customHeight="1">
      <c r="A917" s="274"/>
      <c r="B917" s="274"/>
      <c r="C917" s="274"/>
      <c r="D917" s="274"/>
      <c r="E917" s="274"/>
      <c r="F917" s="274"/>
      <c r="G917" s="274"/>
      <c r="H917" s="274"/>
      <c r="I917" s="274"/>
      <c r="J917" s="274"/>
      <c r="K917" s="274"/>
      <c r="L917" s="274"/>
      <c r="M917" s="274"/>
      <c r="N917" s="274"/>
      <c r="O917" s="274"/>
      <c r="P917" s="274"/>
      <c r="Q917" s="274"/>
      <c r="R917" s="316"/>
      <c r="W917" s="274"/>
      <c r="X917" s="274"/>
      <c r="Y917" s="274"/>
      <c r="Z917" s="274"/>
      <c r="AA917" s="274"/>
      <c r="AB917" s="274"/>
      <c r="AC917" s="274"/>
      <c r="AD917" s="274"/>
      <c r="AE917" s="274"/>
      <c r="AF917" s="274"/>
      <c r="AG917" s="274"/>
      <c r="AH917" s="274"/>
      <c r="AI917" s="274"/>
      <c r="AJ917" s="274"/>
      <c r="AK917" s="274"/>
      <c r="AL917" s="274"/>
      <c r="AM917" s="274"/>
      <c r="AN917" s="274"/>
      <c r="AO917" s="274"/>
      <c r="AP917" s="274"/>
      <c r="AQ917" s="274"/>
      <c r="AR917" s="274"/>
      <c r="AS917" s="274"/>
      <c r="AT917" s="274"/>
      <c r="AU917" s="274"/>
      <c r="AV917" s="274"/>
      <c r="AW917" s="274"/>
    </row>
    <row r="918" ht="15.75" customHeight="1">
      <c r="A918" s="274"/>
      <c r="B918" s="274"/>
      <c r="C918" s="274"/>
      <c r="D918" s="274"/>
      <c r="E918" s="274"/>
      <c r="F918" s="274"/>
      <c r="G918" s="274"/>
      <c r="H918" s="274"/>
      <c r="I918" s="274"/>
      <c r="J918" s="274"/>
      <c r="K918" s="274"/>
      <c r="L918" s="274"/>
      <c r="M918" s="274"/>
      <c r="N918" s="274"/>
      <c r="O918" s="274"/>
      <c r="P918" s="274"/>
      <c r="Q918" s="274"/>
      <c r="R918" s="316"/>
      <c r="W918" s="274"/>
      <c r="X918" s="274"/>
      <c r="Y918" s="274"/>
      <c r="Z918" s="274"/>
      <c r="AA918" s="274"/>
      <c r="AB918" s="274"/>
      <c r="AC918" s="274"/>
      <c r="AD918" s="274"/>
      <c r="AE918" s="274"/>
      <c r="AF918" s="274"/>
      <c r="AG918" s="274"/>
      <c r="AH918" s="274"/>
      <c r="AI918" s="274"/>
      <c r="AJ918" s="274"/>
      <c r="AK918" s="274"/>
      <c r="AL918" s="274"/>
      <c r="AM918" s="274"/>
      <c r="AN918" s="274"/>
      <c r="AO918" s="274"/>
      <c r="AP918" s="274"/>
      <c r="AQ918" s="274"/>
      <c r="AR918" s="274"/>
      <c r="AS918" s="274"/>
      <c r="AT918" s="274"/>
      <c r="AU918" s="274"/>
      <c r="AV918" s="274"/>
      <c r="AW918" s="274"/>
    </row>
    <row r="919" ht="15.75" customHeight="1">
      <c r="A919" s="274"/>
      <c r="B919" s="274"/>
      <c r="C919" s="274"/>
      <c r="D919" s="274"/>
      <c r="E919" s="274"/>
      <c r="F919" s="274"/>
      <c r="G919" s="274"/>
      <c r="H919" s="274"/>
      <c r="I919" s="274"/>
      <c r="J919" s="274"/>
      <c r="K919" s="274"/>
      <c r="L919" s="274"/>
      <c r="M919" s="274"/>
      <c r="N919" s="274"/>
      <c r="O919" s="274"/>
      <c r="P919" s="274"/>
      <c r="Q919" s="274"/>
      <c r="R919" s="316"/>
      <c r="W919" s="274"/>
      <c r="X919" s="274"/>
      <c r="Y919" s="274"/>
      <c r="Z919" s="274"/>
      <c r="AA919" s="274"/>
      <c r="AB919" s="274"/>
      <c r="AC919" s="274"/>
      <c r="AD919" s="274"/>
      <c r="AE919" s="274"/>
      <c r="AF919" s="274"/>
      <c r="AG919" s="274"/>
      <c r="AH919" s="274"/>
      <c r="AI919" s="274"/>
      <c r="AJ919" s="274"/>
      <c r="AK919" s="274"/>
      <c r="AL919" s="274"/>
      <c r="AM919" s="274"/>
      <c r="AN919" s="274"/>
      <c r="AO919" s="274"/>
      <c r="AP919" s="274"/>
      <c r="AQ919" s="274"/>
      <c r="AR919" s="274"/>
      <c r="AS919" s="274"/>
      <c r="AT919" s="274"/>
      <c r="AU919" s="274"/>
      <c r="AV919" s="274"/>
      <c r="AW919" s="274"/>
    </row>
    <row r="920" ht="15.75" customHeight="1">
      <c r="A920" s="274"/>
      <c r="B920" s="274"/>
      <c r="C920" s="274"/>
      <c r="D920" s="274"/>
      <c r="E920" s="274"/>
      <c r="F920" s="274"/>
      <c r="G920" s="274"/>
      <c r="H920" s="274"/>
      <c r="I920" s="274"/>
      <c r="J920" s="274"/>
      <c r="K920" s="274"/>
      <c r="L920" s="274"/>
      <c r="M920" s="274"/>
      <c r="N920" s="274"/>
      <c r="O920" s="274"/>
      <c r="P920" s="274"/>
      <c r="Q920" s="274"/>
      <c r="R920" s="316"/>
      <c r="W920" s="274"/>
      <c r="X920" s="274"/>
      <c r="Y920" s="274"/>
      <c r="Z920" s="274"/>
      <c r="AA920" s="274"/>
      <c r="AB920" s="274"/>
      <c r="AC920" s="274"/>
      <c r="AD920" s="274"/>
      <c r="AE920" s="274"/>
      <c r="AF920" s="274"/>
      <c r="AG920" s="274"/>
      <c r="AH920" s="274"/>
      <c r="AI920" s="274"/>
      <c r="AJ920" s="274"/>
      <c r="AK920" s="274"/>
      <c r="AL920" s="274"/>
      <c r="AM920" s="274"/>
      <c r="AN920" s="274"/>
      <c r="AO920" s="274"/>
      <c r="AP920" s="274"/>
      <c r="AQ920" s="274"/>
      <c r="AR920" s="274"/>
      <c r="AS920" s="274"/>
      <c r="AT920" s="274"/>
      <c r="AU920" s="274"/>
      <c r="AV920" s="274"/>
      <c r="AW920" s="274"/>
    </row>
    <row r="921" ht="15.75" customHeight="1">
      <c r="A921" s="274"/>
      <c r="B921" s="274"/>
      <c r="C921" s="274"/>
      <c r="D921" s="274"/>
      <c r="E921" s="274"/>
      <c r="F921" s="274"/>
      <c r="G921" s="274"/>
      <c r="H921" s="274"/>
      <c r="I921" s="274"/>
      <c r="J921" s="274"/>
      <c r="K921" s="274"/>
      <c r="L921" s="274"/>
      <c r="M921" s="274"/>
      <c r="N921" s="274"/>
      <c r="O921" s="274"/>
      <c r="P921" s="274"/>
      <c r="Q921" s="274"/>
      <c r="R921" s="316"/>
      <c r="W921" s="274"/>
      <c r="X921" s="274"/>
      <c r="Y921" s="274"/>
      <c r="Z921" s="274"/>
      <c r="AA921" s="274"/>
      <c r="AB921" s="274"/>
      <c r="AC921" s="274"/>
      <c r="AD921" s="274"/>
      <c r="AE921" s="274"/>
      <c r="AF921" s="274"/>
      <c r="AG921" s="274"/>
      <c r="AH921" s="274"/>
      <c r="AI921" s="274"/>
      <c r="AJ921" s="274"/>
      <c r="AK921" s="274"/>
      <c r="AL921" s="274"/>
      <c r="AM921" s="274"/>
      <c r="AN921" s="274"/>
      <c r="AO921" s="274"/>
      <c r="AP921" s="274"/>
      <c r="AQ921" s="274"/>
      <c r="AR921" s="274"/>
      <c r="AS921" s="274"/>
      <c r="AT921" s="274"/>
      <c r="AU921" s="274"/>
      <c r="AV921" s="274"/>
      <c r="AW921" s="274"/>
    </row>
    <row r="922" ht="15.75" customHeight="1">
      <c r="A922" s="274"/>
      <c r="B922" s="274"/>
      <c r="C922" s="274"/>
      <c r="D922" s="274"/>
      <c r="E922" s="274"/>
      <c r="F922" s="274"/>
      <c r="G922" s="274"/>
      <c r="H922" s="274"/>
      <c r="I922" s="274"/>
      <c r="J922" s="274"/>
      <c r="K922" s="274"/>
      <c r="L922" s="274"/>
      <c r="M922" s="274"/>
      <c r="N922" s="274"/>
      <c r="O922" s="274"/>
      <c r="P922" s="274"/>
      <c r="Q922" s="274"/>
      <c r="R922" s="316"/>
      <c r="W922" s="274"/>
      <c r="X922" s="274"/>
      <c r="Y922" s="274"/>
      <c r="Z922" s="274"/>
      <c r="AA922" s="274"/>
      <c r="AB922" s="274"/>
      <c r="AC922" s="274"/>
      <c r="AD922" s="274"/>
      <c r="AE922" s="274"/>
      <c r="AF922" s="274"/>
      <c r="AG922" s="274"/>
      <c r="AH922" s="274"/>
      <c r="AI922" s="274"/>
      <c r="AJ922" s="274"/>
      <c r="AK922" s="274"/>
      <c r="AL922" s="274"/>
      <c r="AM922" s="274"/>
      <c r="AN922" s="274"/>
      <c r="AO922" s="274"/>
      <c r="AP922" s="274"/>
      <c r="AQ922" s="274"/>
      <c r="AR922" s="274"/>
      <c r="AS922" s="274"/>
      <c r="AT922" s="274"/>
      <c r="AU922" s="274"/>
      <c r="AV922" s="274"/>
      <c r="AW922" s="274"/>
    </row>
    <row r="923" ht="15.75" customHeight="1">
      <c r="A923" s="274"/>
      <c r="B923" s="274"/>
      <c r="C923" s="274"/>
      <c r="D923" s="274"/>
      <c r="E923" s="274"/>
      <c r="F923" s="274"/>
      <c r="G923" s="274"/>
      <c r="H923" s="274"/>
      <c r="I923" s="274"/>
      <c r="J923" s="274"/>
      <c r="K923" s="274"/>
      <c r="L923" s="274"/>
      <c r="M923" s="274"/>
      <c r="N923" s="274"/>
      <c r="O923" s="274"/>
      <c r="P923" s="274"/>
      <c r="Q923" s="274"/>
      <c r="R923" s="316"/>
      <c r="W923" s="274"/>
      <c r="X923" s="274"/>
      <c r="Y923" s="274"/>
      <c r="Z923" s="274"/>
      <c r="AA923" s="274"/>
      <c r="AB923" s="274"/>
      <c r="AC923" s="274"/>
      <c r="AD923" s="274"/>
      <c r="AE923" s="274"/>
      <c r="AF923" s="274"/>
      <c r="AG923" s="274"/>
      <c r="AH923" s="274"/>
      <c r="AI923" s="274"/>
      <c r="AJ923" s="274"/>
      <c r="AK923" s="274"/>
      <c r="AL923" s="274"/>
      <c r="AM923" s="274"/>
      <c r="AN923" s="274"/>
      <c r="AO923" s="274"/>
      <c r="AP923" s="274"/>
      <c r="AQ923" s="274"/>
      <c r="AR923" s="274"/>
      <c r="AS923" s="274"/>
      <c r="AT923" s="274"/>
      <c r="AU923" s="274"/>
      <c r="AV923" s="274"/>
      <c r="AW923" s="274"/>
    </row>
    <row r="924" ht="15.75" customHeight="1">
      <c r="A924" s="274"/>
      <c r="B924" s="274"/>
      <c r="C924" s="274"/>
      <c r="D924" s="274"/>
      <c r="E924" s="274"/>
      <c r="F924" s="274"/>
      <c r="G924" s="274"/>
      <c r="H924" s="274"/>
      <c r="I924" s="274"/>
      <c r="J924" s="274"/>
      <c r="K924" s="274"/>
      <c r="L924" s="274"/>
      <c r="M924" s="274"/>
      <c r="N924" s="274"/>
      <c r="O924" s="274"/>
      <c r="P924" s="274"/>
      <c r="Q924" s="274"/>
      <c r="R924" s="316"/>
      <c r="W924" s="274"/>
      <c r="X924" s="274"/>
      <c r="Y924" s="274"/>
      <c r="Z924" s="274"/>
      <c r="AA924" s="274"/>
      <c r="AB924" s="274"/>
      <c r="AC924" s="274"/>
      <c r="AD924" s="274"/>
      <c r="AE924" s="274"/>
      <c r="AF924" s="274"/>
      <c r="AG924" s="274"/>
      <c r="AH924" s="274"/>
      <c r="AI924" s="274"/>
      <c r="AJ924" s="274"/>
      <c r="AK924" s="274"/>
      <c r="AL924" s="274"/>
      <c r="AM924" s="274"/>
      <c r="AN924" s="274"/>
      <c r="AO924" s="274"/>
      <c r="AP924" s="274"/>
      <c r="AQ924" s="274"/>
      <c r="AR924" s="274"/>
      <c r="AS924" s="274"/>
      <c r="AT924" s="274"/>
      <c r="AU924" s="274"/>
      <c r="AV924" s="274"/>
      <c r="AW924" s="274"/>
    </row>
    <row r="925" ht="15.75" customHeight="1">
      <c r="A925" s="274"/>
      <c r="B925" s="274"/>
      <c r="C925" s="274"/>
      <c r="D925" s="274"/>
      <c r="E925" s="274"/>
      <c r="F925" s="274"/>
      <c r="G925" s="274"/>
      <c r="H925" s="274"/>
      <c r="I925" s="274"/>
      <c r="J925" s="274"/>
      <c r="K925" s="274"/>
      <c r="L925" s="274"/>
      <c r="M925" s="274"/>
      <c r="N925" s="274"/>
      <c r="O925" s="274"/>
      <c r="P925" s="274"/>
      <c r="Q925" s="274"/>
      <c r="R925" s="316"/>
      <c r="W925" s="274"/>
      <c r="X925" s="274"/>
      <c r="Y925" s="274"/>
      <c r="Z925" s="274"/>
      <c r="AA925" s="274"/>
      <c r="AB925" s="274"/>
      <c r="AC925" s="274"/>
      <c r="AD925" s="274"/>
      <c r="AE925" s="274"/>
      <c r="AF925" s="274"/>
      <c r="AG925" s="274"/>
      <c r="AH925" s="274"/>
      <c r="AI925" s="274"/>
      <c r="AJ925" s="274"/>
      <c r="AK925" s="274"/>
      <c r="AL925" s="274"/>
      <c r="AM925" s="274"/>
      <c r="AN925" s="274"/>
      <c r="AO925" s="274"/>
      <c r="AP925" s="274"/>
      <c r="AQ925" s="274"/>
      <c r="AR925" s="274"/>
      <c r="AS925" s="274"/>
      <c r="AT925" s="274"/>
      <c r="AU925" s="274"/>
      <c r="AV925" s="274"/>
      <c r="AW925" s="274"/>
    </row>
    <row r="926" ht="15.75" customHeight="1">
      <c r="A926" s="274"/>
      <c r="B926" s="274"/>
      <c r="C926" s="274"/>
      <c r="D926" s="274"/>
      <c r="E926" s="274"/>
      <c r="F926" s="274"/>
      <c r="G926" s="274"/>
      <c r="H926" s="274"/>
      <c r="I926" s="274"/>
      <c r="J926" s="274"/>
      <c r="K926" s="274"/>
      <c r="L926" s="274"/>
      <c r="M926" s="274"/>
      <c r="N926" s="274"/>
      <c r="O926" s="274"/>
      <c r="P926" s="274"/>
      <c r="Q926" s="274"/>
      <c r="R926" s="316"/>
      <c r="W926" s="274"/>
      <c r="X926" s="274"/>
      <c r="Y926" s="274"/>
      <c r="Z926" s="274"/>
      <c r="AA926" s="274"/>
      <c r="AB926" s="274"/>
      <c r="AC926" s="274"/>
      <c r="AD926" s="274"/>
      <c r="AE926" s="274"/>
      <c r="AF926" s="274"/>
      <c r="AG926" s="274"/>
      <c r="AH926" s="274"/>
      <c r="AI926" s="274"/>
      <c r="AJ926" s="274"/>
      <c r="AK926" s="274"/>
      <c r="AL926" s="274"/>
      <c r="AM926" s="274"/>
      <c r="AN926" s="274"/>
      <c r="AO926" s="274"/>
      <c r="AP926" s="274"/>
      <c r="AQ926" s="274"/>
      <c r="AR926" s="274"/>
      <c r="AS926" s="274"/>
      <c r="AT926" s="274"/>
      <c r="AU926" s="274"/>
      <c r="AV926" s="274"/>
      <c r="AW926" s="274"/>
    </row>
    <row r="927" ht="15.75" customHeight="1">
      <c r="A927" s="274"/>
      <c r="B927" s="274"/>
      <c r="C927" s="274"/>
      <c r="D927" s="274"/>
      <c r="E927" s="274"/>
      <c r="F927" s="274"/>
      <c r="G927" s="274"/>
      <c r="H927" s="274"/>
      <c r="I927" s="274"/>
      <c r="J927" s="274"/>
      <c r="K927" s="274"/>
      <c r="L927" s="274"/>
      <c r="M927" s="274"/>
      <c r="N927" s="274"/>
      <c r="O927" s="274"/>
      <c r="P927" s="274"/>
      <c r="Q927" s="274"/>
      <c r="R927" s="316"/>
      <c r="W927" s="274"/>
      <c r="X927" s="274"/>
      <c r="Y927" s="274"/>
      <c r="Z927" s="274"/>
      <c r="AA927" s="274"/>
      <c r="AB927" s="274"/>
      <c r="AC927" s="274"/>
      <c r="AD927" s="274"/>
      <c r="AE927" s="274"/>
      <c r="AF927" s="274"/>
      <c r="AG927" s="274"/>
      <c r="AH927" s="274"/>
      <c r="AI927" s="274"/>
      <c r="AJ927" s="274"/>
      <c r="AK927" s="274"/>
      <c r="AL927" s="274"/>
      <c r="AM927" s="274"/>
      <c r="AN927" s="274"/>
      <c r="AO927" s="274"/>
      <c r="AP927" s="274"/>
      <c r="AQ927" s="274"/>
      <c r="AR927" s="274"/>
      <c r="AS927" s="274"/>
      <c r="AT927" s="274"/>
      <c r="AU927" s="274"/>
      <c r="AV927" s="274"/>
      <c r="AW927" s="274"/>
    </row>
    <row r="928" ht="15.75" customHeight="1">
      <c r="A928" s="274"/>
      <c r="B928" s="274"/>
      <c r="C928" s="274"/>
      <c r="D928" s="274"/>
      <c r="E928" s="274"/>
      <c r="F928" s="274"/>
      <c r="G928" s="274"/>
      <c r="H928" s="274"/>
      <c r="I928" s="274"/>
      <c r="J928" s="274"/>
      <c r="K928" s="274"/>
      <c r="L928" s="274"/>
      <c r="M928" s="274"/>
      <c r="N928" s="274"/>
      <c r="O928" s="274"/>
      <c r="P928" s="274"/>
      <c r="Q928" s="274"/>
      <c r="R928" s="316"/>
      <c r="W928" s="274"/>
      <c r="X928" s="274"/>
      <c r="Y928" s="274"/>
      <c r="Z928" s="274"/>
      <c r="AA928" s="274"/>
      <c r="AB928" s="274"/>
      <c r="AC928" s="274"/>
      <c r="AD928" s="274"/>
      <c r="AE928" s="274"/>
      <c r="AF928" s="274"/>
      <c r="AG928" s="274"/>
      <c r="AH928" s="274"/>
      <c r="AI928" s="274"/>
      <c r="AJ928" s="274"/>
      <c r="AK928" s="274"/>
      <c r="AL928" s="274"/>
      <c r="AM928" s="274"/>
      <c r="AN928" s="274"/>
      <c r="AO928" s="274"/>
      <c r="AP928" s="274"/>
      <c r="AQ928" s="274"/>
      <c r="AR928" s="274"/>
      <c r="AS928" s="274"/>
      <c r="AT928" s="274"/>
      <c r="AU928" s="274"/>
      <c r="AV928" s="274"/>
      <c r="AW928" s="274"/>
    </row>
    <row r="929" ht="15.75" customHeight="1">
      <c r="A929" s="274"/>
      <c r="B929" s="274"/>
      <c r="C929" s="274"/>
      <c r="D929" s="274"/>
      <c r="E929" s="274"/>
      <c r="F929" s="274"/>
      <c r="G929" s="274"/>
      <c r="H929" s="274"/>
      <c r="I929" s="274"/>
      <c r="J929" s="274"/>
      <c r="K929" s="274"/>
      <c r="L929" s="274"/>
      <c r="M929" s="274"/>
      <c r="N929" s="274"/>
      <c r="O929" s="274"/>
      <c r="P929" s="274"/>
      <c r="Q929" s="274"/>
      <c r="R929" s="316"/>
      <c r="W929" s="274"/>
      <c r="X929" s="274"/>
      <c r="Y929" s="274"/>
      <c r="Z929" s="274"/>
      <c r="AA929" s="274"/>
      <c r="AB929" s="274"/>
      <c r="AC929" s="274"/>
      <c r="AD929" s="274"/>
      <c r="AE929" s="274"/>
      <c r="AF929" s="274"/>
      <c r="AG929" s="274"/>
      <c r="AH929" s="274"/>
      <c r="AI929" s="274"/>
      <c r="AJ929" s="274"/>
      <c r="AK929" s="274"/>
      <c r="AL929" s="274"/>
      <c r="AM929" s="274"/>
      <c r="AN929" s="274"/>
      <c r="AO929" s="274"/>
      <c r="AP929" s="274"/>
      <c r="AQ929" s="274"/>
      <c r="AR929" s="274"/>
      <c r="AS929" s="274"/>
      <c r="AT929" s="274"/>
      <c r="AU929" s="274"/>
      <c r="AV929" s="274"/>
      <c r="AW929" s="274"/>
    </row>
    <row r="930" ht="15.75" customHeight="1">
      <c r="A930" s="274"/>
      <c r="B930" s="274"/>
      <c r="C930" s="274"/>
      <c r="D930" s="274"/>
      <c r="E930" s="274"/>
      <c r="F930" s="274"/>
      <c r="G930" s="274"/>
      <c r="H930" s="274"/>
      <c r="I930" s="274"/>
      <c r="J930" s="274"/>
      <c r="K930" s="274"/>
      <c r="L930" s="274"/>
      <c r="M930" s="274"/>
      <c r="N930" s="274"/>
      <c r="O930" s="274"/>
      <c r="P930" s="274"/>
      <c r="Q930" s="274"/>
      <c r="R930" s="316"/>
      <c r="W930" s="274"/>
      <c r="X930" s="274"/>
      <c r="Y930" s="274"/>
      <c r="Z930" s="274"/>
      <c r="AA930" s="274"/>
      <c r="AB930" s="274"/>
      <c r="AC930" s="274"/>
      <c r="AD930" s="274"/>
      <c r="AE930" s="274"/>
      <c r="AF930" s="274"/>
      <c r="AG930" s="274"/>
      <c r="AH930" s="274"/>
      <c r="AI930" s="274"/>
      <c r="AJ930" s="274"/>
      <c r="AK930" s="274"/>
      <c r="AL930" s="274"/>
      <c r="AM930" s="274"/>
      <c r="AN930" s="274"/>
      <c r="AO930" s="274"/>
      <c r="AP930" s="274"/>
      <c r="AQ930" s="274"/>
      <c r="AR930" s="274"/>
      <c r="AS930" s="274"/>
      <c r="AT930" s="274"/>
      <c r="AU930" s="274"/>
      <c r="AV930" s="274"/>
      <c r="AW930" s="274"/>
    </row>
    <row r="931" ht="15.75" customHeight="1">
      <c r="A931" s="274"/>
      <c r="B931" s="274"/>
      <c r="C931" s="274"/>
      <c r="D931" s="274"/>
      <c r="E931" s="274"/>
      <c r="F931" s="274"/>
      <c r="G931" s="274"/>
      <c r="H931" s="274"/>
      <c r="I931" s="274"/>
      <c r="J931" s="274"/>
      <c r="K931" s="274"/>
      <c r="L931" s="274"/>
      <c r="M931" s="274"/>
      <c r="N931" s="274"/>
      <c r="O931" s="274"/>
      <c r="P931" s="274"/>
      <c r="Q931" s="274"/>
      <c r="R931" s="316"/>
      <c r="W931" s="274"/>
      <c r="X931" s="274"/>
      <c r="Y931" s="274"/>
      <c r="Z931" s="274"/>
      <c r="AA931" s="274"/>
      <c r="AB931" s="274"/>
      <c r="AC931" s="274"/>
      <c r="AD931" s="274"/>
      <c r="AE931" s="274"/>
      <c r="AF931" s="274"/>
      <c r="AG931" s="274"/>
      <c r="AH931" s="274"/>
      <c r="AI931" s="274"/>
      <c r="AJ931" s="274"/>
      <c r="AK931" s="274"/>
      <c r="AL931" s="274"/>
      <c r="AM931" s="274"/>
      <c r="AN931" s="274"/>
      <c r="AO931" s="274"/>
      <c r="AP931" s="274"/>
      <c r="AQ931" s="274"/>
      <c r="AR931" s="274"/>
      <c r="AS931" s="274"/>
      <c r="AT931" s="274"/>
      <c r="AU931" s="274"/>
      <c r="AV931" s="274"/>
      <c r="AW931" s="274"/>
    </row>
    <row r="932" ht="15.75" customHeight="1">
      <c r="A932" s="274"/>
      <c r="B932" s="274"/>
      <c r="C932" s="274"/>
      <c r="D932" s="274"/>
      <c r="E932" s="274"/>
      <c r="F932" s="274"/>
      <c r="G932" s="274"/>
      <c r="H932" s="274"/>
      <c r="I932" s="274"/>
      <c r="J932" s="274"/>
      <c r="K932" s="274"/>
      <c r="L932" s="274"/>
      <c r="M932" s="274"/>
      <c r="N932" s="274"/>
      <c r="O932" s="274"/>
      <c r="P932" s="274"/>
      <c r="Q932" s="274"/>
      <c r="R932" s="316"/>
      <c r="W932" s="274"/>
      <c r="X932" s="274"/>
      <c r="Y932" s="274"/>
      <c r="Z932" s="274"/>
      <c r="AA932" s="274"/>
      <c r="AB932" s="274"/>
      <c r="AC932" s="274"/>
      <c r="AD932" s="274"/>
      <c r="AE932" s="274"/>
      <c r="AF932" s="274"/>
      <c r="AG932" s="274"/>
      <c r="AH932" s="274"/>
      <c r="AI932" s="274"/>
      <c r="AJ932" s="274"/>
      <c r="AK932" s="274"/>
      <c r="AL932" s="274"/>
      <c r="AM932" s="274"/>
      <c r="AN932" s="274"/>
      <c r="AO932" s="274"/>
      <c r="AP932" s="274"/>
      <c r="AQ932" s="274"/>
      <c r="AR932" s="274"/>
      <c r="AS932" s="274"/>
      <c r="AT932" s="274"/>
      <c r="AU932" s="274"/>
      <c r="AV932" s="274"/>
      <c r="AW932" s="274"/>
    </row>
    <row r="933" ht="15.75" customHeight="1">
      <c r="A933" s="274"/>
      <c r="B933" s="274"/>
      <c r="C933" s="274"/>
      <c r="D933" s="274"/>
      <c r="E933" s="274"/>
      <c r="F933" s="274"/>
      <c r="G933" s="274"/>
      <c r="H933" s="274"/>
      <c r="I933" s="274"/>
      <c r="J933" s="274"/>
      <c r="K933" s="274"/>
      <c r="L933" s="274"/>
      <c r="M933" s="274"/>
      <c r="N933" s="274"/>
      <c r="O933" s="274"/>
      <c r="P933" s="274"/>
      <c r="Q933" s="274"/>
      <c r="R933" s="316"/>
      <c r="W933" s="274"/>
      <c r="X933" s="274"/>
      <c r="Y933" s="274"/>
      <c r="Z933" s="274"/>
      <c r="AA933" s="274"/>
      <c r="AB933" s="274"/>
      <c r="AC933" s="274"/>
      <c r="AD933" s="274"/>
      <c r="AE933" s="274"/>
      <c r="AF933" s="274"/>
      <c r="AG933" s="274"/>
      <c r="AH933" s="274"/>
      <c r="AI933" s="274"/>
      <c r="AJ933" s="274"/>
      <c r="AK933" s="274"/>
      <c r="AL933" s="274"/>
      <c r="AM933" s="274"/>
      <c r="AN933" s="274"/>
      <c r="AO933" s="274"/>
      <c r="AP933" s="274"/>
      <c r="AQ933" s="274"/>
      <c r="AR933" s="274"/>
      <c r="AS933" s="274"/>
      <c r="AT933" s="274"/>
      <c r="AU933" s="274"/>
      <c r="AV933" s="274"/>
      <c r="AW933" s="274"/>
    </row>
    <row r="934" ht="15.75" customHeight="1">
      <c r="A934" s="274"/>
      <c r="B934" s="274"/>
      <c r="C934" s="274"/>
      <c r="D934" s="274"/>
      <c r="E934" s="274"/>
      <c r="F934" s="274"/>
      <c r="G934" s="274"/>
      <c r="H934" s="274"/>
      <c r="I934" s="274"/>
      <c r="J934" s="274"/>
      <c r="K934" s="274"/>
      <c r="L934" s="274"/>
      <c r="M934" s="274"/>
      <c r="N934" s="274"/>
      <c r="O934" s="274"/>
      <c r="P934" s="274"/>
      <c r="Q934" s="274"/>
      <c r="R934" s="316"/>
      <c r="W934" s="274"/>
      <c r="X934" s="274"/>
      <c r="Y934" s="274"/>
      <c r="Z934" s="274"/>
      <c r="AA934" s="274"/>
      <c r="AB934" s="274"/>
      <c r="AC934" s="274"/>
      <c r="AD934" s="274"/>
      <c r="AE934" s="274"/>
      <c r="AF934" s="274"/>
      <c r="AG934" s="274"/>
      <c r="AH934" s="274"/>
      <c r="AI934" s="274"/>
      <c r="AJ934" s="274"/>
      <c r="AK934" s="274"/>
      <c r="AL934" s="274"/>
      <c r="AM934" s="274"/>
      <c r="AN934" s="274"/>
      <c r="AO934" s="274"/>
      <c r="AP934" s="274"/>
      <c r="AQ934" s="274"/>
      <c r="AR934" s="274"/>
      <c r="AS934" s="274"/>
      <c r="AT934" s="274"/>
      <c r="AU934" s="274"/>
      <c r="AV934" s="274"/>
      <c r="AW934" s="274"/>
    </row>
    <row r="935" ht="15.75" customHeight="1">
      <c r="A935" s="274"/>
      <c r="B935" s="274"/>
      <c r="C935" s="274"/>
      <c r="D935" s="274"/>
      <c r="E935" s="274"/>
      <c r="F935" s="274"/>
      <c r="G935" s="274"/>
      <c r="H935" s="274"/>
      <c r="I935" s="274"/>
      <c r="J935" s="274"/>
      <c r="K935" s="274"/>
      <c r="L935" s="274"/>
      <c r="M935" s="274"/>
      <c r="N935" s="274"/>
      <c r="O935" s="274"/>
      <c r="P935" s="274"/>
      <c r="Q935" s="274"/>
      <c r="R935" s="316"/>
      <c r="W935" s="274"/>
      <c r="X935" s="274"/>
      <c r="Y935" s="274"/>
      <c r="Z935" s="274"/>
      <c r="AA935" s="274"/>
      <c r="AB935" s="274"/>
      <c r="AC935" s="274"/>
      <c r="AD935" s="274"/>
      <c r="AE935" s="274"/>
      <c r="AF935" s="274"/>
      <c r="AG935" s="274"/>
      <c r="AH935" s="274"/>
      <c r="AI935" s="274"/>
      <c r="AJ935" s="274"/>
      <c r="AK935" s="274"/>
      <c r="AL935" s="274"/>
      <c r="AM935" s="274"/>
      <c r="AN935" s="274"/>
      <c r="AO935" s="274"/>
      <c r="AP935" s="274"/>
      <c r="AQ935" s="274"/>
      <c r="AR935" s="274"/>
      <c r="AS935" s="274"/>
      <c r="AT935" s="274"/>
      <c r="AU935" s="274"/>
      <c r="AV935" s="274"/>
      <c r="AW935" s="274"/>
    </row>
    <row r="936" ht="15.75" customHeight="1">
      <c r="A936" s="274"/>
      <c r="B936" s="274"/>
      <c r="C936" s="274"/>
      <c r="D936" s="274"/>
      <c r="E936" s="274"/>
      <c r="F936" s="274"/>
      <c r="G936" s="274"/>
      <c r="H936" s="274"/>
      <c r="I936" s="274"/>
      <c r="J936" s="274"/>
      <c r="K936" s="274"/>
      <c r="L936" s="274"/>
      <c r="M936" s="274"/>
      <c r="N936" s="274"/>
      <c r="O936" s="274"/>
      <c r="P936" s="274"/>
      <c r="Q936" s="274"/>
      <c r="R936" s="316"/>
      <c r="W936" s="274"/>
      <c r="X936" s="274"/>
      <c r="Y936" s="274"/>
      <c r="Z936" s="274"/>
      <c r="AA936" s="274"/>
      <c r="AB936" s="274"/>
      <c r="AC936" s="274"/>
      <c r="AD936" s="274"/>
      <c r="AE936" s="274"/>
      <c r="AF936" s="274"/>
      <c r="AG936" s="274"/>
      <c r="AH936" s="274"/>
      <c r="AI936" s="274"/>
      <c r="AJ936" s="274"/>
      <c r="AK936" s="274"/>
      <c r="AL936" s="274"/>
      <c r="AM936" s="274"/>
      <c r="AN936" s="274"/>
      <c r="AO936" s="274"/>
      <c r="AP936" s="274"/>
      <c r="AQ936" s="274"/>
      <c r="AR936" s="274"/>
      <c r="AS936" s="274"/>
      <c r="AT936" s="274"/>
      <c r="AU936" s="274"/>
      <c r="AV936" s="274"/>
      <c r="AW936" s="274"/>
    </row>
    <row r="937" ht="15.75" customHeight="1">
      <c r="A937" s="274"/>
      <c r="B937" s="274"/>
      <c r="C937" s="274"/>
      <c r="D937" s="274"/>
      <c r="E937" s="274"/>
      <c r="F937" s="274"/>
      <c r="G937" s="274"/>
      <c r="H937" s="274"/>
      <c r="I937" s="274"/>
      <c r="J937" s="274"/>
      <c r="K937" s="274"/>
      <c r="L937" s="274"/>
      <c r="M937" s="274"/>
      <c r="N937" s="274"/>
      <c r="O937" s="274"/>
      <c r="P937" s="274"/>
      <c r="Q937" s="274"/>
      <c r="R937" s="316"/>
      <c r="W937" s="274"/>
      <c r="X937" s="274"/>
      <c r="Y937" s="274"/>
      <c r="Z937" s="274"/>
      <c r="AA937" s="274"/>
      <c r="AB937" s="274"/>
      <c r="AC937" s="274"/>
      <c r="AD937" s="274"/>
      <c r="AE937" s="274"/>
      <c r="AF937" s="274"/>
      <c r="AG937" s="274"/>
      <c r="AH937" s="274"/>
      <c r="AI937" s="274"/>
      <c r="AJ937" s="274"/>
      <c r="AK937" s="274"/>
      <c r="AL937" s="274"/>
      <c r="AM937" s="274"/>
      <c r="AN937" s="274"/>
      <c r="AO937" s="274"/>
      <c r="AP937" s="274"/>
      <c r="AQ937" s="274"/>
      <c r="AR937" s="274"/>
      <c r="AS937" s="274"/>
      <c r="AT937" s="274"/>
      <c r="AU937" s="274"/>
      <c r="AV937" s="274"/>
      <c r="AW937" s="274"/>
    </row>
    <row r="938" ht="15.75" customHeight="1">
      <c r="A938" s="274"/>
      <c r="B938" s="274"/>
      <c r="C938" s="274"/>
      <c r="D938" s="274"/>
      <c r="E938" s="274"/>
      <c r="F938" s="274"/>
      <c r="G938" s="274"/>
      <c r="H938" s="274"/>
      <c r="I938" s="274"/>
      <c r="J938" s="274"/>
      <c r="K938" s="274"/>
      <c r="L938" s="274"/>
      <c r="M938" s="274"/>
      <c r="N938" s="274"/>
      <c r="O938" s="274"/>
      <c r="P938" s="274"/>
      <c r="Q938" s="274"/>
      <c r="R938" s="316"/>
      <c r="W938" s="274"/>
      <c r="X938" s="274"/>
      <c r="Y938" s="274"/>
      <c r="Z938" s="274"/>
      <c r="AA938" s="274"/>
      <c r="AB938" s="274"/>
      <c r="AC938" s="274"/>
      <c r="AD938" s="274"/>
      <c r="AE938" s="274"/>
      <c r="AF938" s="274"/>
      <c r="AG938" s="274"/>
      <c r="AH938" s="274"/>
      <c r="AI938" s="274"/>
      <c r="AJ938" s="274"/>
      <c r="AK938" s="274"/>
      <c r="AL938" s="274"/>
      <c r="AM938" s="274"/>
      <c r="AN938" s="274"/>
      <c r="AO938" s="274"/>
      <c r="AP938" s="274"/>
      <c r="AQ938" s="274"/>
      <c r="AR938" s="274"/>
      <c r="AS938" s="274"/>
      <c r="AT938" s="274"/>
      <c r="AU938" s="274"/>
      <c r="AV938" s="274"/>
      <c r="AW938" s="274"/>
    </row>
    <row r="939" ht="15.75" customHeight="1">
      <c r="A939" s="274"/>
      <c r="B939" s="274"/>
      <c r="C939" s="274"/>
      <c r="D939" s="274"/>
      <c r="E939" s="274"/>
      <c r="F939" s="274"/>
      <c r="G939" s="274"/>
      <c r="H939" s="274"/>
      <c r="I939" s="274"/>
      <c r="J939" s="274"/>
      <c r="K939" s="274"/>
      <c r="L939" s="274"/>
      <c r="M939" s="274"/>
      <c r="N939" s="274"/>
      <c r="O939" s="274"/>
      <c r="P939" s="274"/>
      <c r="Q939" s="274"/>
      <c r="R939" s="316"/>
      <c r="W939" s="274"/>
      <c r="X939" s="274"/>
      <c r="Y939" s="274"/>
      <c r="Z939" s="274"/>
      <c r="AA939" s="274"/>
      <c r="AB939" s="274"/>
      <c r="AC939" s="274"/>
      <c r="AD939" s="274"/>
      <c r="AE939" s="274"/>
      <c r="AF939" s="274"/>
      <c r="AG939" s="274"/>
      <c r="AH939" s="274"/>
      <c r="AI939" s="274"/>
      <c r="AJ939" s="274"/>
      <c r="AK939" s="274"/>
      <c r="AL939" s="274"/>
      <c r="AM939" s="274"/>
      <c r="AN939" s="274"/>
      <c r="AO939" s="274"/>
      <c r="AP939" s="274"/>
      <c r="AQ939" s="274"/>
      <c r="AR939" s="274"/>
      <c r="AS939" s="274"/>
      <c r="AT939" s="274"/>
      <c r="AU939" s="274"/>
      <c r="AV939" s="274"/>
      <c r="AW939" s="274"/>
    </row>
    <row r="940" ht="15.75" customHeight="1">
      <c r="A940" s="274"/>
      <c r="B940" s="274"/>
      <c r="C940" s="274"/>
      <c r="D940" s="274"/>
      <c r="E940" s="274"/>
      <c r="F940" s="274"/>
      <c r="G940" s="274"/>
      <c r="H940" s="274"/>
      <c r="I940" s="274"/>
      <c r="J940" s="274"/>
      <c r="K940" s="274"/>
      <c r="L940" s="274"/>
      <c r="M940" s="274"/>
      <c r="N940" s="274"/>
      <c r="O940" s="274"/>
      <c r="P940" s="274"/>
      <c r="Q940" s="274"/>
      <c r="R940" s="316"/>
      <c r="W940" s="274"/>
      <c r="X940" s="274"/>
      <c r="Y940" s="274"/>
      <c r="Z940" s="274"/>
      <c r="AA940" s="274"/>
      <c r="AB940" s="274"/>
      <c r="AC940" s="274"/>
      <c r="AD940" s="274"/>
      <c r="AE940" s="274"/>
      <c r="AF940" s="274"/>
      <c r="AG940" s="274"/>
      <c r="AH940" s="274"/>
      <c r="AI940" s="274"/>
      <c r="AJ940" s="274"/>
      <c r="AK940" s="274"/>
      <c r="AL940" s="274"/>
      <c r="AM940" s="274"/>
      <c r="AN940" s="274"/>
      <c r="AO940" s="274"/>
      <c r="AP940" s="274"/>
      <c r="AQ940" s="274"/>
      <c r="AR940" s="274"/>
      <c r="AS940" s="274"/>
      <c r="AT940" s="274"/>
      <c r="AU940" s="274"/>
      <c r="AV940" s="274"/>
      <c r="AW940" s="274"/>
    </row>
    <row r="941" ht="15.75" customHeight="1">
      <c r="A941" s="274"/>
      <c r="B941" s="274"/>
      <c r="C941" s="274"/>
      <c r="D941" s="274"/>
      <c r="E941" s="274"/>
      <c r="F941" s="274"/>
      <c r="G941" s="274"/>
      <c r="H941" s="274"/>
      <c r="I941" s="274"/>
      <c r="J941" s="274"/>
      <c r="K941" s="274"/>
      <c r="L941" s="274"/>
      <c r="M941" s="274"/>
      <c r="N941" s="274"/>
      <c r="O941" s="274"/>
      <c r="P941" s="274"/>
      <c r="Q941" s="274"/>
      <c r="R941" s="316"/>
      <c r="W941" s="274"/>
      <c r="X941" s="274"/>
      <c r="Y941" s="274"/>
      <c r="Z941" s="274"/>
      <c r="AA941" s="274"/>
      <c r="AB941" s="274"/>
      <c r="AC941" s="274"/>
      <c r="AD941" s="274"/>
      <c r="AE941" s="274"/>
      <c r="AF941" s="274"/>
      <c r="AG941" s="274"/>
      <c r="AH941" s="274"/>
      <c r="AI941" s="274"/>
      <c r="AJ941" s="274"/>
      <c r="AK941" s="274"/>
      <c r="AL941" s="274"/>
      <c r="AM941" s="274"/>
      <c r="AN941" s="274"/>
      <c r="AO941" s="274"/>
      <c r="AP941" s="274"/>
      <c r="AQ941" s="274"/>
      <c r="AR941" s="274"/>
      <c r="AS941" s="274"/>
      <c r="AT941" s="274"/>
      <c r="AU941" s="274"/>
      <c r="AV941" s="274"/>
      <c r="AW941" s="274"/>
    </row>
    <row r="942" ht="15.75" customHeight="1">
      <c r="A942" s="274"/>
      <c r="B942" s="274"/>
      <c r="C942" s="274"/>
      <c r="D942" s="274"/>
      <c r="E942" s="274"/>
      <c r="F942" s="274"/>
      <c r="G942" s="274"/>
      <c r="H942" s="274"/>
      <c r="I942" s="274"/>
      <c r="J942" s="274"/>
      <c r="K942" s="274"/>
      <c r="L942" s="274"/>
      <c r="M942" s="274"/>
      <c r="N942" s="274"/>
      <c r="O942" s="274"/>
      <c r="P942" s="274"/>
      <c r="Q942" s="274"/>
      <c r="R942" s="316"/>
      <c r="W942" s="274"/>
      <c r="X942" s="274"/>
      <c r="Y942" s="274"/>
      <c r="Z942" s="274"/>
      <c r="AA942" s="274"/>
      <c r="AB942" s="274"/>
      <c r="AC942" s="274"/>
      <c r="AD942" s="274"/>
      <c r="AE942" s="274"/>
      <c r="AF942" s="274"/>
      <c r="AG942" s="274"/>
      <c r="AH942" s="274"/>
      <c r="AI942" s="274"/>
      <c r="AJ942" s="274"/>
      <c r="AK942" s="274"/>
      <c r="AL942" s="274"/>
      <c r="AM942" s="274"/>
      <c r="AN942" s="274"/>
      <c r="AO942" s="274"/>
      <c r="AP942" s="274"/>
      <c r="AQ942" s="274"/>
      <c r="AR942" s="274"/>
      <c r="AS942" s="274"/>
      <c r="AT942" s="274"/>
      <c r="AU942" s="274"/>
      <c r="AV942" s="274"/>
      <c r="AW942" s="274"/>
    </row>
    <row r="943" ht="15.75" customHeight="1">
      <c r="A943" s="274"/>
      <c r="B943" s="274"/>
      <c r="C943" s="274"/>
      <c r="D943" s="274"/>
      <c r="E943" s="274"/>
      <c r="F943" s="274"/>
      <c r="G943" s="274"/>
      <c r="H943" s="274"/>
      <c r="I943" s="274"/>
      <c r="J943" s="274"/>
      <c r="K943" s="274"/>
      <c r="L943" s="274"/>
      <c r="M943" s="274"/>
      <c r="N943" s="274"/>
      <c r="O943" s="274"/>
      <c r="P943" s="274"/>
      <c r="Q943" s="274"/>
      <c r="R943" s="316"/>
      <c r="W943" s="274"/>
      <c r="X943" s="274"/>
      <c r="Y943" s="274"/>
      <c r="Z943" s="274"/>
      <c r="AA943" s="274"/>
      <c r="AB943" s="274"/>
      <c r="AC943" s="274"/>
      <c r="AD943" s="274"/>
      <c r="AE943" s="274"/>
      <c r="AF943" s="274"/>
      <c r="AG943" s="274"/>
      <c r="AH943" s="274"/>
      <c r="AI943" s="274"/>
      <c r="AJ943" s="274"/>
      <c r="AK943" s="274"/>
      <c r="AL943" s="274"/>
      <c r="AM943" s="274"/>
      <c r="AN943" s="274"/>
      <c r="AO943" s="274"/>
      <c r="AP943" s="274"/>
      <c r="AQ943" s="274"/>
      <c r="AR943" s="274"/>
      <c r="AS943" s="274"/>
      <c r="AT943" s="274"/>
      <c r="AU943" s="274"/>
      <c r="AV943" s="274"/>
      <c r="AW943" s="274"/>
    </row>
    <row r="944" ht="15.75" customHeight="1">
      <c r="A944" s="274"/>
      <c r="B944" s="274"/>
      <c r="C944" s="274"/>
      <c r="D944" s="274"/>
      <c r="E944" s="274"/>
      <c r="F944" s="274"/>
      <c r="G944" s="274"/>
      <c r="H944" s="274"/>
      <c r="I944" s="274"/>
      <c r="J944" s="274"/>
      <c r="K944" s="274"/>
      <c r="L944" s="274"/>
      <c r="M944" s="274"/>
      <c r="N944" s="274"/>
      <c r="O944" s="274"/>
      <c r="P944" s="274"/>
      <c r="Q944" s="274"/>
      <c r="R944" s="316"/>
      <c r="W944" s="274"/>
      <c r="X944" s="274"/>
      <c r="Y944" s="274"/>
      <c r="Z944" s="274"/>
      <c r="AA944" s="274"/>
      <c r="AB944" s="274"/>
      <c r="AC944" s="274"/>
      <c r="AD944" s="274"/>
      <c r="AE944" s="274"/>
      <c r="AF944" s="274"/>
      <c r="AG944" s="274"/>
      <c r="AH944" s="274"/>
      <c r="AI944" s="274"/>
      <c r="AJ944" s="274"/>
      <c r="AK944" s="274"/>
      <c r="AL944" s="274"/>
      <c r="AM944" s="274"/>
      <c r="AN944" s="274"/>
      <c r="AO944" s="274"/>
      <c r="AP944" s="274"/>
      <c r="AQ944" s="274"/>
      <c r="AR944" s="274"/>
      <c r="AS944" s="274"/>
      <c r="AT944" s="274"/>
      <c r="AU944" s="274"/>
      <c r="AV944" s="274"/>
      <c r="AW944" s="274"/>
    </row>
    <row r="945" ht="15.75" customHeight="1">
      <c r="A945" s="274"/>
      <c r="B945" s="274"/>
      <c r="C945" s="274"/>
      <c r="D945" s="274"/>
      <c r="E945" s="274"/>
      <c r="F945" s="274"/>
      <c r="G945" s="274"/>
      <c r="H945" s="274"/>
      <c r="I945" s="274"/>
      <c r="J945" s="274"/>
      <c r="K945" s="274"/>
      <c r="L945" s="274"/>
      <c r="M945" s="274"/>
      <c r="N945" s="274"/>
      <c r="O945" s="274"/>
      <c r="P945" s="274"/>
      <c r="Q945" s="274"/>
      <c r="R945" s="316"/>
      <c r="W945" s="274"/>
      <c r="X945" s="274"/>
      <c r="Y945" s="274"/>
      <c r="Z945" s="274"/>
      <c r="AA945" s="274"/>
      <c r="AB945" s="274"/>
      <c r="AC945" s="274"/>
      <c r="AD945" s="274"/>
      <c r="AE945" s="274"/>
      <c r="AF945" s="274"/>
      <c r="AG945" s="274"/>
      <c r="AH945" s="274"/>
      <c r="AI945" s="274"/>
      <c r="AJ945" s="274"/>
      <c r="AK945" s="274"/>
      <c r="AL945" s="274"/>
      <c r="AM945" s="274"/>
      <c r="AN945" s="274"/>
      <c r="AO945" s="274"/>
      <c r="AP945" s="274"/>
      <c r="AQ945" s="274"/>
      <c r="AR945" s="274"/>
      <c r="AS945" s="274"/>
      <c r="AT945" s="274"/>
      <c r="AU945" s="274"/>
      <c r="AV945" s="274"/>
      <c r="AW945" s="274"/>
    </row>
    <row r="946" ht="15.75" customHeight="1">
      <c r="A946" s="274"/>
      <c r="B946" s="274"/>
      <c r="C946" s="274"/>
      <c r="D946" s="274"/>
      <c r="E946" s="274"/>
      <c r="F946" s="274"/>
      <c r="G946" s="274"/>
      <c r="H946" s="274"/>
      <c r="I946" s="274"/>
      <c r="J946" s="274"/>
      <c r="K946" s="274"/>
      <c r="L946" s="274"/>
      <c r="M946" s="274"/>
      <c r="N946" s="274"/>
      <c r="O946" s="274"/>
      <c r="P946" s="274"/>
      <c r="Q946" s="274"/>
      <c r="R946" s="316"/>
      <c r="W946" s="274"/>
      <c r="X946" s="274"/>
      <c r="Y946" s="274"/>
      <c r="Z946" s="274"/>
      <c r="AA946" s="274"/>
      <c r="AB946" s="274"/>
      <c r="AC946" s="274"/>
      <c r="AD946" s="274"/>
      <c r="AE946" s="274"/>
      <c r="AF946" s="274"/>
      <c r="AG946" s="274"/>
      <c r="AH946" s="274"/>
      <c r="AI946" s="274"/>
      <c r="AJ946" s="274"/>
      <c r="AK946" s="274"/>
      <c r="AL946" s="274"/>
      <c r="AM946" s="274"/>
      <c r="AN946" s="274"/>
      <c r="AO946" s="274"/>
      <c r="AP946" s="274"/>
      <c r="AQ946" s="274"/>
      <c r="AR946" s="274"/>
      <c r="AS946" s="274"/>
      <c r="AT946" s="274"/>
      <c r="AU946" s="274"/>
      <c r="AV946" s="274"/>
      <c r="AW946" s="274"/>
    </row>
    <row r="947" ht="15.75" customHeight="1">
      <c r="A947" s="274"/>
      <c r="B947" s="274"/>
      <c r="C947" s="274"/>
      <c r="D947" s="274"/>
      <c r="E947" s="274"/>
      <c r="F947" s="274"/>
      <c r="G947" s="274"/>
      <c r="H947" s="274"/>
      <c r="I947" s="274"/>
      <c r="J947" s="274"/>
      <c r="K947" s="274"/>
      <c r="L947" s="274"/>
      <c r="M947" s="274"/>
      <c r="N947" s="274"/>
      <c r="O947" s="274"/>
      <c r="P947" s="274"/>
      <c r="Q947" s="274"/>
      <c r="R947" s="316"/>
      <c r="W947" s="274"/>
      <c r="X947" s="274"/>
      <c r="Y947" s="274"/>
      <c r="Z947" s="274"/>
      <c r="AA947" s="274"/>
      <c r="AB947" s="274"/>
      <c r="AC947" s="274"/>
      <c r="AD947" s="274"/>
      <c r="AE947" s="274"/>
      <c r="AF947" s="274"/>
      <c r="AG947" s="274"/>
      <c r="AH947" s="274"/>
      <c r="AI947" s="274"/>
      <c r="AJ947" s="274"/>
      <c r="AK947" s="274"/>
      <c r="AL947" s="274"/>
      <c r="AM947" s="274"/>
      <c r="AN947" s="274"/>
      <c r="AO947" s="274"/>
      <c r="AP947" s="274"/>
      <c r="AQ947" s="274"/>
      <c r="AR947" s="274"/>
      <c r="AS947" s="274"/>
      <c r="AT947" s="274"/>
      <c r="AU947" s="274"/>
      <c r="AV947" s="274"/>
      <c r="AW947" s="274"/>
    </row>
    <row r="948" ht="15.75" customHeight="1">
      <c r="A948" s="274"/>
      <c r="B948" s="274"/>
      <c r="C948" s="274"/>
      <c r="D948" s="274"/>
      <c r="E948" s="274"/>
      <c r="F948" s="274"/>
      <c r="G948" s="274"/>
      <c r="H948" s="274"/>
      <c r="I948" s="274"/>
      <c r="J948" s="274"/>
      <c r="K948" s="274"/>
      <c r="L948" s="274"/>
      <c r="M948" s="274"/>
      <c r="N948" s="274"/>
      <c r="O948" s="274"/>
      <c r="P948" s="274"/>
      <c r="Q948" s="274"/>
      <c r="R948" s="316"/>
      <c r="W948" s="274"/>
      <c r="X948" s="274"/>
      <c r="Y948" s="274"/>
      <c r="Z948" s="274"/>
      <c r="AA948" s="274"/>
      <c r="AB948" s="274"/>
      <c r="AC948" s="274"/>
      <c r="AD948" s="274"/>
      <c r="AE948" s="274"/>
      <c r="AF948" s="274"/>
      <c r="AG948" s="274"/>
      <c r="AH948" s="274"/>
      <c r="AI948" s="274"/>
      <c r="AJ948" s="274"/>
      <c r="AK948" s="274"/>
      <c r="AL948" s="274"/>
      <c r="AM948" s="274"/>
      <c r="AN948" s="274"/>
      <c r="AO948" s="274"/>
      <c r="AP948" s="274"/>
      <c r="AQ948" s="274"/>
      <c r="AR948" s="274"/>
      <c r="AS948" s="274"/>
      <c r="AT948" s="274"/>
      <c r="AU948" s="274"/>
      <c r="AV948" s="274"/>
      <c r="AW948" s="274"/>
    </row>
    <row r="949" ht="15.75" customHeight="1">
      <c r="A949" s="274"/>
      <c r="B949" s="274"/>
      <c r="C949" s="274"/>
      <c r="D949" s="274"/>
      <c r="E949" s="274"/>
      <c r="F949" s="274"/>
      <c r="G949" s="274"/>
      <c r="H949" s="274"/>
      <c r="I949" s="274"/>
      <c r="J949" s="274"/>
      <c r="K949" s="274"/>
      <c r="L949" s="274"/>
      <c r="M949" s="274"/>
      <c r="N949" s="274"/>
      <c r="O949" s="274"/>
      <c r="P949" s="274"/>
      <c r="Q949" s="274"/>
      <c r="R949" s="316"/>
      <c r="W949" s="274"/>
      <c r="X949" s="274"/>
      <c r="Y949" s="274"/>
      <c r="Z949" s="274"/>
      <c r="AA949" s="274"/>
      <c r="AB949" s="274"/>
      <c r="AC949" s="274"/>
      <c r="AD949" s="274"/>
      <c r="AE949" s="274"/>
      <c r="AF949" s="274"/>
      <c r="AG949" s="274"/>
      <c r="AH949" s="274"/>
      <c r="AI949" s="274"/>
      <c r="AJ949" s="274"/>
      <c r="AK949" s="274"/>
      <c r="AL949" s="274"/>
      <c r="AM949" s="274"/>
      <c r="AN949" s="274"/>
      <c r="AO949" s="274"/>
      <c r="AP949" s="274"/>
      <c r="AQ949" s="274"/>
      <c r="AR949" s="274"/>
      <c r="AS949" s="274"/>
      <c r="AT949" s="274"/>
      <c r="AU949" s="274"/>
      <c r="AV949" s="274"/>
      <c r="AW949" s="274"/>
    </row>
    <row r="950" ht="15.75" customHeight="1">
      <c r="A950" s="274"/>
      <c r="B950" s="274"/>
      <c r="C950" s="274"/>
      <c r="D950" s="274"/>
      <c r="E950" s="274"/>
      <c r="F950" s="274"/>
      <c r="G950" s="274"/>
      <c r="H950" s="274"/>
      <c r="I950" s="274"/>
      <c r="J950" s="274"/>
      <c r="K950" s="274"/>
      <c r="L950" s="274"/>
      <c r="M950" s="274"/>
      <c r="N950" s="274"/>
      <c r="O950" s="274"/>
      <c r="P950" s="274"/>
      <c r="Q950" s="274"/>
      <c r="R950" s="316"/>
      <c r="W950" s="274"/>
      <c r="X950" s="274"/>
      <c r="Y950" s="274"/>
      <c r="Z950" s="274"/>
      <c r="AA950" s="274"/>
      <c r="AB950" s="274"/>
      <c r="AC950" s="274"/>
      <c r="AD950" s="274"/>
      <c r="AE950" s="274"/>
      <c r="AF950" s="274"/>
      <c r="AG950" s="274"/>
      <c r="AH950" s="274"/>
      <c r="AI950" s="274"/>
      <c r="AJ950" s="274"/>
      <c r="AK950" s="274"/>
      <c r="AL950" s="274"/>
      <c r="AM950" s="274"/>
      <c r="AN950" s="274"/>
      <c r="AO950" s="274"/>
      <c r="AP950" s="274"/>
      <c r="AQ950" s="274"/>
      <c r="AR950" s="274"/>
      <c r="AS950" s="274"/>
      <c r="AT950" s="274"/>
      <c r="AU950" s="274"/>
      <c r="AV950" s="274"/>
      <c r="AW950" s="274"/>
    </row>
    <row r="951" ht="15.75" customHeight="1">
      <c r="A951" s="274"/>
      <c r="B951" s="274"/>
      <c r="C951" s="274"/>
      <c r="D951" s="274"/>
      <c r="E951" s="274"/>
      <c r="F951" s="274"/>
      <c r="G951" s="274"/>
      <c r="H951" s="274"/>
      <c r="I951" s="274"/>
      <c r="J951" s="274"/>
      <c r="K951" s="274"/>
      <c r="L951" s="274"/>
      <c r="M951" s="274"/>
      <c r="N951" s="274"/>
      <c r="O951" s="274"/>
      <c r="P951" s="274"/>
      <c r="Q951" s="274"/>
      <c r="R951" s="316"/>
      <c r="W951" s="274"/>
      <c r="X951" s="274"/>
      <c r="Y951" s="274"/>
      <c r="Z951" s="274"/>
      <c r="AA951" s="274"/>
      <c r="AB951" s="274"/>
      <c r="AC951" s="274"/>
      <c r="AD951" s="274"/>
      <c r="AE951" s="274"/>
      <c r="AF951" s="274"/>
      <c r="AG951" s="274"/>
      <c r="AH951" s="274"/>
      <c r="AI951" s="274"/>
      <c r="AJ951" s="274"/>
      <c r="AK951" s="274"/>
      <c r="AL951" s="274"/>
      <c r="AM951" s="274"/>
      <c r="AN951" s="274"/>
      <c r="AO951" s="274"/>
      <c r="AP951" s="274"/>
      <c r="AQ951" s="274"/>
      <c r="AR951" s="274"/>
      <c r="AS951" s="274"/>
      <c r="AT951" s="274"/>
      <c r="AU951" s="274"/>
      <c r="AV951" s="274"/>
      <c r="AW951" s="274"/>
    </row>
    <row r="952" ht="15.75" customHeight="1">
      <c r="A952" s="274"/>
      <c r="B952" s="274"/>
      <c r="C952" s="274"/>
      <c r="D952" s="274"/>
      <c r="E952" s="274"/>
      <c r="F952" s="274"/>
      <c r="G952" s="274"/>
      <c r="H952" s="274"/>
      <c r="I952" s="274"/>
      <c r="J952" s="274"/>
      <c r="K952" s="274"/>
      <c r="L952" s="274"/>
      <c r="M952" s="274"/>
      <c r="N952" s="274"/>
      <c r="O952" s="274"/>
      <c r="P952" s="274"/>
      <c r="Q952" s="274"/>
      <c r="R952" s="316"/>
      <c r="W952" s="274"/>
      <c r="X952" s="274"/>
      <c r="Y952" s="274"/>
      <c r="Z952" s="274"/>
      <c r="AA952" s="274"/>
      <c r="AB952" s="274"/>
      <c r="AC952" s="274"/>
      <c r="AD952" s="274"/>
      <c r="AE952" s="274"/>
      <c r="AF952" s="274"/>
      <c r="AG952" s="274"/>
      <c r="AH952" s="274"/>
      <c r="AI952" s="274"/>
      <c r="AJ952" s="274"/>
      <c r="AK952" s="274"/>
      <c r="AL952" s="274"/>
      <c r="AM952" s="274"/>
      <c r="AN952" s="274"/>
      <c r="AO952" s="274"/>
      <c r="AP952" s="274"/>
      <c r="AQ952" s="274"/>
      <c r="AR952" s="274"/>
      <c r="AS952" s="274"/>
      <c r="AT952" s="274"/>
      <c r="AU952" s="274"/>
      <c r="AV952" s="274"/>
      <c r="AW952" s="274"/>
    </row>
    <row r="953" ht="15.75" customHeight="1">
      <c r="A953" s="274"/>
      <c r="B953" s="274"/>
      <c r="C953" s="274"/>
      <c r="D953" s="274"/>
      <c r="E953" s="274"/>
      <c r="F953" s="274"/>
      <c r="G953" s="274"/>
      <c r="H953" s="274"/>
      <c r="I953" s="274"/>
      <c r="J953" s="274"/>
      <c r="K953" s="274"/>
      <c r="L953" s="274"/>
      <c r="M953" s="274"/>
      <c r="N953" s="274"/>
      <c r="O953" s="274"/>
      <c r="P953" s="274"/>
      <c r="Q953" s="274"/>
      <c r="R953" s="316"/>
      <c r="W953" s="274"/>
      <c r="X953" s="274"/>
      <c r="Y953" s="274"/>
      <c r="Z953" s="274"/>
      <c r="AA953" s="274"/>
      <c r="AB953" s="274"/>
      <c r="AC953" s="274"/>
      <c r="AD953" s="274"/>
      <c r="AE953" s="274"/>
      <c r="AF953" s="274"/>
      <c r="AG953" s="274"/>
      <c r="AH953" s="274"/>
      <c r="AI953" s="274"/>
      <c r="AJ953" s="274"/>
      <c r="AK953" s="274"/>
      <c r="AL953" s="274"/>
      <c r="AM953" s="274"/>
      <c r="AN953" s="274"/>
      <c r="AO953" s="274"/>
      <c r="AP953" s="274"/>
      <c r="AQ953" s="274"/>
      <c r="AR953" s="274"/>
      <c r="AS953" s="274"/>
      <c r="AT953" s="274"/>
      <c r="AU953" s="274"/>
      <c r="AV953" s="274"/>
      <c r="AW953" s="274"/>
    </row>
    <row r="954" ht="15.75" customHeight="1">
      <c r="A954" s="274"/>
      <c r="B954" s="274"/>
      <c r="C954" s="274"/>
      <c r="D954" s="274"/>
      <c r="E954" s="274"/>
      <c r="F954" s="274"/>
      <c r="G954" s="274"/>
      <c r="H954" s="274"/>
      <c r="I954" s="274"/>
      <c r="J954" s="274"/>
      <c r="K954" s="274"/>
      <c r="L954" s="274"/>
      <c r="M954" s="274"/>
      <c r="N954" s="274"/>
      <c r="O954" s="274"/>
      <c r="P954" s="274"/>
      <c r="Q954" s="274"/>
      <c r="R954" s="316"/>
      <c r="W954" s="274"/>
      <c r="X954" s="274"/>
      <c r="Y954" s="274"/>
      <c r="Z954" s="274"/>
      <c r="AA954" s="274"/>
      <c r="AB954" s="274"/>
      <c r="AC954" s="274"/>
      <c r="AD954" s="274"/>
      <c r="AE954" s="274"/>
      <c r="AF954" s="274"/>
      <c r="AG954" s="274"/>
      <c r="AH954" s="274"/>
      <c r="AI954" s="274"/>
      <c r="AJ954" s="274"/>
      <c r="AK954" s="274"/>
      <c r="AL954" s="274"/>
      <c r="AM954" s="274"/>
      <c r="AN954" s="274"/>
      <c r="AO954" s="274"/>
      <c r="AP954" s="274"/>
      <c r="AQ954" s="274"/>
      <c r="AR954" s="274"/>
      <c r="AS954" s="274"/>
      <c r="AT954" s="274"/>
      <c r="AU954" s="274"/>
      <c r="AV954" s="274"/>
      <c r="AW954" s="274"/>
    </row>
    <row r="955" ht="15.75" customHeight="1">
      <c r="A955" s="274"/>
      <c r="B955" s="274"/>
      <c r="C955" s="274"/>
      <c r="D955" s="274"/>
      <c r="E955" s="274"/>
      <c r="F955" s="274"/>
      <c r="G955" s="274"/>
      <c r="H955" s="274"/>
      <c r="I955" s="274"/>
      <c r="J955" s="274"/>
      <c r="K955" s="274"/>
      <c r="L955" s="274"/>
      <c r="M955" s="274"/>
      <c r="N955" s="274"/>
      <c r="O955" s="274"/>
      <c r="P955" s="274"/>
      <c r="Q955" s="274"/>
      <c r="R955" s="316"/>
      <c r="W955" s="274"/>
      <c r="X955" s="274"/>
      <c r="Y955" s="274"/>
      <c r="Z955" s="274"/>
      <c r="AA955" s="274"/>
      <c r="AB955" s="274"/>
      <c r="AC955" s="274"/>
      <c r="AD955" s="274"/>
      <c r="AE955" s="274"/>
      <c r="AF955" s="274"/>
      <c r="AG955" s="274"/>
      <c r="AH955" s="274"/>
      <c r="AI955" s="274"/>
      <c r="AJ955" s="274"/>
      <c r="AK955" s="274"/>
      <c r="AL955" s="274"/>
      <c r="AM955" s="274"/>
      <c r="AN955" s="274"/>
      <c r="AO955" s="274"/>
      <c r="AP955" s="274"/>
      <c r="AQ955" s="274"/>
      <c r="AR955" s="274"/>
      <c r="AS955" s="274"/>
      <c r="AT955" s="274"/>
      <c r="AU955" s="274"/>
      <c r="AV955" s="274"/>
      <c r="AW955" s="274"/>
    </row>
    <row r="956" ht="15.75" customHeight="1">
      <c r="A956" s="274"/>
      <c r="B956" s="274"/>
      <c r="C956" s="274"/>
      <c r="D956" s="274"/>
      <c r="E956" s="274"/>
      <c r="F956" s="274"/>
      <c r="G956" s="274"/>
      <c r="H956" s="274"/>
      <c r="I956" s="274"/>
      <c r="J956" s="274"/>
      <c r="K956" s="274"/>
      <c r="L956" s="274"/>
      <c r="M956" s="274"/>
      <c r="N956" s="274"/>
      <c r="O956" s="274"/>
      <c r="P956" s="274"/>
      <c r="Q956" s="274"/>
      <c r="R956" s="316"/>
      <c r="W956" s="274"/>
      <c r="X956" s="274"/>
      <c r="Y956" s="274"/>
      <c r="Z956" s="274"/>
      <c r="AA956" s="274"/>
      <c r="AB956" s="274"/>
      <c r="AC956" s="274"/>
      <c r="AD956" s="274"/>
      <c r="AE956" s="274"/>
      <c r="AF956" s="274"/>
      <c r="AG956" s="274"/>
      <c r="AH956" s="274"/>
      <c r="AI956" s="274"/>
      <c r="AJ956" s="274"/>
      <c r="AK956" s="274"/>
      <c r="AL956" s="274"/>
      <c r="AM956" s="274"/>
      <c r="AN956" s="274"/>
      <c r="AO956" s="274"/>
      <c r="AP956" s="274"/>
      <c r="AQ956" s="274"/>
      <c r="AR956" s="274"/>
      <c r="AS956" s="274"/>
      <c r="AT956" s="274"/>
      <c r="AU956" s="274"/>
      <c r="AV956" s="274"/>
      <c r="AW956" s="274"/>
    </row>
    <row r="957" ht="15.75" customHeight="1">
      <c r="A957" s="274"/>
      <c r="B957" s="274"/>
      <c r="C957" s="274"/>
      <c r="D957" s="274"/>
      <c r="E957" s="274"/>
      <c r="F957" s="274"/>
      <c r="G957" s="274"/>
      <c r="H957" s="274"/>
      <c r="I957" s="274"/>
      <c r="J957" s="274"/>
      <c r="K957" s="274"/>
      <c r="L957" s="274"/>
      <c r="M957" s="274"/>
      <c r="N957" s="274"/>
      <c r="O957" s="274"/>
      <c r="P957" s="274"/>
      <c r="Q957" s="274"/>
      <c r="R957" s="316"/>
      <c r="W957" s="274"/>
      <c r="X957" s="274"/>
      <c r="Y957" s="274"/>
      <c r="Z957" s="274"/>
      <c r="AA957" s="274"/>
      <c r="AB957" s="274"/>
      <c r="AC957" s="274"/>
      <c r="AD957" s="274"/>
      <c r="AE957" s="274"/>
      <c r="AF957" s="274"/>
      <c r="AG957" s="274"/>
      <c r="AH957" s="274"/>
      <c r="AI957" s="274"/>
      <c r="AJ957" s="274"/>
      <c r="AK957" s="274"/>
      <c r="AL957" s="274"/>
      <c r="AM957" s="274"/>
      <c r="AN957" s="274"/>
      <c r="AO957" s="274"/>
      <c r="AP957" s="274"/>
      <c r="AQ957" s="274"/>
      <c r="AR957" s="274"/>
      <c r="AS957" s="274"/>
      <c r="AT957" s="274"/>
      <c r="AU957" s="274"/>
      <c r="AV957" s="274"/>
      <c r="AW957" s="274"/>
    </row>
    <row r="958" ht="15.75" customHeight="1">
      <c r="A958" s="274"/>
      <c r="B958" s="274"/>
      <c r="C958" s="274"/>
      <c r="D958" s="274"/>
      <c r="E958" s="274"/>
      <c r="F958" s="274"/>
      <c r="G958" s="274"/>
      <c r="H958" s="274"/>
      <c r="I958" s="274"/>
      <c r="J958" s="274"/>
      <c r="K958" s="274"/>
      <c r="L958" s="274"/>
      <c r="M958" s="274"/>
      <c r="N958" s="274"/>
      <c r="O958" s="274"/>
      <c r="P958" s="274"/>
      <c r="Q958" s="274"/>
      <c r="R958" s="316"/>
      <c r="W958" s="274"/>
      <c r="X958" s="274"/>
      <c r="Y958" s="274"/>
      <c r="Z958" s="274"/>
      <c r="AA958" s="274"/>
      <c r="AB958" s="274"/>
      <c r="AC958" s="274"/>
      <c r="AD958" s="274"/>
      <c r="AE958" s="274"/>
      <c r="AF958" s="274"/>
      <c r="AG958" s="274"/>
      <c r="AH958" s="274"/>
      <c r="AI958" s="274"/>
      <c r="AJ958" s="274"/>
      <c r="AK958" s="274"/>
      <c r="AL958" s="274"/>
      <c r="AM958" s="274"/>
      <c r="AN958" s="274"/>
      <c r="AO958" s="274"/>
      <c r="AP958" s="274"/>
      <c r="AQ958" s="274"/>
      <c r="AR958" s="274"/>
      <c r="AS958" s="274"/>
      <c r="AT958" s="274"/>
      <c r="AU958" s="274"/>
      <c r="AV958" s="274"/>
      <c r="AW958" s="274"/>
    </row>
    <row r="959" ht="15.75" customHeight="1">
      <c r="A959" s="274"/>
      <c r="B959" s="274"/>
      <c r="C959" s="274"/>
      <c r="D959" s="274"/>
      <c r="E959" s="274"/>
      <c r="F959" s="274"/>
      <c r="G959" s="274"/>
      <c r="H959" s="274"/>
      <c r="I959" s="274"/>
      <c r="J959" s="274"/>
      <c r="K959" s="274"/>
      <c r="L959" s="274"/>
      <c r="M959" s="274"/>
      <c r="N959" s="274"/>
      <c r="O959" s="274"/>
      <c r="P959" s="274"/>
      <c r="Q959" s="274"/>
      <c r="R959" s="316"/>
      <c r="W959" s="274"/>
      <c r="X959" s="274"/>
      <c r="Y959" s="274"/>
      <c r="Z959" s="274"/>
      <c r="AA959" s="274"/>
      <c r="AB959" s="274"/>
      <c r="AC959" s="274"/>
      <c r="AD959" s="274"/>
      <c r="AE959" s="274"/>
      <c r="AF959" s="274"/>
      <c r="AG959" s="274"/>
      <c r="AH959" s="274"/>
      <c r="AI959" s="274"/>
      <c r="AJ959" s="274"/>
      <c r="AK959" s="274"/>
      <c r="AL959" s="274"/>
      <c r="AM959" s="274"/>
      <c r="AN959" s="274"/>
      <c r="AO959" s="274"/>
      <c r="AP959" s="274"/>
      <c r="AQ959" s="274"/>
      <c r="AR959" s="274"/>
      <c r="AS959" s="274"/>
      <c r="AT959" s="274"/>
      <c r="AU959" s="274"/>
      <c r="AV959" s="274"/>
      <c r="AW959" s="274"/>
    </row>
    <row r="960" ht="15.75" customHeight="1">
      <c r="A960" s="274"/>
      <c r="B960" s="274"/>
      <c r="C960" s="274"/>
      <c r="D960" s="274"/>
      <c r="E960" s="274"/>
      <c r="F960" s="274"/>
      <c r="G960" s="274"/>
      <c r="H960" s="274"/>
      <c r="I960" s="274"/>
      <c r="J960" s="274"/>
      <c r="K960" s="274"/>
      <c r="L960" s="274"/>
      <c r="M960" s="274"/>
      <c r="N960" s="274"/>
      <c r="O960" s="274"/>
      <c r="P960" s="274"/>
      <c r="Q960" s="274"/>
      <c r="R960" s="316"/>
      <c r="W960" s="274"/>
      <c r="X960" s="274"/>
      <c r="Y960" s="274"/>
      <c r="Z960" s="274"/>
      <c r="AA960" s="274"/>
      <c r="AB960" s="274"/>
      <c r="AC960" s="274"/>
      <c r="AD960" s="274"/>
      <c r="AE960" s="274"/>
      <c r="AF960" s="274"/>
      <c r="AG960" s="274"/>
      <c r="AH960" s="274"/>
      <c r="AI960" s="274"/>
      <c r="AJ960" s="274"/>
      <c r="AK960" s="274"/>
      <c r="AL960" s="274"/>
      <c r="AM960" s="274"/>
      <c r="AN960" s="274"/>
      <c r="AO960" s="274"/>
      <c r="AP960" s="274"/>
      <c r="AQ960" s="274"/>
      <c r="AR960" s="274"/>
      <c r="AS960" s="274"/>
      <c r="AT960" s="274"/>
      <c r="AU960" s="274"/>
      <c r="AV960" s="274"/>
      <c r="AW960" s="274"/>
    </row>
    <row r="961" ht="15.75" customHeight="1">
      <c r="A961" s="274"/>
      <c r="B961" s="274"/>
      <c r="C961" s="274"/>
      <c r="D961" s="274"/>
      <c r="E961" s="274"/>
      <c r="F961" s="274"/>
      <c r="G961" s="274"/>
      <c r="H961" s="274"/>
      <c r="I961" s="274"/>
      <c r="J961" s="274"/>
      <c r="K961" s="274"/>
      <c r="L961" s="274"/>
      <c r="M961" s="274"/>
      <c r="N961" s="274"/>
      <c r="O961" s="274"/>
      <c r="P961" s="274"/>
      <c r="Q961" s="274"/>
      <c r="R961" s="316"/>
      <c r="W961" s="274"/>
      <c r="X961" s="274"/>
      <c r="Y961" s="274"/>
      <c r="Z961" s="274"/>
      <c r="AA961" s="274"/>
      <c r="AB961" s="274"/>
      <c r="AC961" s="274"/>
      <c r="AD961" s="274"/>
      <c r="AE961" s="274"/>
      <c r="AF961" s="274"/>
      <c r="AG961" s="274"/>
      <c r="AH961" s="274"/>
      <c r="AI961" s="274"/>
      <c r="AJ961" s="274"/>
      <c r="AK961" s="274"/>
      <c r="AL961" s="274"/>
      <c r="AM961" s="274"/>
      <c r="AN961" s="274"/>
      <c r="AO961" s="274"/>
      <c r="AP961" s="274"/>
      <c r="AQ961" s="274"/>
      <c r="AR961" s="274"/>
      <c r="AS961" s="274"/>
      <c r="AT961" s="274"/>
      <c r="AU961" s="274"/>
      <c r="AV961" s="274"/>
      <c r="AW961" s="274"/>
    </row>
    <row r="962" ht="15.75" customHeight="1">
      <c r="A962" s="274"/>
      <c r="B962" s="274"/>
      <c r="C962" s="274"/>
      <c r="D962" s="274"/>
      <c r="E962" s="274"/>
      <c r="F962" s="274"/>
      <c r="G962" s="274"/>
      <c r="H962" s="274"/>
      <c r="I962" s="274"/>
      <c r="J962" s="274"/>
      <c r="K962" s="274"/>
      <c r="L962" s="274"/>
      <c r="M962" s="274"/>
      <c r="N962" s="274"/>
      <c r="O962" s="274"/>
      <c r="P962" s="274"/>
      <c r="Q962" s="274"/>
      <c r="R962" s="316"/>
      <c r="W962" s="274"/>
      <c r="X962" s="274"/>
      <c r="Y962" s="274"/>
      <c r="Z962" s="274"/>
      <c r="AA962" s="274"/>
      <c r="AB962" s="274"/>
      <c r="AC962" s="274"/>
      <c r="AD962" s="274"/>
      <c r="AE962" s="274"/>
      <c r="AF962" s="274"/>
      <c r="AG962" s="274"/>
      <c r="AH962" s="274"/>
      <c r="AI962" s="274"/>
      <c r="AJ962" s="274"/>
      <c r="AK962" s="274"/>
      <c r="AL962" s="274"/>
      <c r="AM962" s="274"/>
      <c r="AN962" s="274"/>
      <c r="AO962" s="274"/>
      <c r="AP962" s="274"/>
      <c r="AQ962" s="274"/>
      <c r="AR962" s="274"/>
      <c r="AS962" s="274"/>
      <c r="AT962" s="274"/>
      <c r="AU962" s="274"/>
      <c r="AV962" s="274"/>
      <c r="AW962" s="274"/>
    </row>
    <row r="963" ht="15.75" customHeight="1">
      <c r="A963" s="274"/>
      <c r="B963" s="274"/>
      <c r="C963" s="274"/>
      <c r="D963" s="274"/>
      <c r="E963" s="274"/>
      <c r="F963" s="274"/>
      <c r="G963" s="274"/>
      <c r="H963" s="274"/>
      <c r="I963" s="274"/>
      <c r="J963" s="274"/>
      <c r="K963" s="274"/>
      <c r="L963" s="274"/>
      <c r="M963" s="274"/>
      <c r="N963" s="274"/>
      <c r="O963" s="274"/>
      <c r="P963" s="274"/>
      <c r="Q963" s="274"/>
      <c r="R963" s="316"/>
      <c r="W963" s="274"/>
      <c r="X963" s="274"/>
      <c r="Y963" s="274"/>
      <c r="Z963" s="274"/>
      <c r="AA963" s="274"/>
      <c r="AB963" s="274"/>
      <c r="AC963" s="274"/>
      <c r="AD963" s="274"/>
      <c r="AE963" s="274"/>
      <c r="AF963" s="274"/>
      <c r="AG963" s="274"/>
      <c r="AH963" s="274"/>
      <c r="AI963" s="274"/>
      <c r="AJ963" s="274"/>
      <c r="AK963" s="274"/>
      <c r="AL963" s="274"/>
      <c r="AM963" s="274"/>
      <c r="AN963" s="274"/>
      <c r="AO963" s="274"/>
      <c r="AP963" s="274"/>
      <c r="AQ963" s="274"/>
      <c r="AR963" s="274"/>
      <c r="AS963" s="274"/>
      <c r="AT963" s="274"/>
      <c r="AU963" s="274"/>
      <c r="AV963" s="274"/>
      <c r="AW963" s="274"/>
    </row>
    <row r="964" ht="15.75" customHeight="1">
      <c r="A964" s="274"/>
      <c r="B964" s="274"/>
      <c r="C964" s="274"/>
      <c r="D964" s="274"/>
      <c r="E964" s="274"/>
      <c r="F964" s="274"/>
      <c r="G964" s="274"/>
      <c r="H964" s="274"/>
      <c r="I964" s="274"/>
      <c r="J964" s="274"/>
      <c r="K964" s="274"/>
      <c r="L964" s="274"/>
      <c r="M964" s="274"/>
      <c r="N964" s="274"/>
      <c r="O964" s="274"/>
      <c r="P964" s="274"/>
      <c r="Q964" s="274"/>
      <c r="R964" s="316"/>
      <c r="W964" s="274"/>
      <c r="X964" s="274"/>
      <c r="Y964" s="274"/>
      <c r="Z964" s="274"/>
      <c r="AA964" s="274"/>
      <c r="AB964" s="274"/>
      <c r="AC964" s="274"/>
      <c r="AD964" s="274"/>
      <c r="AE964" s="274"/>
      <c r="AF964" s="274"/>
      <c r="AG964" s="274"/>
      <c r="AH964" s="274"/>
      <c r="AI964" s="274"/>
      <c r="AJ964" s="274"/>
      <c r="AK964" s="274"/>
      <c r="AL964" s="274"/>
      <c r="AM964" s="274"/>
      <c r="AN964" s="274"/>
      <c r="AO964" s="274"/>
      <c r="AP964" s="274"/>
      <c r="AQ964" s="274"/>
      <c r="AR964" s="274"/>
      <c r="AS964" s="274"/>
      <c r="AT964" s="274"/>
      <c r="AU964" s="274"/>
      <c r="AV964" s="274"/>
      <c r="AW964" s="274"/>
    </row>
    <row r="965" ht="15.75" customHeight="1">
      <c r="A965" s="274"/>
      <c r="B965" s="274"/>
      <c r="C965" s="274"/>
      <c r="D965" s="274"/>
      <c r="E965" s="274"/>
      <c r="F965" s="274"/>
      <c r="G965" s="274"/>
      <c r="H965" s="274"/>
      <c r="I965" s="274"/>
      <c r="J965" s="274"/>
      <c r="K965" s="274"/>
      <c r="L965" s="274"/>
      <c r="M965" s="274"/>
      <c r="N965" s="274"/>
      <c r="O965" s="274"/>
      <c r="P965" s="274"/>
      <c r="Q965" s="274"/>
      <c r="R965" s="316"/>
      <c r="W965" s="274"/>
      <c r="X965" s="274"/>
      <c r="Y965" s="274"/>
      <c r="Z965" s="274"/>
      <c r="AA965" s="274"/>
      <c r="AB965" s="274"/>
      <c r="AC965" s="274"/>
      <c r="AD965" s="274"/>
      <c r="AE965" s="274"/>
      <c r="AF965" s="274"/>
      <c r="AG965" s="274"/>
      <c r="AH965" s="274"/>
      <c r="AI965" s="274"/>
      <c r="AJ965" s="274"/>
      <c r="AK965" s="274"/>
      <c r="AL965" s="274"/>
      <c r="AM965" s="274"/>
      <c r="AN965" s="274"/>
      <c r="AO965" s="274"/>
      <c r="AP965" s="274"/>
      <c r="AQ965" s="274"/>
      <c r="AR965" s="274"/>
      <c r="AS965" s="274"/>
      <c r="AT965" s="274"/>
      <c r="AU965" s="274"/>
      <c r="AV965" s="274"/>
      <c r="AW965" s="274"/>
    </row>
    <row r="966" ht="15.75" customHeight="1">
      <c r="A966" s="274"/>
      <c r="B966" s="274"/>
      <c r="C966" s="274"/>
      <c r="D966" s="274"/>
      <c r="E966" s="274"/>
      <c r="F966" s="274"/>
      <c r="G966" s="274"/>
      <c r="H966" s="274"/>
      <c r="I966" s="274"/>
      <c r="J966" s="274"/>
      <c r="K966" s="274"/>
      <c r="L966" s="274"/>
      <c r="M966" s="274"/>
      <c r="N966" s="274"/>
      <c r="O966" s="274"/>
      <c r="P966" s="274"/>
      <c r="Q966" s="274"/>
      <c r="R966" s="316"/>
      <c r="W966" s="274"/>
      <c r="X966" s="274"/>
      <c r="Y966" s="274"/>
      <c r="Z966" s="274"/>
      <c r="AA966" s="274"/>
      <c r="AB966" s="274"/>
      <c r="AC966" s="274"/>
      <c r="AD966" s="274"/>
      <c r="AE966" s="274"/>
      <c r="AF966" s="274"/>
      <c r="AG966" s="274"/>
      <c r="AH966" s="274"/>
      <c r="AI966" s="274"/>
      <c r="AJ966" s="274"/>
      <c r="AK966" s="274"/>
      <c r="AL966" s="274"/>
      <c r="AM966" s="274"/>
      <c r="AN966" s="274"/>
      <c r="AO966" s="274"/>
      <c r="AP966" s="274"/>
      <c r="AQ966" s="274"/>
      <c r="AR966" s="274"/>
      <c r="AS966" s="274"/>
      <c r="AT966" s="274"/>
      <c r="AU966" s="274"/>
      <c r="AV966" s="274"/>
      <c r="AW966" s="274"/>
    </row>
    <row r="967" ht="15.75" customHeight="1">
      <c r="A967" s="274"/>
      <c r="B967" s="274"/>
      <c r="C967" s="274"/>
      <c r="D967" s="274"/>
      <c r="E967" s="274"/>
      <c r="F967" s="274"/>
      <c r="G967" s="274"/>
      <c r="H967" s="274"/>
      <c r="I967" s="274"/>
      <c r="J967" s="274"/>
      <c r="K967" s="274"/>
      <c r="L967" s="274"/>
      <c r="M967" s="274"/>
      <c r="N967" s="274"/>
      <c r="O967" s="274"/>
      <c r="P967" s="274"/>
      <c r="Q967" s="274"/>
      <c r="R967" s="316"/>
      <c r="W967" s="274"/>
      <c r="X967" s="274"/>
      <c r="Y967" s="274"/>
      <c r="Z967" s="274"/>
      <c r="AA967" s="274"/>
      <c r="AB967" s="274"/>
      <c r="AC967" s="274"/>
      <c r="AD967" s="274"/>
      <c r="AE967" s="274"/>
      <c r="AF967" s="274"/>
      <c r="AG967" s="274"/>
      <c r="AH967" s="274"/>
      <c r="AI967" s="274"/>
      <c r="AJ967" s="274"/>
      <c r="AK967" s="274"/>
      <c r="AL967" s="274"/>
      <c r="AM967" s="274"/>
      <c r="AN967" s="274"/>
      <c r="AO967" s="274"/>
      <c r="AP967" s="274"/>
      <c r="AQ967" s="274"/>
      <c r="AR967" s="274"/>
      <c r="AS967" s="274"/>
      <c r="AT967" s="274"/>
      <c r="AU967" s="274"/>
      <c r="AV967" s="274"/>
      <c r="AW967" s="274"/>
    </row>
    <row r="968" ht="15.75" customHeight="1">
      <c r="A968" s="274"/>
      <c r="B968" s="274"/>
      <c r="C968" s="274"/>
      <c r="D968" s="274"/>
      <c r="E968" s="274"/>
      <c r="F968" s="274"/>
      <c r="G968" s="274"/>
      <c r="H968" s="274"/>
      <c r="I968" s="274"/>
      <c r="J968" s="274"/>
      <c r="K968" s="274"/>
      <c r="L968" s="274"/>
      <c r="M968" s="274"/>
      <c r="N968" s="274"/>
      <c r="O968" s="274"/>
      <c r="P968" s="274"/>
      <c r="Q968" s="274"/>
      <c r="R968" s="316"/>
      <c r="W968" s="274"/>
      <c r="X968" s="274"/>
      <c r="Y968" s="274"/>
      <c r="Z968" s="274"/>
      <c r="AA968" s="274"/>
      <c r="AB968" s="274"/>
      <c r="AC968" s="274"/>
      <c r="AD968" s="274"/>
      <c r="AE968" s="274"/>
      <c r="AF968" s="274"/>
      <c r="AG968" s="274"/>
      <c r="AH968" s="274"/>
      <c r="AI968" s="274"/>
      <c r="AJ968" s="274"/>
      <c r="AK968" s="274"/>
      <c r="AL968" s="274"/>
      <c r="AM968" s="274"/>
      <c r="AN968" s="274"/>
      <c r="AO968" s="274"/>
      <c r="AP968" s="274"/>
      <c r="AQ968" s="274"/>
      <c r="AR968" s="274"/>
      <c r="AS968" s="274"/>
      <c r="AT968" s="274"/>
      <c r="AU968" s="274"/>
      <c r="AV968" s="274"/>
      <c r="AW968" s="274"/>
    </row>
    <row r="969" ht="15.75" customHeight="1">
      <c r="A969" s="274"/>
      <c r="B969" s="274"/>
      <c r="C969" s="274"/>
      <c r="D969" s="274"/>
      <c r="E969" s="274"/>
      <c r="F969" s="274"/>
      <c r="G969" s="274"/>
      <c r="H969" s="274"/>
      <c r="I969" s="274"/>
      <c r="J969" s="274"/>
      <c r="K969" s="274"/>
      <c r="L969" s="274"/>
      <c r="M969" s="274"/>
      <c r="N969" s="274"/>
      <c r="O969" s="274"/>
      <c r="P969" s="274"/>
      <c r="Q969" s="274"/>
      <c r="R969" s="316"/>
      <c r="W969" s="274"/>
      <c r="X969" s="274"/>
      <c r="Y969" s="274"/>
      <c r="Z969" s="274"/>
      <c r="AA969" s="274"/>
      <c r="AB969" s="274"/>
      <c r="AC969" s="274"/>
      <c r="AD969" s="274"/>
      <c r="AE969" s="274"/>
      <c r="AF969" s="274"/>
      <c r="AG969" s="274"/>
      <c r="AH969" s="274"/>
      <c r="AI969" s="274"/>
      <c r="AJ969" s="274"/>
      <c r="AK969" s="274"/>
      <c r="AL969" s="274"/>
      <c r="AM969" s="274"/>
      <c r="AN969" s="274"/>
      <c r="AO969" s="274"/>
      <c r="AP969" s="274"/>
      <c r="AQ969" s="274"/>
      <c r="AR969" s="274"/>
      <c r="AS969" s="274"/>
      <c r="AT969" s="274"/>
      <c r="AU969" s="274"/>
      <c r="AV969" s="274"/>
      <c r="AW969" s="274"/>
    </row>
    <row r="970" ht="15.75" customHeight="1">
      <c r="A970" s="274"/>
      <c r="B970" s="274"/>
      <c r="C970" s="274"/>
      <c r="D970" s="274"/>
      <c r="E970" s="274"/>
      <c r="F970" s="274"/>
      <c r="G970" s="274"/>
      <c r="H970" s="274"/>
      <c r="I970" s="274"/>
      <c r="J970" s="274"/>
      <c r="K970" s="274"/>
      <c r="L970" s="274"/>
      <c r="M970" s="274"/>
      <c r="N970" s="274"/>
      <c r="O970" s="274"/>
      <c r="P970" s="274"/>
      <c r="Q970" s="274"/>
      <c r="R970" s="316"/>
      <c r="W970" s="274"/>
      <c r="X970" s="274"/>
      <c r="Y970" s="274"/>
      <c r="Z970" s="274"/>
      <c r="AA970" s="274"/>
      <c r="AB970" s="274"/>
      <c r="AC970" s="274"/>
      <c r="AD970" s="274"/>
      <c r="AE970" s="274"/>
      <c r="AF970" s="274"/>
      <c r="AG970" s="274"/>
      <c r="AH970" s="274"/>
      <c r="AI970" s="274"/>
      <c r="AJ970" s="274"/>
      <c r="AK970" s="274"/>
      <c r="AL970" s="274"/>
      <c r="AM970" s="274"/>
      <c r="AN970" s="274"/>
      <c r="AO970" s="274"/>
      <c r="AP970" s="274"/>
      <c r="AQ970" s="274"/>
      <c r="AR970" s="274"/>
      <c r="AS970" s="274"/>
      <c r="AT970" s="274"/>
      <c r="AU970" s="274"/>
      <c r="AV970" s="274"/>
      <c r="AW970" s="274"/>
    </row>
    <row r="971" ht="15.75" customHeight="1">
      <c r="A971" s="274"/>
      <c r="B971" s="274"/>
      <c r="C971" s="274"/>
      <c r="D971" s="274"/>
      <c r="E971" s="274"/>
      <c r="F971" s="274"/>
      <c r="G971" s="274"/>
      <c r="H971" s="274"/>
      <c r="I971" s="274"/>
      <c r="J971" s="274"/>
      <c r="K971" s="274"/>
      <c r="L971" s="274"/>
      <c r="M971" s="274"/>
      <c r="N971" s="274"/>
      <c r="O971" s="274"/>
      <c r="P971" s="274"/>
      <c r="Q971" s="274"/>
      <c r="R971" s="316"/>
      <c r="W971" s="274"/>
      <c r="X971" s="274"/>
      <c r="Y971" s="274"/>
      <c r="Z971" s="274"/>
      <c r="AA971" s="274"/>
      <c r="AB971" s="274"/>
      <c r="AC971" s="274"/>
      <c r="AD971" s="274"/>
      <c r="AE971" s="274"/>
      <c r="AF971" s="274"/>
      <c r="AG971" s="274"/>
      <c r="AH971" s="274"/>
      <c r="AI971" s="274"/>
      <c r="AJ971" s="274"/>
      <c r="AK971" s="274"/>
      <c r="AL971" s="274"/>
      <c r="AM971" s="274"/>
      <c r="AN971" s="274"/>
      <c r="AO971" s="274"/>
      <c r="AP971" s="274"/>
      <c r="AQ971" s="274"/>
      <c r="AR971" s="274"/>
      <c r="AS971" s="274"/>
      <c r="AT971" s="274"/>
      <c r="AU971" s="274"/>
      <c r="AV971" s="274"/>
      <c r="AW971" s="274"/>
    </row>
    <row r="972" ht="15.75" customHeight="1">
      <c r="A972" s="274"/>
      <c r="B972" s="274"/>
      <c r="C972" s="274"/>
      <c r="D972" s="274"/>
      <c r="E972" s="274"/>
      <c r="F972" s="274"/>
      <c r="G972" s="274"/>
      <c r="H972" s="274"/>
      <c r="I972" s="274"/>
      <c r="J972" s="274"/>
      <c r="K972" s="274"/>
      <c r="L972" s="274"/>
      <c r="M972" s="274"/>
      <c r="N972" s="274"/>
      <c r="O972" s="274"/>
      <c r="P972" s="274"/>
      <c r="Q972" s="274"/>
      <c r="R972" s="316"/>
      <c r="W972" s="274"/>
      <c r="X972" s="274"/>
      <c r="Y972" s="274"/>
      <c r="Z972" s="274"/>
      <c r="AA972" s="274"/>
      <c r="AB972" s="274"/>
      <c r="AC972" s="274"/>
      <c r="AD972" s="274"/>
      <c r="AE972" s="274"/>
      <c r="AF972" s="274"/>
      <c r="AG972" s="274"/>
      <c r="AH972" s="274"/>
      <c r="AI972" s="274"/>
      <c r="AJ972" s="274"/>
      <c r="AK972" s="274"/>
      <c r="AL972" s="274"/>
      <c r="AM972" s="274"/>
      <c r="AN972" s="274"/>
      <c r="AO972" s="274"/>
      <c r="AP972" s="274"/>
      <c r="AQ972" s="274"/>
      <c r="AR972" s="274"/>
      <c r="AS972" s="274"/>
      <c r="AT972" s="274"/>
      <c r="AU972" s="274"/>
      <c r="AV972" s="274"/>
      <c r="AW972" s="274"/>
    </row>
    <row r="973" ht="15.75" customHeight="1">
      <c r="A973" s="274"/>
      <c r="B973" s="274"/>
      <c r="C973" s="274"/>
      <c r="D973" s="274"/>
      <c r="E973" s="274"/>
      <c r="F973" s="274"/>
      <c r="G973" s="274"/>
      <c r="H973" s="274"/>
      <c r="I973" s="274"/>
      <c r="J973" s="274"/>
      <c r="K973" s="274"/>
      <c r="L973" s="274"/>
      <c r="M973" s="274"/>
      <c r="N973" s="274"/>
      <c r="O973" s="274"/>
      <c r="P973" s="274"/>
      <c r="Q973" s="274"/>
      <c r="R973" s="316"/>
      <c r="W973" s="274"/>
      <c r="X973" s="274"/>
      <c r="Y973" s="274"/>
      <c r="Z973" s="274"/>
      <c r="AA973" s="274"/>
      <c r="AB973" s="274"/>
      <c r="AC973" s="274"/>
      <c r="AD973" s="274"/>
      <c r="AE973" s="274"/>
      <c r="AF973" s="274"/>
      <c r="AG973" s="274"/>
      <c r="AH973" s="274"/>
      <c r="AI973" s="274"/>
      <c r="AJ973" s="274"/>
      <c r="AK973" s="274"/>
      <c r="AL973" s="274"/>
      <c r="AM973" s="274"/>
      <c r="AN973" s="274"/>
      <c r="AO973" s="274"/>
      <c r="AP973" s="274"/>
      <c r="AQ973" s="274"/>
      <c r="AR973" s="274"/>
      <c r="AS973" s="274"/>
      <c r="AT973" s="274"/>
      <c r="AU973" s="274"/>
      <c r="AV973" s="274"/>
      <c r="AW973" s="274"/>
    </row>
    <row r="974" ht="15.75" customHeight="1">
      <c r="A974" s="274"/>
      <c r="B974" s="274"/>
      <c r="C974" s="274"/>
      <c r="D974" s="274"/>
      <c r="E974" s="274"/>
      <c r="F974" s="274"/>
      <c r="G974" s="274"/>
      <c r="H974" s="274"/>
      <c r="I974" s="274"/>
      <c r="J974" s="274"/>
      <c r="K974" s="274"/>
      <c r="L974" s="274"/>
      <c r="M974" s="274"/>
      <c r="N974" s="274"/>
      <c r="O974" s="274"/>
      <c r="P974" s="274"/>
      <c r="Q974" s="274"/>
      <c r="R974" s="316"/>
      <c r="W974" s="274"/>
      <c r="X974" s="274"/>
      <c r="Y974" s="274"/>
      <c r="Z974" s="274"/>
      <c r="AA974" s="274"/>
      <c r="AB974" s="274"/>
      <c r="AC974" s="274"/>
      <c r="AD974" s="274"/>
      <c r="AE974" s="274"/>
      <c r="AF974" s="274"/>
      <c r="AG974" s="274"/>
      <c r="AH974" s="274"/>
      <c r="AI974" s="274"/>
      <c r="AJ974" s="274"/>
      <c r="AK974" s="274"/>
      <c r="AL974" s="274"/>
      <c r="AM974" s="274"/>
      <c r="AN974" s="274"/>
      <c r="AO974" s="274"/>
      <c r="AP974" s="274"/>
      <c r="AQ974" s="274"/>
      <c r="AR974" s="274"/>
      <c r="AS974" s="274"/>
      <c r="AT974" s="274"/>
      <c r="AU974" s="274"/>
      <c r="AV974" s="274"/>
      <c r="AW974" s="274"/>
    </row>
    <row r="975" ht="15.75" customHeight="1">
      <c r="A975" s="274"/>
      <c r="B975" s="274"/>
      <c r="C975" s="274"/>
      <c r="D975" s="274"/>
      <c r="E975" s="274"/>
      <c r="F975" s="274"/>
      <c r="G975" s="274"/>
      <c r="H975" s="274"/>
      <c r="I975" s="274"/>
      <c r="J975" s="274"/>
      <c r="K975" s="274"/>
      <c r="L975" s="274"/>
      <c r="M975" s="274"/>
      <c r="N975" s="274"/>
      <c r="O975" s="274"/>
      <c r="P975" s="274"/>
      <c r="Q975" s="274"/>
      <c r="R975" s="316"/>
      <c r="W975" s="274"/>
      <c r="X975" s="274"/>
      <c r="Y975" s="274"/>
      <c r="Z975" s="274"/>
      <c r="AA975" s="274"/>
      <c r="AB975" s="274"/>
      <c r="AC975" s="274"/>
      <c r="AD975" s="274"/>
      <c r="AE975" s="274"/>
      <c r="AF975" s="274"/>
      <c r="AG975" s="274"/>
      <c r="AH975" s="274"/>
      <c r="AI975" s="274"/>
      <c r="AJ975" s="274"/>
      <c r="AK975" s="274"/>
      <c r="AL975" s="274"/>
      <c r="AM975" s="274"/>
      <c r="AN975" s="274"/>
      <c r="AO975" s="274"/>
      <c r="AP975" s="274"/>
      <c r="AQ975" s="274"/>
      <c r="AR975" s="274"/>
      <c r="AS975" s="274"/>
      <c r="AT975" s="274"/>
      <c r="AU975" s="274"/>
      <c r="AV975" s="274"/>
      <c r="AW975" s="274"/>
    </row>
    <row r="976" ht="15.75" customHeight="1">
      <c r="A976" s="274"/>
      <c r="B976" s="274"/>
      <c r="C976" s="274"/>
      <c r="D976" s="274"/>
      <c r="E976" s="274"/>
      <c r="F976" s="274"/>
      <c r="G976" s="274"/>
      <c r="H976" s="274"/>
      <c r="I976" s="274"/>
      <c r="J976" s="274"/>
      <c r="K976" s="274"/>
      <c r="L976" s="274"/>
      <c r="M976" s="274"/>
      <c r="N976" s="274"/>
      <c r="O976" s="274"/>
      <c r="P976" s="274"/>
      <c r="Q976" s="274"/>
      <c r="R976" s="316"/>
      <c r="W976" s="274"/>
      <c r="X976" s="274"/>
      <c r="Y976" s="274"/>
      <c r="Z976" s="274"/>
      <c r="AA976" s="274"/>
      <c r="AB976" s="274"/>
      <c r="AC976" s="274"/>
      <c r="AD976" s="274"/>
      <c r="AE976" s="274"/>
      <c r="AF976" s="274"/>
      <c r="AG976" s="274"/>
      <c r="AH976" s="274"/>
      <c r="AI976" s="274"/>
      <c r="AJ976" s="274"/>
      <c r="AK976" s="274"/>
      <c r="AL976" s="274"/>
      <c r="AM976" s="274"/>
      <c r="AN976" s="274"/>
      <c r="AO976" s="274"/>
      <c r="AP976" s="274"/>
      <c r="AQ976" s="274"/>
      <c r="AR976" s="274"/>
      <c r="AS976" s="274"/>
      <c r="AT976" s="274"/>
      <c r="AU976" s="274"/>
      <c r="AV976" s="274"/>
      <c r="AW976" s="274"/>
    </row>
    <row r="977" ht="15.75" customHeight="1">
      <c r="A977" s="274"/>
      <c r="B977" s="274"/>
      <c r="C977" s="274"/>
      <c r="D977" s="274"/>
      <c r="E977" s="274"/>
      <c r="F977" s="274"/>
      <c r="G977" s="274"/>
      <c r="H977" s="274"/>
      <c r="I977" s="274"/>
      <c r="J977" s="274"/>
      <c r="K977" s="274"/>
      <c r="L977" s="274"/>
      <c r="M977" s="274"/>
      <c r="N977" s="274"/>
      <c r="O977" s="274"/>
      <c r="P977" s="274"/>
      <c r="Q977" s="274"/>
      <c r="R977" s="316"/>
      <c r="W977" s="274"/>
      <c r="X977" s="274"/>
      <c r="Y977" s="274"/>
      <c r="Z977" s="274"/>
      <c r="AA977" s="274"/>
      <c r="AB977" s="274"/>
      <c r="AC977" s="274"/>
      <c r="AD977" s="274"/>
      <c r="AE977" s="274"/>
      <c r="AF977" s="274"/>
      <c r="AG977" s="274"/>
      <c r="AH977" s="274"/>
      <c r="AI977" s="274"/>
      <c r="AJ977" s="274"/>
      <c r="AK977" s="274"/>
      <c r="AL977" s="274"/>
      <c r="AM977" s="274"/>
      <c r="AN977" s="274"/>
      <c r="AO977" s="274"/>
      <c r="AP977" s="274"/>
      <c r="AQ977" s="274"/>
      <c r="AR977" s="274"/>
      <c r="AS977" s="274"/>
      <c r="AT977" s="274"/>
      <c r="AU977" s="274"/>
      <c r="AV977" s="274"/>
      <c r="AW977" s="274"/>
    </row>
    <row r="978" ht="15.75" customHeight="1">
      <c r="A978" s="274"/>
      <c r="B978" s="274"/>
      <c r="C978" s="274"/>
      <c r="D978" s="274"/>
      <c r="E978" s="274"/>
      <c r="F978" s="274"/>
      <c r="G978" s="274"/>
      <c r="H978" s="274"/>
      <c r="I978" s="274"/>
      <c r="J978" s="274"/>
      <c r="K978" s="274"/>
      <c r="L978" s="274"/>
      <c r="M978" s="274"/>
      <c r="N978" s="274"/>
      <c r="O978" s="274"/>
      <c r="P978" s="274"/>
      <c r="Q978" s="274"/>
      <c r="R978" s="316"/>
      <c r="W978" s="274"/>
      <c r="X978" s="274"/>
      <c r="Y978" s="274"/>
      <c r="Z978" s="274"/>
      <c r="AA978" s="274"/>
      <c r="AB978" s="274"/>
      <c r="AC978" s="274"/>
      <c r="AD978" s="274"/>
      <c r="AE978" s="274"/>
      <c r="AF978" s="274"/>
      <c r="AG978" s="274"/>
      <c r="AH978" s="274"/>
      <c r="AI978" s="274"/>
      <c r="AJ978" s="274"/>
      <c r="AK978" s="274"/>
      <c r="AL978" s="274"/>
      <c r="AM978" s="274"/>
      <c r="AN978" s="274"/>
      <c r="AO978" s="274"/>
      <c r="AP978" s="274"/>
      <c r="AQ978" s="274"/>
      <c r="AR978" s="274"/>
      <c r="AS978" s="274"/>
      <c r="AT978" s="274"/>
      <c r="AU978" s="274"/>
      <c r="AV978" s="274"/>
      <c r="AW978" s="274"/>
    </row>
    <row r="979" ht="15.75" customHeight="1">
      <c r="A979" s="274"/>
      <c r="B979" s="274"/>
      <c r="C979" s="274"/>
      <c r="D979" s="274"/>
      <c r="E979" s="274"/>
      <c r="F979" s="274"/>
      <c r="G979" s="274"/>
      <c r="H979" s="274"/>
      <c r="I979" s="274"/>
      <c r="J979" s="274"/>
      <c r="K979" s="274"/>
      <c r="L979" s="274"/>
      <c r="M979" s="274"/>
      <c r="N979" s="274"/>
      <c r="O979" s="274"/>
      <c r="P979" s="274"/>
      <c r="Q979" s="274"/>
      <c r="R979" s="316"/>
      <c r="W979" s="274"/>
      <c r="X979" s="274"/>
      <c r="Y979" s="274"/>
      <c r="Z979" s="274"/>
      <c r="AA979" s="274"/>
      <c r="AB979" s="274"/>
      <c r="AC979" s="274"/>
      <c r="AD979" s="274"/>
      <c r="AE979" s="274"/>
      <c r="AF979" s="274"/>
      <c r="AG979" s="274"/>
      <c r="AH979" s="274"/>
      <c r="AI979" s="274"/>
      <c r="AJ979" s="274"/>
      <c r="AK979" s="274"/>
      <c r="AL979" s="274"/>
      <c r="AM979" s="274"/>
      <c r="AN979" s="274"/>
      <c r="AO979" s="274"/>
      <c r="AP979" s="274"/>
      <c r="AQ979" s="274"/>
      <c r="AR979" s="274"/>
      <c r="AS979" s="274"/>
      <c r="AT979" s="274"/>
      <c r="AU979" s="274"/>
      <c r="AV979" s="274"/>
      <c r="AW979" s="274"/>
    </row>
    <row r="980" ht="15.75" customHeight="1">
      <c r="A980" s="274"/>
      <c r="B980" s="274"/>
      <c r="C980" s="274"/>
      <c r="D980" s="274"/>
      <c r="E980" s="274"/>
      <c r="F980" s="274"/>
      <c r="G980" s="274"/>
      <c r="H980" s="274"/>
      <c r="I980" s="274"/>
      <c r="J980" s="274"/>
      <c r="K980" s="274"/>
      <c r="L980" s="274"/>
      <c r="M980" s="274"/>
      <c r="N980" s="274"/>
      <c r="O980" s="274"/>
      <c r="P980" s="274"/>
      <c r="Q980" s="274"/>
      <c r="R980" s="316"/>
      <c r="W980" s="274"/>
      <c r="X980" s="274"/>
      <c r="Y980" s="274"/>
      <c r="Z980" s="274"/>
      <c r="AA980" s="274"/>
      <c r="AB980" s="274"/>
      <c r="AC980" s="274"/>
      <c r="AD980" s="274"/>
      <c r="AE980" s="274"/>
      <c r="AF980" s="274"/>
      <c r="AG980" s="274"/>
      <c r="AH980" s="274"/>
      <c r="AI980" s="274"/>
      <c r="AJ980" s="274"/>
      <c r="AK980" s="274"/>
      <c r="AL980" s="274"/>
      <c r="AM980" s="274"/>
      <c r="AN980" s="274"/>
      <c r="AO980" s="274"/>
      <c r="AP980" s="274"/>
      <c r="AQ980" s="274"/>
      <c r="AR980" s="274"/>
      <c r="AS980" s="274"/>
      <c r="AT980" s="274"/>
      <c r="AU980" s="274"/>
      <c r="AV980" s="274"/>
      <c r="AW980" s="274"/>
    </row>
    <row r="981" ht="15.75" customHeight="1">
      <c r="A981" s="274"/>
      <c r="B981" s="274"/>
      <c r="C981" s="274"/>
      <c r="D981" s="274"/>
      <c r="E981" s="274"/>
      <c r="F981" s="274"/>
      <c r="G981" s="274"/>
      <c r="H981" s="274"/>
      <c r="I981" s="274"/>
      <c r="J981" s="274"/>
      <c r="K981" s="274"/>
      <c r="L981" s="274"/>
      <c r="M981" s="274"/>
      <c r="N981" s="274"/>
      <c r="O981" s="274"/>
      <c r="P981" s="274"/>
      <c r="Q981" s="274"/>
      <c r="R981" s="316"/>
      <c r="W981" s="274"/>
      <c r="X981" s="274"/>
      <c r="Y981" s="274"/>
      <c r="Z981" s="274"/>
      <c r="AA981" s="274"/>
      <c r="AB981" s="274"/>
      <c r="AC981" s="274"/>
      <c r="AD981" s="274"/>
      <c r="AE981" s="274"/>
      <c r="AF981" s="274"/>
      <c r="AG981" s="274"/>
      <c r="AH981" s="274"/>
      <c r="AI981" s="274"/>
      <c r="AJ981" s="274"/>
      <c r="AK981" s="274"/>
      <c r="AL981" s="274"/>
      <c r="AM981" s="274"/>
      <c r="AN981" s="274"/>
      <c r="AO981" s="274"/>
      <c r="AP981" s="274"/>
      <c r="AQ981" s="274"/>
      <c r="AR981" s="274"/>
      <c r="AS981" s="274"/>
      <c r="AT981" s="274"/>
      <c r="AU981" s="274"/>
      <c r="AV981" s="274"/>
      <c r="AW981" s="274"/>
    </row>
    <row r="982" ht="15.75" customHeight="1">
      <c r="A982" s="274"/>
      <c r="B982" s="274"/>
      <c r="C982" s="274"/>
      <c r="D982" s="274"/>
      <c r="E982" s="274"/>
      <c r="F982" s="274"/>
      <c r="G982" s="274"/>
      <c r="H982" s="274"/>
      <c r="I982" s="274"/>
      <c r="J982" s="274"/>
      <c r="K982" s="274"/>
      <c r="L982" s="274"/>
      <c r="M982" s="274"/>
      <c r="N982" s="274"/>
      <c r="O982" s="274"/>
      <c r="P982" s="274"/>
      <c r="Q982" s="274"/>
      <c r="R982" s="316"/>
      <c r="W982" s="274"/>
      <c r="X982" s="274"/>
      <c r="Y982" s="274"/>
      <c r="Z982" s="274"/>
      <c r="AA982" s="274"/>
      <c r="AB982" s="274"/>
      <c r="AC982" s="274"/>
      <c r="AD982" s="274"/>
      <c r="AE982" s="274"/>
      <c r="AF982" s="274"/>
      <c r="AG982" s="274"/>
      <c r="AH982" s="274"/>
      <c r="AI982" s="274"/>
      <c r="AJ982" s="274"/>
      <c r="AK982" s="274"/>
      <c r="AL982" s="274"/>
      <c r="AM982" s="274"/>
      <c r="AN982" s="274"/>
      <c r="AO982" s="274"/>
      <c r="AP982" s="274"/>
      <c r="AQ982" s="274"/>
      <c r="AR982" s="274"/>
      <c r="AS982" s="274"/>
      <c r="AT982" s="274"/>
      <c r="AU982" s="274"/>
      <c r="AV982" s="274"/>
      <c r="AW982" s="274"/>
    </row>
    <row r="983" ht="15.75" customHeight="1">
      <c r="A983" s="274"/>
      <c r="B983" s="274"/>
      <c r="C983" s="274"/>
      <c r="D983" s="274"/>
      <c r="E983" s="274"/>
      <c r="F983" s="274"/>
      <c r="G983" s="274"/>
      <c r="H983" s="274"/>
      <c r="I983" s="274"/>
      <c r="J983" s="274"/>
      <c r="K983" s="274"/>
      <c r="L983" s="274"/>
      <c r="M983" s="274"/>
      <c r="N983" s="274"/>
      <c r="O983" s="274"/>
      <c r="P983" s="274"/>
      <c r="Q983" s="274"/>
      <c r="R983" s="316"/>
      <c r="W983" s="274"/>
      <c r="X983" s="274"/>
      <c r="Y983" s="274"/>
      <c r="Z983" s="274"/>
      <c r="AA983" s="274"/>
      <c r="AB983" s="274"/>
      <c r="AC983" s="274"/>
      <c r="AD983" s="274"/>
      <c r="AE983" s="274"/>
      <c r="AF983" s="274"/>
      <c r="AG983" s="274"/>
      <c r="AH983" s="274"/>
      <c r="AI983" s="274"/>
      <c r="AJ983" s="274"/>
      <c r="AK983" s="274"/>
      <c r="AL983" s="274"/>
      <c r="AM983" s="274"/>
      <c r="AN983" s="274"/>
      <c r="AO983" s="274"/>
      <c r="AP983" s="274"/>
      <c r="AQ983" s="274"/>
      <c r="AR983" s="274"/>
      <c r="AS983" s="274"/>
      <c r="AT983" s="274"/>
      <c r="AU983" s="274"/>
      <c r="AV983" s="274"/>
      <c r="AW983" s="274"/>
    </row>
    <row r="984" ht="15.75" customHeight="1">
      <c r="A984" s="274"/>
      <c r="B984" s="274"/>
      <c r="C984" s="274"/>
      <c r="D984" s="274"/>
      <c r="E984" s="274"/>
      <c r="F984" s="274"/>
      <c r="G984" s="274"/>
      <c r="H984" s="274"/>
      <c r="I984" s="274"/>
      <c r="J984" s="274"/>
      <c r="K984" s="274"/>
      <c r="L984" s="274"/>
      <c r="M984" s="274"/>
      <c r="N984" s="274"/>
      <c r="O984" s="274"/>
      <c r="P984" s="274"/>
      <c r="Q984" s="274"/>
      <c r="R984" s="316"/>
      <c r="W984" s="274"/>
      <c r="X984" s="274"/>
      <c r="Y984" s="274"/>
      <c r="Z984" s="274"/>
      <c r="AA984" s="274"/>
      <c r="AB984" s="274"/>
      <c r="AC984" s="274"/>
      <c r="AD984" s="274"/>
      <c r="AE984" s="274"/>
      <c r="AF984" s="274"/>
      <c r="AG984" s="274"/>
      <c r="AH984" s="274"/>
      <c r="AI984" s="274"/>
      <c r="AJ984" s="274"/>
      <c r="AK984" s="274"/>
      <c r="AL984" s="274"/>
      <c r="AM984" s="274"/>
      <c r="AN984" s="274"/>
      <c r="AO984" s="274"/>
      <c r="AP984" s="274"/>
      <c r="AQ984" s="274"/>
      <c r="AR984" s="274"/>
      <c r="AS984" s="274"/>
      <c r="AT984" s="274"/>
      <c r="AU984" s="274"/>
      <c r="AV984" s="274"/>
      <c r="AW984" s="274"/>
    </row>
    <row r="985" ht="15.75" customHeight="1">
      <c r="A985" s="274"/>
      <c r="B985" s="274"/>
      <c r="C985" s="274"/>
      <c r="D985" s="274"/>
      <c r="E985" s="274"/>
      <c r="F985" s="274"/>
      <c r="G985" s="274"/>
      <c r="H985" s="274"/>
      <c r="I985" s="274"/>
      <c r="J985" s="274"/>
      <c r="K985" s="274"/>
      <c r="L985" s="274"/>
      <c r="M985" s="274"/>
      <c r="N985" s="274"/>
      <c r="O985" s="274"/>
      <c r="P985" s="274"/>
      <c r="Q985" s="274"/>
      <c r="R985" s="316"/>
      <c r="W985" s="274"/>
      <c r="X985" s="274"/>
      <c r="Y985" s="274"/>
      <c r="Z985" s="274"/>
      <c r="AA985" s="274"/>
      <c r="AB985" s="274"/>
      <c r="AC985" s="274"/>
      <c r="AD985" s="274"/>
      <c r="AE985" s="274"/>
      <c r="AF985" s="274"/>
      <c r="AG985" s="274"/>
      <c r="AH985" s="274"/>
      <c r="AI985" s="274"/>
      <c r="AJ985" s="274"/>
      <c r="AK985" s="274"/>
      <c r="AL985" s="274"/>
      <c r="AM985" s="274"/>
      <c r="AN985" s="274"/>
      <c r="AO985" s="274"/>
      <c r="AP985" s="274"/>
      <c r="AQ985" s="274"/>
      <c r="AR985" s="274"/>
      <c r="AS985" s="274"/>
      <c r="AT985" s="274"/>
      <c r="AU985" s="274"/>
      <c r="AV985" s="274"/>
      <c r="AW985" s="274"/>
    </row>
    <row r="986" ht="15.75" customHeight="1">
      <c r="A986" s="274"/>
      <c r="B986" s="274"/>
      <c r="C986" s="274"/>
      <c r="D986" s="274"/>
      <c r="E986" s="274"/>
      <c r="F986" s="274"/>
      <c r="G986" s="274"/>
      <c r="H986" s="274"/>
      <c r="I986" s="274"/>
      <c r="J986" s="274"/>
      <c r="K986" s="274"/>
      <c r="L986" s="274"/>
      <c r="M986" s="274"/>
      <c r="N986" s="274"/>
      <c r="O986" s="274"/>
      <c r="P986" s="274"/>
      <c r="Q986" s="274"/>
      <c r="R986" s="316"/>
      <c r="W986" s="274"/>
      <c r="X986" s="274"/>
      <c r="Y986" s="274"/>
      <c r="Z986" s="274"/>
      <c r="AA986" s="274"/>
      <c r="AB986" s="274"/>
      <c r="AC986" s="274"/>
      <c r="AD986" s="274"/>
      <c r="AE986" s="274"/>
      <c r="AF986" s="274"/>
      <c r="AG986" s="274"/>
      <c r="AH986" s="274"/>
      <c r="AI986" s="274"/>
      <c r="AJ986" s="274"/>
      <c r="AK986" s="274"/>
      <c r="AL986" s="274"/>
      <c r="AM986" s="274"/>
      <c r="AN986" s="274"/>
      <c r="AO986" s="274"/>
      <c r="AP986" s="274"/>
      <c r="AQ986" s="274"/>
      <c r="AR986" s="274"/>
      <c r="AS986" s="274"/>
      <c r="AT986" s="274"/>
      <c r="AU986" s="274"/>
      <c r="AV986" s="274"/>
      <c r="AW986" s="274"/>
    </row>
    <row r="987" ht="15.75" customHeight="1">
      <c r="A987" s="274"/>
      <c r="B987" s="274"/>
      <c r="C987" s="274"/>
      <c r="D987" s="274"/>
      <c r="E987" s="274"/>
      <c r="F987" s="274"/>
      <c r="G987" s="274"/>
      <c r="H987" s="274"/>
      <c r="I987" s="274"/>
      <c r="J987" s="274"/>
      <c r="K987" s="274"/>
      <c r="L987" s="274"/>
      <c r="M987" s="274"/>
      <c r="N987" s="274"/>
      <c r="O987" s="274"/>
      <c r="P987" s="274"/>
      <c r="Q987" s="274"/>
      <c r="R987" s="316"/>
      <c r="W987" s="274"/>
      <c r="X987" s="274"/>
      <c r="Y987" s="274"/>
      <c r="Z987" s="274"/>
      <c r="AA987" s="274"/>
      <c r="AB987" s="274"/>
      <c r="AC987" s="274"/>
      <c r="AD987" s="274"/>
      <c r="AE987" s="274"/>
      <c r="AF987" s="274"/>
      <c r="AG987" s="274"/>
      <c r="AH987" s="274"/>
      <c r="AI987" s="274"/>
      <c r="AJ987" s="274"/>
      <c r="AK987" s="274"/>
      <c r="AL987" s="274"/>
      <c r="AM987" s="274"/>
      <c r="AN987" s="274"/>
      <c r="AO987" s="274"/>
      <c r="AP987" s="274"/>
      <c r="AQ987" s="274"/>
      <c r="AR987" s="274"/>
      <c r="AS987" s="274"/>
      <c r="AT987" s="274"/>
      <c r="AU987" s="274"/>
      <c r="AV987" s="274"/>
      <c r="AW987" s="274"/>
    </row>
    <row r="988" ht="15.75" customHeight="1">
      <c r="A988" s="274"/>
      <c r="B988" s="274"/>
      <c r="C988" s="274"/>
      <c r="D988" s="274"/>
      <c r="E988" s="274"/>
      <c r="F988" s="274"/>
      <c r="G988" s="274"/>
      <c r="H988" s="274"/>
      <c r="I988" s="274"/>
      <c r="J988" s="274"/>
      <c r="K988" s="274"/>
      <c r="L988" s="274"/>
      <c r="M988" s="274"/>
      <c r="N988" s="274"/>
      <c r="O988" s="274"/>
      <c r="P988" s="274"/>
      <c r="Q988" s="274"/>
      <c r="R988" s="316"/>
      <c r="W988" s="274"/>
      <c r="X988" s="274"/>
      <c r="Y988" s="274"/>
      <c r="Z988" s="274"/>
      <c r="AA988" s="274"/>
      <c r="AB988" s="274"/>
      <c r="AC988" s="274"/>
      <c r="AD988" s="274"/>
      <c r="AE988" s="274"/>
      <c r="AF988" s="274"/>
      <c r="AG988" s="274"/>
      <c r="AH988" s="274"/>
      <c r="AI988" s="274"/>
      <c r="AJ988" s="274"/>
      <c r="AK988" s="274"/>
      <c r="AL988" s="274"/>
      <c r="AM988" s="274"/>
      <c r="AN988" s="274"/>
      <c r="AO988" s="274"/>
      <c r="AP988" s="274"/>
      <c r="AQ988" s="274"/>
      <c r="AR988" s="274"/>
      <c r="AS988" s="274"/>
      <c r="AT988" s="274"/>
      <c r="AU988" s="274"/>
      <c r="AV988" s="274"/>
      <c r="AW988" s="274"/>
    </row>
    <row r="989" ht="15.75" customHeight="1">
      <c r="A989" s="274"/>
      <c r="B989" s="274"/>
      <c r="C989" s="274"/>
      <c r="D989" s="274"/>
      <c r="E989" s="274"/>
      <c r="F989" s="274"/>
      <c r="G989" s="274"/>
      <c r="H989" s="274"/>
      <c r="I989" s="274"/>
      <c r="J989" s="274"/>
      <c r="K989" s="274"/>
      <c r="L989" s="274"/>
      <c r="M989" s="274"/>
      <c r="N989" s="274"/>
      <c r="O989" s="274"/>
      <c r="P989" s="274"/>
      <c r="Q989" s="274"/>
      <c r="R989" s="316"/>
      <c r="W989" s="274"/>
      <c r="X989" s="274"/>
      <c r="Y989" s="274"/>
      <c r="Z989" s="274"/>
      <c r="AA989" s="274"/>
      <c r="AB989" s="274"/>
      <c r="AC989" s="274"/>
      <c r="AD989" s="274"/>
      <c r="AE989" s="274"/>
      <c r="AF989" s="274"/>
      <c r="AG989" s="274"/>
      <c r="AH989" s="274"/>
      <c r="AI989" s="274"/>
      <c r="AJ989" s="274"/>
      <c r="AK989" s="274"/>
      <c r="AL989" s="274"/>
      <c r="AM989" s="274"/>
      <c r="AN989" s="274"/>
      <c r="AO989" s="274"/>
      <c r="AP989" s="274"/>
      <c r="AQ989" s="274"/>
      <c r="AR989" s="274"/>
      <c r="AS989" s="274"/>
      <c r="AT989" s="274"/>
      <c r="AU989" s="274"/>
      <c r="AV989" s="274"/>
      <c r="AW989" s="274"/>
    </row>
    <row r="990" ht="15.75" customHeight="1">
      <c r="A990" s="274"/>
      <c r="B990" s="274"/>
      <c r="C990" s="274"/>
      <c r="D990" s="274"/>
      <c r="E990" s="274"/>
      <c r="F990" s="274"/>
      <c r="G990" s="274"/>
      <c r="H990" s="274"/>
      <c r="I990" s="274"/>
      <c r="J990" s="274"/>
      <c r="K990" s="274"/>
      <c r="L990" s="274"/>
      <c r="M990" s="274"/>
      <c r="N990" s="274"/>
      <c r="O990" s="274"/>
      <c r="P990" s="274"/>
      <c r="Q990" s="274"/>
      <c r="R990" s="316"/>
      <c r="W990" s="274"/>
      <c r="X990" s="274"/>
      <c r="Y990" s="274"/>
      <c r="Z990" s="274"/>
      <c r="AA990" s="274"/>
      <c r="AB990" s="274"/>
      <c r="AC990" s="274"/>
      <c r="AD990" s="274"/>
      <c r="AE990" s="274"/>
      <c r="AF990" s="274"/>
      <c r="AG990" s="274"/>
      <c r="AH990" s="274"/>
      <c r="AI990" s="274"/>
      <c r="AJ990" s="274"/>
      <c r="AK990" s="274"/>
      <c r="AL990" s="274"/>
      <c r="AM990" s="274"/>
      <c r="AN990" s="274"/>
      <c r="AO990" s="274"/>
      <c r="AP990" s="274"/>
      <c r="AQ990" s="274"/>
      <c r="AR990" s="274"/>
      <c r="AS990" s="274"/>
      <c r="AT990" s="274"/>
      <c r="AU990" s="274"/>
      <c r="AV990" s="274"/>
      <c r="AW990" s="274"/>
    </row>
    <row r="991" ht="15.75" customHeight="1">
      <c r="A991" s="274"/>
      <c r="B991" s="274"/>
      <c r="C991" s="274"/>
      <c r="D991" s="274"/>
      <c r="E991" s="274"/>
      <c r="F991" s="274"/>
      <c r="G991" s="274"/>
      <c r="H991" s="274"/>
      <c r="I991" s="274"/>
      <c r="J991" s="274"/>
      <c r="K991" s="274"/>
      <c r="L991" s="274"/>
      <c r="M991" s="274"/>
      <c r="N991" s="274"/>
      <c r="O991" s="274"/>
      <c r="P991" s="274"/>
      <c r="Q991" s="274"/>
      <c r="R991" s="316"/>
      <c r="W991" s="274"/>
      <c r="X991" s="274"/>
      <c r="Y991" s="274"/>
      <c r="Z991" s="274"/>
      <c r="AA991" s="274"/>
      <c r="AB991" s="274"/>
      <c r="AC991" s="274"/>
      <c r="AD991" s="274"/>
      <c r="AE991" s="274"/>
      <c r="AF991" s="274"/>
      <c r="AG991" s="274"/>
      <c r="AH991" s="274"/>
      <c r="AI991" s="274"/>
      <c r="AJ991" s="274"/>
      <c r="AK991" s="274"/>
      <c r="AL991" s="274"/>
      <c r="AM991" s="274"/>
      <c r="AN991" s="274"/>
      <c r="AO991" s="274"/>
      <c r="AP991" s="274"/>
      <c r="AQ991" s="274"/>
      <c r="AR991" s="274"/>
      <c r="AS991" s="274"/>
      <c r="AT991" s="274"/>
      <c r="AU991" s="274"/>
      <c r="AV991" s="274"/>
      <c r="AW991" s="274"/>
    </row>
    <row r="992" ht="15.75" customHeight="1">
      <c r="A992" s="274"/>
      <c r="B992" s="274"/>
      <c r="C992" s="274"/>
      <c r="D992" s="274"/>
      <c r="E992" s="274"/>
      <c r="F992" s="274"/>
      <c r="G992" s="274"/>
      <c r="H992" s="274"/>
      <c r="I992" s="274"/>
      <c r="J992" s="274"/>
      <c r="K992" s="274"/>
      <c r="L992" s="274"/>
      <c r="M992" s="274"/>
      <c r="N992" s="274"/>
      <c r="O992" s="274"/>
      <c r="P992" s="274"/>
      <c r="Q992" s="274"/>
      <c r="R992" s="316"/>
      <c r="W992" s="274"/>
      <c r="X992" s="274"/>
      <c r="Y992" s="274"/>
      <c r="Z992" s="274"/>
      <c r="AA992" s="274"/>
      <c r="AB992" s="274"/>
      <c r="AC992" s="274"/>
      <c r="AD992" s="274"/>
      <c r="AE992" s="274"/>
      <c r="AF992" s="274"/>
      <c r="AG992" s="274"/>
      <c r="AH992" s="274"/>
      <c r="AI992" s="274"/>
      <c r="AJ992" s="274"/>
      <c r="AK992" s="274"/>
      <c r="AL992" s="274"/>
      <c r="AM992" s="274"/>
      <c r="AN992" s="274"/>
      <c r="AO992" s="274"/>
      <c r="AP992" s="274"/>
      <c r="AQ992" s="274"/>
      <c r="AR992" s="274"/>
      <c r="AS992" s="274"/>
      <c r="AT992" s="274"/>
      <c r="AU992" s="274"/>
      <c r="AV992" s="274"/>
      <c r="AW992" s="274"/>
    </row>
    <row r="993" ht="15.75" customHeight="1">
      <c r="A993" s="274"/>
      <c r="B993" s="274"/>
      <c r="C993" s="274"/>
      <c r="D993" s="274"/>
      <c r="E993" s="274"/>
      <c r="F993" s="274"/>
      <c r="G993" s="274"/>
      <c r="H993" s="274"/>
      <c r="I993" s="274"/>
      <c r="J993" s="274"/>
      <c r="K993" s="274"/>
      <c r="L993" s="274"/>
      <c r="M993" s="274"/>
      <c r="N993" s="274"/>
      <c r="O993" s="274"/>
      <c r="P993" s="274"/>
      <c r="Q993" s="274"/>
      <c r="R993" s="316"/>
      <c r="W993" s="274"/>
      <c r="X993" s="274"/>
      <c r="Y993" s="274"/>
      <c r="Z993" s="274"/>
      <c r="AA993" s="274"/>
      <c r="AB993" s="274"/>
      <c r="AC993" s="274"/>
      <c r="AD993" s="274"/>
      <c r="AE993" s="274"/>
      <c r="AF993" s="274"/>
      <c r="AG993" s="274"/>
      <c r="AH993" s="274"/>
      <c r="AI993" s="274"/>
      <c r="AJ993" s="274"/>
      <c r="AK993" s="274"/>
      <c r="AL993" s="274"/>
      <c r="AM993" s="274"/>
      <c r="AN993" s="274"/>
      <c r="AO993" s="274"/>
      <c r="AP993" s="274"/>
      <c r="AQ993" s="274"/>
      <c r="AR993" s="274"/>
      <c r="AS993" s="274"/>
      <c r="AT993" s="274"/>
      <c r="AU993" s="274"/>
      <c r="AV993" s="274"/>
      <c r="AW993" s="274"/>
    </row>
    <row r="994" ht="15.75" customHeight="1">
      <c r="A994" s="274"/>
      <c r="B994" s="274"/>
      <c r="C994" s="274"/>
      <c r="D994" s="274"/>
      <c r="E994" s="274"/>
      <c r="F994" s="274"/>
      <c r="G994" s="274"/>
      <c r="H994" s="274"/>
      <c r="I994" s="274"/>
      <c r="J994" s="274"/>
      <c r="K994" s="274"/>
      <c r="L994" s="274"/>
      <c r="M994" s="274"/>
      <c r="N994" s="274"/>
      <c r="O994" s="274"/>
      <c r="P994" s="274"/>
      <c r="Q994" s="274"/>
      <c r="R994" s="316"/>
      <c r="W994" s="274"/>
      <c r="X994" s="274"/>
      <c r="Y994" s="274"/>
      <c r="Z994" s="274"/>
      <c r="AA994" s="274"/>
      <c r="AB994" s="274"/>
      <c r="AC994" s="274"/>
      <c r="AD994" s="274"/>
      <c r="AE994" s="274"/>
      <c r="AF994" s="274"/>
      <c r="AG994" s="274"/>
      <c r="AH994" s="274"/>
      <c r="AI994" s="274"/>
      <c r="AJ994" s="274"/>
      <c r="AK994" s="274"/>
      <c r="AL994" s="274"/>
      <c r="AM994" s="274"/>
      <c r="AN994" s="274"/>
      <c r="AO994" s="274"/>
      <c r="AP994" s="274"/>
      <c r="AQ994" s="274"/>
      <c r="AR994" s="274"/>
      <c r="AS994" s="274"/>
      <c r="AT994" s="274"/>
      <c r="AU994" s="274"/>
      <c r="AV994" s="274"/>
      <c r="AW994" s="274"/>
    </row>
    <row r="995" ht="15.75" customHeight="1">
      <c r="A995" s="274"/>
      <c r="B995" s="274"/>
      <c r="C995" s="274"/>
      <c r="D995" s="274"/>
      <c r="E995" s="274"/>
      <c r="F995" s="274"/>
      <c r="G995" s="274"/>
      <c r="H995" s="274"/>
      <c r="I995" s="274"/>
      <c r="J995" s="274"/>
      <c r="K995" s="274"/>
      <c r="L995" s="274"/>
      <c r="M995" s="274"/>
      <c r="N995" s="274"/>
      <c r="O995" s="274"/>
      <c r="P995" s="274"/>
      <c r="Q995" s="274"/>
      <c r="R995" s="316"/>
      <c r="W995" s="274"/>
      <c r="X995" s="274"/>
      <c r="Y995" s="274"/>
      <c r="Z995" s="274"/>
      <c r="AA995" s="274"/>
      <c r="AB995" s="274"/>
      <c r="AC995" s="274"/>
      <c r="AD995" s="274"/>
      <c r="AE995" s="274"/>
      <c r="AF995" s="274"/>
      <c r="AG995" s="274"/>
      <c r="AH995" s="274"/>
      <c r="AI995" s="274"/>
      <c r="AJ995" s="274"/>
      <c r="AK995" s="274"/>
      <c r="AL995" s="274"/>
      <c r="AM995" s="274"/>
      <c r="AN995" s="274"/>
      <c r="AO995" s="274"/>
      <c r="AP995" s="274"/>
      <c r="AQ995" s="274"/>
      <c r="AR995" s="274"/>
      <c r="AS995" s="274"/>
      <c r="AT995" s="274"/>
      <c r="AU995" s="274"/>
      <c r="AV995" s="274"/>
      <c r="AW995" s="274"/>
    </row>
    <row r="996" ht="15.75" customHeight="1">
      <c r="A996" s="274"/>
      <c r="B996" s="274"/>
      <c r="C996" s="274"/>
      <c r="D996" s="274"/>
      <c r="E996" s="274"/>
      <c r="F996" s="274"/>
      <c r="G996" s="274"/>
      <c r="H996" s="274"/>
      <c r="I996" s="274"/>
      <c r="J996" s="274"/>
      <c r="K996" s="274"/>
      <c r="L996" s="274"/>
      <c r="M996" s="274"/>
      <c r="N996" s="274"/>
      <c r="O996" s="274"/>
      <c r="P996" s="274"/>
      <c r="Q996" s="274"/>
      <c r="R996" s="316"/>
      <c r="W996" s="274"/>
      <c r="X996" s="274"/>
      <c r="Y996" s="274"/>
      <c r="Z996" s="274"/>
      <c r="AA996" s="274"/>
      <c r="AB996" s="274"/>
      <c r="AC996" s="274"/>
      <c r="AD996" s="274"/>
      <c r="AE996" s="274"/>
      <c r="AF996" s="274"/>
      <c r="AG996" s="274"/>
      <c r="AH996" s="274"/>
      <c r="AI996" s="274"/>
      <c r="AJ996" s="274"/>
      <c r="AK996" s="274"/>
      <c r="AL996" s="274"/>
      <c r="AM996" s="274"/>
      <c r="AN996" s="274"/>
      <c r="AO996" s="274"/>
      <c r="AP996" s="274"/>
      <c r="AQ996" s="274"/>
      <c r="AR996" s="274"/>
      <c r="AS996" s="274"/>
      <c r="AT996" s="274"/>
      <c r="AU996" s="274"/>
      <c r="AV996" s="274"/>
      <c r="AW996" s="274"/>
    </row>
    <row r="997" ht="15.75" customHeight="1">
      <c r="A997" s="274"/>
      <c r="B997" s="274"/>
      <c r="C997" s="274"/>
      <c r="D997" s="274"/>
      <c r="E997" s="274"/>
      <c r="F997" s="274"/>
      <c r="G997" s="274"/>
      <c r="H997" s="274"/>
      <c r="I997" s="274"/>
      <c r="J997" s="274"/>
      <c r="K997" s="274"/>
      <c r="L997" s="274"/>
      <c r="M997" s="274"/>
      <c r="N997" s="274"/>
      <c r="O997" s="274"/>
      <c r="P997" s="274"/>
      <c r="Q997" s="274"/>
      <c r="R997" s="316"/>
      <c r="W997" s="274"/>
      <c r="X997" s="274"/>
      <c r="Y997" s="274"/>
      <c r="Z997" s="274"/>
      <c r="AA997" s="274"/>
      <c r="AB997" s="274"/>
      <c r="AC997" s="274"/>
      <c r="AD997" s="274"/>
      <c r="AE997" s="274"/>
      <c r="AF997" s="274"/>
      <c r="AG997" s="274"/>
      <c r="AH997" s="274"/>
      <c r="AI997" s="274"/>
      <c r="AJ997" s="274"/>
      <c r="AK997" s="274"/>
      <c r="AL997" s="274"/>
      <c r="AM997" s="274"/>
      <c r="AN997" s="274"/>
      <c r="AO997" s="274"/>
      <c r="AP997" s="274"/>
      <c r="AQ997" s="274"/>
      <c r="AR997" s="274"/>
      <c r="AS997" s="274"/>
      <c r="AT997" s="274"/>
      <c r="AU997" s="274"/>
      <c r="AV997" s="274"/>
      <c r="AW997" s="274"/>
    </row>
    <row r="998" ht="15.75" customHeight="1">
      <c r="A998" s="274"/>
      <c r="B998" s="274"/>
      <c r="C998" s="274"/>
      <c r="D998" s="274"/>
      <c r="E998" s="274"/>
      <c r="F998" s="274"/>
      <c r="G998" s="274"/>
      <c r="H998" s="274"/>
      <c r="I998" s="274"/>
      <c r="J998" s="274"/>
      <c r="K998" s="274"/>
      <c r="L998" s="274"/>
      <c r="M998" s="274"/>
      <c r="N998" s="274"/>
      <c r="O998" s="274"/>
      <c r="P998" s="274"/>
      <c r="Q998" s="274"/>
      <c r="R998" s="316"/>
      <c r="W998" s="274"/>
      <c r="X998" s="274"/>
      <c r="Y998" s="274"/>
      <c r="Z998" s="274"/>
      <c r="AA998" s="274"/>
      <c r="AB998" s="274"/>
      <c r="AC998" s="274"/>
      <c r="AD998" s="274"/>
      <c r="AE998" s="274"/>
      <c r="AF998" s="274"/>
      <c r="AG998" s="274"/>
      <c r="AH998" s="274"/>
      <c r="AI998" s="274"/>
      <c r="AJ998" s="274"/>
      <c r="AK998" s="274"/>
      <c r="AL998" s="274"/>
      <c r="AM998" s="274"/>
      <c r="AN998" s="274"/>
      <c r="AO998" s="274"/>
      <c r="AP998" s="274"/>
      <c r="AQ998" s="274"/>
      <c r="AR998" s="274"/>
      <c r="AS998" s="274"/>
      <c r="AT998" s="274"/>
      <c r="AU998" s="274"/>
      <c r="AV998" s="274"/>
      <c r="AW998" s="274"/>
    </row>
  </sheetData>
  <autoFilter ref="$S$1:$V$194">
    <sortState ref="S1:V194">
      <sortCondition ref="V1:V194"/>
      <sortCondition ref="S1:S194"/>
      <sortCondition ref="U1:U194"/>
    </sortState>
  </autoFilter>
  <mergeCells count="11">
    <mergeCell ref="A18:F18"/>
    <mergeCell ref="A25:F25"/>
    <mergeCell ref="A41:F41"/>
    <mergeCell ref="A46:F46"/>
    <mergeCell ref="J1:L1"/>
    <mergeCell ref="M1:Q1"/>
    <mergeCell ref="M6:N6"/>
    <mergeCell ref="M8:Q8"/>
    <mergeCell ref="B16:F16"/>
    <mergeCell ref="M18:Q18"/>
    <mergeCell ref="M22:P22"/>
  </mergeCells>
  <conditionalFormatting sqref="B1">
    <cfRule type="colorScale" priority="1">
      <colorScale>
        <cfvo type="min"/>
        <cfvo type="formula" val="10000"/>
        <cfvo type="max"/>
        <color rgb="FFE67C73"/>
        <color rgb="FFFFD666"/>
        <color rgb="FF57BB8A"/>
      </colorScale>
    </cfRule>
  </conditionalFormatting>
  <conditionalFormatting sqref="B6:C7 B12:C12 C53:C55 C59 C65 S159:S163">
    <cfRule type="containsText" dxfId="4" priority="2" operator="containsText" text="!">
      <formula>NOT(ISERROR(SEARCH(("!"),(B6))))</formula>
    </cfRule>
  </conditionalFormatting>
  <conditionalFormatting sqref="V2:V998">
    <cfRule type="colorScale" priority="3">
      <colorScale>
        <cfvo type="min"/>
        <cfvo type="percentile" val="50"/>
        <cfvo type="max"/>
        <color rgb="FFE67C73"/>
        <color rgb="FFFFD666"/>
        <color rgb="FF57BB8A"/>
      </colorScale>
    </cfRule>
  </conditionalFormatting>
  <conditionalFormatting sqref="F87:F130">
    <cfRule type="colorScale" priority="4">
      <colorScale>
        <cfvo type="min"/>
        <cfvo type="max"/>
        <color rgb="FFFFFFFF"/>
        <color rgb="FF57BB8A"/>
      </colorScale>
    </cfRule>
  </conditionalFormatting>
  <hyperlinks>
    <hyperlink r:id="rId1" ref="B109"/>
    <hyperlink r:id="rId2" ref="B112"/>
  </hyperlinks>
  <drawing r:id="rId3"/>
</worksheet>
</file>